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B90BB1F2-29F9-4AC2-ABF7-6696A88EFE3B}"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45" r:id="rId24"/>
  </pivotCaches>
</workbook>
</file>

<file path=xl/calcChain.xml><?xml version="1.0" encoding="utf-8"?>
<calcChain xmlns="http://schemas.openxmlformats.org/spreadsheetml/2006/main">
  <c r="L41" i="19" l="1"/>
  <c r="AI21" i="1" l="1"/>
  <c r="AI20" i="1"/>
  <c r="AI19" i="1"/>
  <c r="Q16" i="1" l="1"/>
  <c r="R16" i="1" s="1"/>
  <c r="AA16" i="1"/>
  <c r="AD16" i="1"/>
  <c r="Q17" i="1"/>
  <c r="R17" i="1" s="1"/>
  <c r="AI17" i="1" s="1"/>
  <c r="AA17" i="1"/>
  <c r="AD17" i="1"/>
  <c r="Q18" i="1"/>
  <c r="R18" i="1" s="1"/>
  <c r="AI18" i="1" s="1"/>
  <c r="AA18" i="1"/>
  <c r="AD18" i="1"/>
  <c r="Q19" i="1"/>
  <c r="R19" i="1" s="1"/>
  <c r="AA19" i="1"/>
  <c r="AD19" i="1"/>
  <c r="Q20" i="1"/>
  <c r="R20" i="1" s="1"/>
  <c r="AA20" i="1"/>
  <c r="AD20" i="1"/>
  <c r="Q21" i="1"/>
  <c r="AA21" i="1"/>
  <c r="AM21" i="1" s="1"/>
  <c r="AL21" i="1" s="1"/>
  <c r="AD21" i="1"/>
  <c r="AD15" i="1"/>
  <c r="AA15" i="1"/>
  <c r="Q15" i="1"/>
  <c r="AJ18" i="1" l="1"/>
  <c r="AI16" i="1"/>
  <c r="AJ20" i="1"/>
  <c r="AK20" i="1"/>
  <c r="AM20" i="1"/>
  <c r="AL20" i="1" s="1"/>
  <c r="AJ19" i="1"/>
  <c r="AK19" i="1"/>
  <c r="AM19" i="1"/>
  <c r="AL19" i="1" s="1"/>
  <c r="AK18" i="1"/>
  <c r="R21" i="1"/>
  <c r="R15" i="1"/>
  <c r="AI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L41" i="18"/>
  <c r="N41" i="18"/>
  <c r="P41" i="18"/>
  <c r="R41" i="18"/>
  <c r="T41" i="18"/>
  <c r="V41" i="18"/>
  <c r="X41" i="18"/>
  <c r="Z41" i="18"/>
  <c r="AB41" i="18"/>
  <c r="AD41" i="18"/>
  <c r="AF41" i="18"/>
  <c r="AH41" i="18"/>
  <c r="AJ41" i="18"/>
  <c r="AL41" i="18"/>
  <c r="AN41" i="18"/>
  <c r="AN39" i="18"/>
  <c r="AH39" i="18"/>
  <c r="AB39" i="18"/>
  <c r="V39" i="18"/>
  <c r="P39" i="18"/>
  <c r="N39" i="18"/>
  <c r="N37" i="18"/>
  <c r="P37" i="18"/>
  <c r="AN33" i="18"/>
  <c r="AL33" i="18"/>
  <c r="AJ33" i="18"/>
  <c r="AH33" i="18"/>
  <c r="AF33" i="18"/>
  <c r="AD33" i="18"/>
  <c r="AB33" i="18"/>
  <c r="Z33" i="18"/>
  <c r="X33" i="18"/>
  <c r="V33" i="18"/>
  <c r="T33" i="18"/>
  <c r="R33" i="18"/>
  <c r="P33" i="18"/>
  <c r="N33" i="18"/>
  <c r="L33" i="18"/>
  <c r="N31" i="18"/>
  <c r="P31" i="18"/>
  <c r="V31" i="18"/>
  <c r="AB31" i="18"/>
  <c r="AH31" i="18"/>
  <c r="AN31" i="18"/>
  <c r="P29" i="18"/>
  <c r="N29" i="18"/>
  <c r="AN25" i="18"/>
  <c r="AL25" i="18"/>
  <c r="AJ25" i="18"/>
  <c r="AN23" i="18"/>
  <c r="AH25" i="18"/>
  <c r="AF25" i="18"/>
  <c r="AD25" i="18"/>
  <c r="AH23" i="18"/>
  <c r="AB25" i="18"/>
  <c r="X25" i="18"/>
  <c r="Z25" i="18"/>
  <c r="AB23" i="18"/>
  <c r="V25" i="18"/>
  <c r="T25" i="18"/>
  <c r="R25" i="18"/>
  <c r="V23" i="18"/>
  <c r="P25" i="18"/>
  <c r="N25" i="18"/>
  <c r="L25" i="18"/>
  <c r="P23" i="18"/>
  <c r="N23" i="18"/>
  <c r="P21" i="18"/>
  <c r="N21" i="18"/>
  <c r="AN17" i="18"/>
  <c r="AL17" i="18"/>
  <c r="AJ17" i="18"/>
  <c r="AN15" i="18"/>
  <c r="AH17" i="18"/>
  <c r="AF17" i="18"/>
  <c r="AD17" i="18"/>
  <c r="AH15" i="18"/>
  <c r="AB17" i="18"/>
  <c r="Z17" i="18"/>
  <c r="X17" i="18"/>
  <c r="AB15" i="18"/>
  <c r="V17" i="18"/>
  <c r="V15" i="18"/>
  <c r="T17" i="18"/>
  <c r="R17" i="18"/>
  <c r="L17" i="18"/>
  <c r="P17" i="18"/>
  <c r="N17" i="18"/>
  <c r="P15" i="18"/>
  <c r="N15" i="18"/>
  <c r="P13" i="18"/>
  <c r="N13" i="18"/>
  <c r="AN20" i="1" l="1"/>
  <c r="AK16" i="1"/>
  <c r="AJ16" i="1"/>
  <c r="AN19" i="1"/>
  <c r="AJ17" i="1"/>
  <c r="AK17" i="1"/>
  <c r="AJ21" i="1"/>
  <c r="AN21" i="1" s="1"/>
  <c r="AK21" i="1"/>
  <c r="AK15" i="1"/>
  <c r="AJ15" i="1"/>
  <c r="AN13" i="18"/>
  <c r="AN29" i="18"/>
  <c r="AN37" i="18"/>
  <c r="AN21" i="18"/>
  <c r="AN45" i="18"/>
  <c r="H10" i="27" l="1"/>
  <c r="G29" i="27" s="1"/>
  <c r="H9" i="27"/>
  <c r="H8" i="27"/>
  <c r="F29" i="27"/>
  <c r="E29" i="27"/>
  <c r="Q26" i="1" l="1"/>
  <c r="F221" i="13" l="1"/>
  <c r="F211" i="13"/>
  <c r="F212" i="13"/>
  <c r="F213" i="13"/>
  <c r="F214" i="13"/>
  <c r="F215" i="13"/>
  <c r="F216" i="13"/>
  <c r="F217" i="13"/>
  <c r="F218" i="13"/>
  <c r="F219" i="13"/>
  <c r="F220" i="13"/>
  <c r="F210" i="13"/>
  <c r="B221" i="13" a="1"/>
  <c r="B221" i="13" l="1"/>
  <c r="H210" i="13" l="1"/>
  <c r="B223" i="13" l="1"/>
  <c r="B222" i="13"/>
  <c r="AD53" i="19" l="1"/>
  <c r="AJ13" i="19"/>
  <c r="X13" i="19"/>
  <c r="R43" i="19"/>
  <c r="R33" i="19"/>
  <c r="R53" i="19"/>
  <c r="AD13" i="19"/>
  <c r="X53" i="19"/>
  <c r="AJ43" i="19"/>
  <c r="L43" i="19"/>
  <c r="L33" i="19"/>
  <c r="L53" i="19"/>
  <c r="AJ33" i="19"/>
  <c r="X33" i="19"/>
  <c r="AD43" i="19"/>
  <c r="AD33" i="19"/>
  <c r="AJ53" i="19"/>
  <c r="X43" i="19"/>
  <c r="R13" i="19"/>
  <c r="L13" i="19"/>
  <c r="AC53" i="19"/>
  <c r="W43" i="19"/>
  <c r="W33" i="19"/>
  <c r="W53" i="19"/>
  <c r="AI13" i="19"/>
  <c r="Q43" i="19"/>
  <c r="Q33" i="19"/>
  <c r="K13" i="19"/>
  <c r="Q53" i="19"/>
  <c r="AC13" i="19"/>
  <c r="AI43" i="19"/>
  <c r="K43" i="19"/>
  <c r="K33" i="19"/>
  <c r="K23" i="19"/>
  <c r="K53" i="19"/>
  <c r="AI33" i="19"/>
  <c r="W13" i="19"/>
  <c r="AC43" i="19"/>
  <c r="AC33" i="19"/>
  <c r="Q13" i="19"/>
  <c r="AI53" i="19"/>
  <c r="AH42" i="19"/>
  <c r="AB12" i="19"/>
  <c r="P12" i="19"/>
  <c r="P42" i="19"/>
  <c r="AN12" i="19"/>
  <c r="AB42" i="19"/>
  <c r="AH12" i="19"/>
  <c r="V12" i="19"/>
  <c r="AN42" i="19"/>
  <c r="AN32" i="19"/>
  <c r="AN52" i="19"/>
  <c r="AN22" i="19"/>
  <c r="AD12" i="19"/>
  <c r="AJ12" i="19"/>
  <c r="X12" i="19"/>
  <c r="L12" i="19"/>
  <c r="R12" i="19"/>
  <c r="T15" i="1" l="1"/>
  <c r="U15" i="1" s="1"/>
  <c r="AD35" i="18" s="1"/>
  <c r="T20" i="1"/>
  <c r="U20" i="1" s="1"/>
  <c r="T18" i="1"/>
  <c r="U18" i="1" s="1"/>
  <c r="Z37" i="18" s="1"/>
  <c r="T16" i="1"/>
  <c r="U16" i="1" s="1"/>
  <c r="AH35" i="18" s="1"/>
  <c r="T21" i="1"/>
  <c r="U21" i="1" s="1"/>
  <c r="T17" i="1"/>
  <c r="U17" i="1" s="1"/>
  <c r="AD37" i="18" s="1"/>
  <c r="T19" i="1"/>
  <c r="U19" i="1" s="1"/>
  <c r="AH45" i="18" l="1"/>
  <c r="W19" i="1"/>
  <c r="V13" i="18"/>
  <c r="AH21" i="18"/>
  <c r="V29" i="18"/>
  <c r="V19" i="1"/>
  <c r="AH37" i="18"/>
  <c r="AB45" i="18"/>
  <c r="AH29" i="18"/>
  <c r="AB29" i="18"/>
  <c r="AB21" i="18"/>
  <c r="AB13" i="18"/>
  <c r="V37" i="18"/>
  <c r="AB37" i="18"/>
  <c r="V45" i="18"/>
  <c r="AH13" i="18"/>
  <c r="V21" i="18"/>
  <c r="X29" i="18"/>
  <c r="L13" i="18"/>
  <c r="X45" i="18"/>
  <c r="L37" i="18"/>
  <c r="L29" i="18"/>
  <c r="R37" i="18"/>
  <c r="AJ45" i="18"/>
  <c r="L45" i="18"/>
  <c r="AJ37" i="18"/>
  <c r="X21" i="18"/>
  <c r="L21" i="18"/>
  <c r="W17" i="1"/>
  <c r="AJ21" i="18"/>
  <c r="AD21" i="18"/>
  <c r="X37" i="18"/>
  <c r="R13" i="18"/>
  <c r="AD45" i="18"/>
  <c r="AD13" i="18"/>
  <c r="R21" i="18"/>
  <c r="R29" i="18"/>
  <c r="V17" i="1"/>
  <c r="AM17" i="1" s="1"/>
  <c r="AL17" i="1" s="1"/>
  <c r="AF42" i="19" s="1"/>
  <c r="AD29" i="18"/>
  <c r="X13" i="18"/>
  <c r="AJ13" i="18"/>
  <c r="R45" i="18"/>
  <c r="AJ29" i="18"/>
  <c r="AF31" i="18"/>
  <c r="AF23" i="18"/>
  <c r="W21" i="1"/>
  <c r="T47" i="18"/>
  <c r="AF39" i="18"/>
  <c r="AF47" i="18"/>
  <c r="Z23" i="18"/>
  <c r="V21" i="1"/>
  <c r="AL47" i="18"/>
  <c r="T31" i="18"/>
  <c r="Z47" i="18"/>
  <c r="AL15" i="18"/>
  <c r="AF15" i="18"/>
  <c r="T15" i="18"/>
  <c r="Z39" i="18"/>
  <c r="Z15" i="18"/>
  <c r="AL31" i="18"/>
  <c r="T23" i="18"/>
  <c r="Z31" i="18"/>
  <c r="AL39" i="18"/>
  <c r="T39" i="18"/>
  <c r="AL23" i="18"/>
  <c r="AN27" i="18"/>
  <c r="AB35" i="18"/>
  <c r="AN19" i="18"/>
  <c r="V16" i="1"/>
  <c r="AM16" i="1" s="1"/>
  <c r="AL16" i="1" s="1"/>
  <c r="AN43" i="18"/>
  <c r="AN35" i="18"/>
  <c r="W16" i="1"/>
  <c r="AN11" i="18"/>
  <c r="T37" i="18"/>
  <c r="V18" i="1"/>
  <c r="AM18" i="1" s="1"/>
  <c r="AL18" i="1" s="1"/>
  <c r="AA42" i="19" s="1"/>
  <c r="Z29" i="18"/>
  <c r="AL13" i="18"/>
  <c r="W18" i="1"/>
  <c r="AL29" i="18"/>
  <c r="AL21" i="18"/>
  <c r="Z13" i="18"/>
  <c r="Z21" i="18"/>
  <c r="AL37" i="18"/>
  <c r="AF29" i="18"/>
  <c r="T13" i="18"/>
  <c r="T29" i="18"/>
  <c r="T45" i="18"/>
  <c r="AF13" i="18"/>
  <c r="AF21" i="18"/>
  <c r="AF45" i="18"/>
  <c r="Z45" i="18"/>
  <c r="T21" i="18"/>
  <c r="AL45" i="18"/>
  <c r="AF37" i="18"/>
  <c r="R31" i="18"/>
  <c r="AJ31" i="18"/>
  <c r="X39" i="18"/>
  <c r="AD47" i="18"/>
  <c r="L47" i="18"/>
  <c r="X15" i="18"/>
  <c r="R39" i="18"/>
  <c r="V20" i="1"/>
  <c r="L15" i="18"/>
  <c r="X47" i="18"/>
  <c r="W20" i="1"/>
  <c r="L31" i="18"/>
  <c r="AJ39" i="18"/>
  <c r="AJ15" i="18"/>
  <c r="L39" i="18"/>
  <c r="R23" i="18"/>
  <c r="R47" i="18"/>
  <c r="AJ23" i="18"/>
  <c r="AJ47" i="18"/>
  <c r="R15" i="18"/>
  <c r="AD39" i="18"/>
  <c r="AD15" i="18"/>
  <c r="X31" i="18"/>
  <c r="AD23" i="18"/>
  <c r="L23" i="18"/>
  <c r="AD31" i="18"/>
  <c r="X23" i="18"/>
  <c r="AJ35" i="18"/>
  <c r="L11" i="18"/>
  <c r="V15" i="1"/>
  <c r="AM15" i="1" s="1"/>
  <c r="AL15" i="1" s="1"/>
  <c r="L35" i="18"/>
  <c r="W15" i="1"/>
  <c r="L19" i="18"/>
  <c r="L43" i="18"/>
  <c r="L27" i="18"/>
  <c r="AN18" i="1" l="1"/>
  <c r="AM32" i="19"/>
  <c r="AA12" i="19"/>
  <c r="AM22" i="19"/>
  <c r="O42" i="19"/>
  <c r="AM52" i="19"/>
  <c r="AM42" i="19"/>
  <c r="AG12" i="19"/>
  <c r="AG42" i="19"/>
  <c r="O12" i="19"/>
  <c r="U12" i="19"/>
  <c r="AM12" i="19"/>
  <c r="AN17" i="1"/>
  <c r="M42" i="19"/>
  <c r="N12" i="19"/>
  <c r="AL12" i="19"/>
  <c r="Z12" i="19"/>
  <c r="AL52" i="19"/>
  <c r="AL42" i="19"/>
  <c r="Z42" i="19"/>
  <c r="N42" i="19"/>
  <c r="T12" i="19"/>
  <c r="AL22" i="19"/>
  <c r="AF12" i="19"/>
  <c r="S12" i="19"/>
  <c r="AE42" i="19"/>
  <c r="AK42" i="19"/>
  <c r="AN16" i="1"/>
  <c r="L42" i="19"/>
  <c r="AK12" i="19"/>
  <c r="AE12" i="19"/>
  <c r="AK22" i="19"/>
  <c r="M12" i="19"/>
  <c r="AC42" i="19"/>
  <c r="Q42" i="19"/>
  <c r="K32" i="19"/>
  <c r="W12" i="19"/>
  <c r="K12" i="19"/>
  <c r="AI12" i="19"/>
  <c r="K52" i="19"/>
  <c r="AN15" i="1"/>
  <c r="Q12" i="19"/>
  <c r="AC12" i="19"/>
  <c r="K42" i="19"/>
  <c r="K22" i="19"/>
  <c r="AI4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<sst xmlns="http://schemas.openxmlformats.org/spreadsheetml/2006/main" count="709" uniqueCount="430">
  <si>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</si>
  <si>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</si>
  <si>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</si>
  <si>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</si>
  <si>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</si>
  <si>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</si>
  <si>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</si>
  <si>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</si>
  <si>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</si>
  <si>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</si>
  <si>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</si>
  <si>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</si>
  <si>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</si>
  <si>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</si>
  <si>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</si>
  <si>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</si>
  <si>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</si>
  <si>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</si>
  <si>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</si>
  <si>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</si>
  <si>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</si>
  <si>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</si>
  <si>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</si>
  <si>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</si>
  <si>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</si>
  <si>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</si>
  <si>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</si>
  <si>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</si>
  <si>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</si>
  <si>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</si>
  <si>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</si>
  <si>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</si>
  <si>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</si>
  <si>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</si>
  <si>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</si>
  <si>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</si>
  <si>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</si>
  <si>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</si>
  <si>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</si>
  <si>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</si>
  <si>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</si>
  <si>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</si>
  <si>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</si>
  <si>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</si>
  <si>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</si>
  <si>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</si>
  <si>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</si>
  <si>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</si>
  <si>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</si>
  <si>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</si>
  <si>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</si>
  <si>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</si>
  <si>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</si>
  <si>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</si>
  <si>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</si>
  <si>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</si>
  <si>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</si>
  <si>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</si>
  <si>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</si>
  <si>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</si>
  <si>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</si>
  <si>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</si>
  <si>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</si>
  <si>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</si>
  <si>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</si>
  <si>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</si>
  <si>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</si>
  <si>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</si>
  <si>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</si>
  <si>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</si>
  <si>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</si>
  <si>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</si>
  <si>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</si>
  <si>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</si>
  <si>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</si>
  <si>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</si>
  <si>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</si>
  <si>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</si>
  <si>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</si>
  <si>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</si>
  <si>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</si>
  <si>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</si>
  <si>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</si>
  <si>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</si>
  <si>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</si>
  <si>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</si>
  <si>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</si>
  <si>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</si>
  <si>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</si>
  <si>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</si>
  <si>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</si>
  <si>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</si>
  <si>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</si>
  <si>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</si>
  <si>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</si>
  <si>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</si>
  <si>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</si>
  <si>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</si>
  <si>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</si>
  <si>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</si>
  <si>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</si>
  <si>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</si>
  <si>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</si>
  <si>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</si>
  <si>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</si>
  <si>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</si>
  <si>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</si>
  <si>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</si>
  <si>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</si>
  <si>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</si>
  <si>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</si>
  <si>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</si>
  <si>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</si>
  <si>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</si>
  <si>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</si>
  <si>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</si>
  <si>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</si>
  <si>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</si>
  <si>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</si>
  <si>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</si>
  <si>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</si>
  <si>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</si>
  <si>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</si>
  <si>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</si>
  <si>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</si>
  <si>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</si>
  <si>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</si>
  <si>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</si>
  <si>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</si>
  <si>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</si>
  <si>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</si>
  <si>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</si>
  <si>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</si>
  <si>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</si>
  <si>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</si>
  <si>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</si>
  <si>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</si>
  <si>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</si>
  <si>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</si>
  <si>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</si>
  <si>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</si>
  <si>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</si>
  <si>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</si>
  <si>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</si>
  <si>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</si>
  <si>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</si>
  <si>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</si>
  <si>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</si>
  <si>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</si>
  <si>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</si>
  <si>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</si>
  <si>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</si>
  <si>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</si>
  <si>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</si>
  <si>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</si>
  <si>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</si>
  <si>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</si>
  <si>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</si>
  <si>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</si>
  <si>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</si>
  <si>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</si>
  <si>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</si>
  <si>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</si>
  <si>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</si>
  <si>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</si>
  <si>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</si>
  <si>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</si>
  <si>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</si>
  <si>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</si>
  <si>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</si>
  <si>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</si>
  <si>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</si>
  <si>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</si>
  <si>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</si>
  <si>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</si>
  <si>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</si>
  <si>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</si>
  <si>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</si>
  <si>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</si>
  <si>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</si>
  <si>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</si>
  <si>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</si>
  <si>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</si>
  <si>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</si>
  <si>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</si>
  <si>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</si>
  <si>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</si>
  <si>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</si>
  <si>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</si>
  <si>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</si>
  <si>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</si>
  <si>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</si>
  <si>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</si>
  <si>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</si>
  <si>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</si>
  <si>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</si>
  <si>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</si>
  <si>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</si>
  <si>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</si>
  <si>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</si>
  <si>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</si>
  <si>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</si>
  <si>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</si>
  <si>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</si>
  <si>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</si>
  <si>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</si>
  <si>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</si>
  <si>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</si>
  <si>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</si>
  <si>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</si>
  <si>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</si>
  <si>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</si>
  <si>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</si>
  <si>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</si>
  <si>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</si>
  <si>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</si>
  <si>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</si>
  <si>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</si>
  <si>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</si>
  <si>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</si>
  <si>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</si>
  <si>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</si>
  <si>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</si>
  <si>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</si>
  <si>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</si>
  <si>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</si>
  <si>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</si>
  <si>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</si>
  <si>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</si>
  <si>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</si>
  <si>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</si>
  <si>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</si>
  <si>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</si>
  <si>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</si>
  <si>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</si>
  <si>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</si>
  <si>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</si>
  <si>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</si>
  <si>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</si>
  <si>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</si>
  <si>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</si>
  <si>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</si>
  <si>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</si>
  <si>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</si>
  <si>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</si>
  <si>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</si>
  <si>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</si>
  <si>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</si>
  <si>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</si>
  <si>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</si>
  <si>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</si>
  <si>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</si>
  <si>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</si>
  <si>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</si>
  <si>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</si>
  <si>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</si>
  <si>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</si>
  <si>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</si>
  <si>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</si>
  <si>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</si>
  <si>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</si>
  <si>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</si>
  <si>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</si>
  <si>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</si>
  <si>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</si>
  <si>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</si>
  <si>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</si>
  <si>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</si>
  <si>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</si>
  <si>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</si>
  <si>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</si>
  <si>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</si>
  <si>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</si>
  <si>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</si>
  <si>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</si>
  <si>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</si>
  <si>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</si>
  <si>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</si>
  <si>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</si>
  <si>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</si>
  <si>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</si>
  <si>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</si>
  <si>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</si>
  <si>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</si>
  <si>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</si>
  <si>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</si>
  <si>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</si>
  <si>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</si>
  <si>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</si>
  <si>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</si>
  <si>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</si>
  <si>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</si>
  <si>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</si>
  <si>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</si>
  <si>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</si>
  <si>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</si>
  <si>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</si>
  <si>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</si>
  <si>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</si>
  <si>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</si>
  <si>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</si>
  <si>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</si>
  <si>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</si>
  <si>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</si>
  <si>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</si>
  <si>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</si>
  <si>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</si>
  <si>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</si>
  <si>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</si>
  <si>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</si>
  <si>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</si>
  <si>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</si>
  <si>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</si>
  <si>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</si>
  <si>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</si>
  <si>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</si>
  <si>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</si>
  <si>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</si>
  <si>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</si>
  <si>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</si>
  <si>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</si>
  <si>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</si>
  <si>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</si>
  <si>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</si>
  <si>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</si>
  <si>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</si>
  <si>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</si>
  <si>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</si>
  <si>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</si>
  <si>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</si>
  <si>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</si>
  <si>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</si>
  <si>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</si>
  <si>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</si>
  <si>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</si>
  <si>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</si>
  <si>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</si>
  <si>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</si>
  <si>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</si>
  <si>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</si>
  <si>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</si>
  <si>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</si>
  <si>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</si>
  <si>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</si>
  <si>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</si>
  <si>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</si>
  <si>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</si>
  <si>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</si>
  <si>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</si>
  <si>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</si>
  <si>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</si>
  <si>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</si>
  <si>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</si>
  <si>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</si>
  <si>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</si>
  <si>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</si>
  <si>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</si>
  <si>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</si>
  <si>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</si>
  <si>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</si>
  <si>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</si>
  <si>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</si>
  <si>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</si>
  <si>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</si>
  <si>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</si>
  <si>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</si>
  <si>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</si>
  <si>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</si>
  <si>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</si>
  <si>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</si>
  <si>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</si>
  <si>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</si>
  <si>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</si>
  <si>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</si>
  <si>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</si>
  <si>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</si>
  <si>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</si>
  <si>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</si>
  <si>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</si>
  <si>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</si>
  <si>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</si>
  <si>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</si>
  <si>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</si>
  <si>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</si>
  <si>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</si>
  <si>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</si>
  <si>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</si>
  <si>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</si>
  <si>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</si>
  <si>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</si>
  <si>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</si>
  <si>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</si>
  <si>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</si>
  <si>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</si>
  <si>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</si>
  <si>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</si>
  <si>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GESTIÓN FINANCIERA</t>
  </si>
  <si>
    <t>Gestionar, registrar, ejecutar, controlar y soportar el manejo de los recursos financieros de la ETITC mediante el uso de herramientas e instrumentos</t>
  </si>
  <si>
    <t>Inicia con la ejeución de los planes de necesidades y adqisiciones articulado con el plan de acción y finaliza con el con el cierre de la ejecución contable, presupuestal y de tesoreria, contratidas durante la vigencia</t>
  </si>
  <si>
    <r>
      <rPr>
        <b/>
        <sz val="14"/>
        <rFont val="Arial"/>
        <family val="2"/>
      </rPr>
      <t>LIDER DEL PROCESO:</t>
    </r>
    <r>
      <rPr>
        <sz val="14"/>
        <rFont val="Arial"/>
        <family val="2"/>
      </rPr>
      <t xml:space="preserve"> Ariel Tovar Gómez</t>
    </r>
  </si>
  <si>
    <t xml:space="preserve">Se actualizo a la versión 9 del formato mapa de riesgos </t>
  </si>
  <si>
    <t>Inoportunidad y/o duplicidad en el suministro de Información de las áreas a que remiten los soportes de los pagos.</t>
  </si>
  <si>
    <t>Falta de seguimiento y control del responsable de la caja menor respecto a legalización, reembolso, gastos autorizados, entre otros.</t>
  </si>
  <si>
    <t>Inadecuado proceso de gestión y transmisión de del conocimiento por parte de los responsables de uso de la plataforma SIIF Nación.</t>
  </si>
  <si>
    <t>Ausencia de sincronización de la información en el OneDrive Institucional con ocasión de dificultades de acceso a internet.</t>
  </si>
  <si>
    <t>Registro de un mayor o menor valor en el hecho economico de servicios públicos</t>
  </si>
  <si>
    <t>Posibilidad de afectación económica debido al registro de un mayor o menor valor en el hecho economico de servicios públicos por inoportunidad y/o duplicidad en el suministro de Información de las áreas a que remiten los soportes de los pagos.</t>
  </si>
  <si>
    <t xml:space="preserve">Desconocimiento en los requisitos legales y normativos de uso de las cajas menores. 
</t>
  </si>
  <si>
    <t xml:space="preserve">Posibilidad de afectación económica por hallazgos, fraudes, detrimento patrimonial debido al manejo de cajas menores fuera de los parámetros legales y normativos. </t>
  </si>
  <si>
    <t>Desconocimiento de las herramientas y/o actualizaciones presentadas en la plataforma de SIIF Nación, por parte de los funcionarios y/o contratistas acorde a los perfiles requeridos en las transacciones para la ejecución de la cadena financiera</t>
  </si>
  <si>
    <t>Posibilidad de afectación reputacional por desconocimiento de las herramientas y/o actualizaciones presentadas en la plataforma de SIIF Nación, por parte de los funcionarios y/o contratistas acorde a los perfiles requeridos en las transacciones para la ejecución de la cadena financiera por un inadecuado proceso de gestión y transmisión del conocimiento por parte de los responsables de uso de la plataforma SIIF Nación.</t>
  </si>
  <si>
    <t>Afectar la confidencialidad, integridad y disponibilidad de la información.</t>
  </si>
  <si>
    <t>Posibilidad de pérdida reputacional por afectar la confidencialidad, integridad y disponibilidad de la información, debido a ausencia de sincronización de la información en el OneDrive Institucional con ocasión de dificultades de acceso a internet.</t>
  </si>
  <si>
    <t>Cada uno de los profesionales responsables de las areas de presupuesto, contabilidad y tesoreria verifica y registra cada vez que llega un recibo en la matriz de control los servicios públicos en la unidad compartida, con el fin de evitar duplicidad en los pagos.
En caso de que se realice un doble pago por concepto de servicios públicos, dicho pago se descontará de la siguiente factura, por parte del proveedor del servicio.</t>
  </si>
  <si>
    <t>Matriz de control en una unidad compartida.</t>
  </si>
  <si>
    <t>Los profesionales de Contabilidad y Tesorería cada vez que se solicite un reembolso, verifican los rubros y los montos constituidos en la caja menor, con la finalidad de controlar sus recursos.
En caso de que se identifique insuficiencia de recursos en la caja menor, se puede realizar el análisis para aumentar el rubro requerido (se puede realizar mediante traslado interno de caja menor).</t>
  </si>
  <si>
    <t>Acta de reunión entre Contabilidad y Tesorería de revisión de la caja menor.</t>
  </si>
  <si>
    <t>Las profesionales de Contabilidad, Presupuesto y Tesorería semestralmente, transmitirán su conocimiento frente a la plataforma SIIF a través de una reunión, con el fin de garantizar la trazabilidad de la información frente a la cadena financiera en la plataforma.
Debido a la naturaleza de este control, no aplica desviación.</t>
  </si>
  <si>
    <t>Acta de reunión entre Contabilidad y Tesorería.</t>
  </si>
  <si>
    <t>Cada uno de los profesionales responsables de las areas de presupuesto, contabilidad y tesoreria deberan mantener y verificar que la información institucional se encuentre en el One Drive de acuerdo a los lineamientos definidos por el área de Seguridad de la Información, con el fin de garantizar la trazabilidad de la información del proceso.
Si alguno de los miembros de la cadena financiera no cuenta con internet para sincronizar sus archivos en One Drive, lo hará de inmediato, una vez se restablezca su conexión a internet.</t>
  </si>
  <si>
    <t>Información institucional dispuesta en One Drive.</t>
  </si>
  <si>
    <t xml:space="preserve">Por identificar </t>
  </si>
  <si>
    <t>Mantener actualizada la matriz de control</t>
  </si>
  <si>
    <t>Cada uno de los profesionales responsables de las areas de presupuesto, contabilidad y tesoreria.</t>
  </si>
  <si>
    <t>Participar constantemente en las capacitaciones SIIF relacionadas con el riesgo</t>
  </si>
  <si>
    <t>Responsable de la caja menor</t>
  </si>
  <si>
    <t>Participar constantemente en las capacitaciones SIIF</t>
  </si>
  <si>
    <t>Información en el onedrive de cada uno de los integrantes del área financiera</t>
  </si>
  <si>
    <t>Ariel Tovar Gómez</t>
  </si>
  <si>
    <t xml:space="preserve">Vicerrector administrativo y financiero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</si>
</sst>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3"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18">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164" fontId="66" fillId="0" borderId="21" xfId="1" applyNumberFormat="1" applyFont="1" applyBorder="1" applyAlignment="1">
      <alignment horizontal="center" vertical="top" wrapText="1"/>
    </xf>
    <xf numFmtId="0" fontId="100" fillId="0" borderId="21" xfId="0" applyFont="1" applyBorder="1" applyAlignment="1" applyProtection="1">
      <alignment horizontal="center" vertical="center" wrapText="1"/>
      <protection locked="0"/>
    </xf>
    <xf numFmtId="0" fontId="66" fillId="0" borderId="110" xfId="0" applyFont="1" applyBorder="1" applyAlignment="1">
      <alignment horizontal="center" vertical="center" wrapText="1"/>
    </xf>
    <xf numFmtId="0" fontId="66" fillId="0" borderId="110" xfId="0" applyFont="1" applyBorder="1" applyAlignment="1" applyProtection="1">
      <alignment horizontal="center" vertical="center" wrapText="1"/>
      <protection locked="0"/>
    </xf>
    <xf numFmtId="0" fontId="77" fillId="0" borderId="110" xfId="0"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hidden="1"/>
    </xf>
    <xf numFmtId="0" fontId="3" fillId="0" borderId="110" xfId="0" applyFont="1" applyBorder="1" applyAlignment="1" applyProtection="1">
      <alignment horizontal="center" vertical="center" wrapText="1"/>
      <protection hidden="1"/>
    </xf>
    <xf numFmtId="14" fontId="66" fillId="0" borderId="110" xfId="0" applyNumberFormat="1" applyFont="1" applyBorder="1" applyAlignment="1" applyProtection="1">
      <alignment horizontal="center" vertical="center" wrapText="1"/>
      <protection locked="0"/>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18" fillId="5" borderId="0" xfId="0" applyFont="1" applyFill="1" applyAlignment="1" applyProtection="1">
      <alignment horizontal="center" wrapText="1" readingOrder="1"/>
      <protection hidden="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1" fillId="0" borderId="21" xfId="0" applyFont="1" applyBorder="1" applyAlignment="1" applyProtection="1">
      <alignment horizontal="center" vertical="center" wrapText="1"/>
      <protection locked="0"/>
    </xf>
    <xf numFmtId="0" fontId="100" fillId="0" borderId="21" xfId="0" quotePrefix="1" applyFont="1" applyBorder="1" applyAlignment="1" applyProtection="1">
      <alignment horizontal="center" vertical="center" wrapText="1"/>
      <protection locked="0"/>
    </xf>
    <xf numFmtId="0" fontId="100"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0" fontId="100" fillId="0" borderId="21" xfId="0" applyFont="1" applyBorder="1" applyAlignment="1" applyProtection="1">
      <alignment horizontal="center" vertical="center"/>
      <protection locked="0"/>
    </xf>
    <xf numFmtId="0" fontId="100" fillId="0" borderId="21" xfId="0" applyFont="1" applyBorder="1" applyAlignment="1">
      <alignment horizontal="center" vertical="center"/>
    </xf>
    <xf numFmtId="0" fontId="102" fillId="0" borderId="21" xfId="0" applyFont="1" applyBorder="1" applyAlignment="1" applyProtection="1">
      <alignment horizontal="justify" vertical="center" wrapText="1"/>
      <protection locked="0"/>
    </xf>
    <xf numFmtId="0" fontId="102" fillId="0" borderId="21" xfId="0" applyFont="1" applyBorder="1" applyAlignment="1" applyProtection="1">
      <alignment horizontal="justify" vertical="top" wrapText="1"/>
      <protection locked="0"/>
    </xf>
    <xf numFmtId="0" fontId="102" fillId="3" borderId="21" xfId="0" applyFont="1" applyFill="1" applyBorder="1" applyAlignment="1" applyProtection="1">
      <alignment horizontal="justify"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3">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ay\Downloads\GSI-CA-FO-0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4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2" dataDxfId="31">
  <autoFilter ref="B209:C219" xr:uid="{00000000-0009-0000-0100-000001000000}"/>
  <tableColumns count="2">
    <tableColumn id="1" xr3:uid="{00000000-0010-0000-0000-000001000000}" name="Criterios" dataDxfId="30"/>
    <tableColumn id="2" xr3:uid="{00000000-0010-0000-0000-000002000000}" name="Subcriterios" dataDxfId="2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0" t="s">
        <v>267</v>
      </c>
      <c r="C2" s="241"/>
      <c r="D2" s="231" t="s">
        <v>205</v>
      </c>
      <c r="E2" s="232"/>
      <c r="F2" s="232"/>
      <c r="G2" s="232"/>
      <c r="H2" s="232"/>
      <c r="I2" s="232"/>
      <c r="J2" s="232"/>
      <c r="K2" s="232"/>
      <c r="L2" s="233"/>
      <c r="M2" s="246" t="s">
        <v>390</v>
      </c>
      <c r="N2" s="247"/>
    </row>
    <row r="3" spans="2:14" ht="29.25" customHeight="1" x14ac:dyDescent="0.25">
      <c r="B3" s="242"/>
      <c r="C3" s="243"/>
      <c r="D3" s="234"/>
      <c r="E3" s="235"/>
      <c r="F3" s="235"/>
      <c r="G3" s="235"/>
      <c r="H3" s="235"/>
      <c r="I3" s="235"/>
      <c r="J3" s="235"/>
      <c r="K3" s="235"/>
      <c r="L3" s="236"/>
      <c r="M3" s="248" t="s">
        <v>264</v>
      </c>
      <c r="N3" s="249"/>
    </row>
    <row r="4" spans="2:14" ht="29.25" customHeight="1" x14ac:dyDescent="0.25">
      <c r="B4" s="242"/>
      <c r="C4" s="243"/>
      <c r="D4" s="234"/>
      <c r="E4" s="235"/>
      <c r="F4" s="235"/>
      <c r="G4" s="235"/>
      <c r="H4" s="235"/>
      <c r="I4" s="235"/>
      <c r="J4" s="235"/>
      <c r="K4" s="235"/>
      <c r="L4" s="236"/>
      <c r="M4" s="248" t="s">
        <v>389</v>
      </c>
      <c r="N4" s="249"/>
    </row>
    <row r="5" spans="2:14" ht="29.25" customHeight="1" thickBot="1" x14ac:dyDescent="0.3">
      <c r="B5" s="244"/>
      <c r="C5" s="245"/>
      <c r="D5" s="237"/>
      <c r="E5" s="238"/>
      <c r="F5" s="238"/>
      <c r="G5" s="238"/>
      <c r="H5" s="238"/>
      <c r="I5" s="238"/>
      <c r="J5" s="238"/>
      <c r="K5" s="238"/>
      <c r="L5" s="239"/>
      <c r="M5" s="250" t="s">
        <v>245</v>
      </c>
      <c r="N5" s="251"/>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0" t="s">
        <v>309</v>
      </c>
      <c r="E31" s="230"/>
      <c r="N31" s="138"/>
    </row>
    <row r="32" spans="2:14" x14ac:dyDescent="0.25">
      <c r="B32" s="137"/>
      <c r="D32" s="230"/>
      <c r="E32" s="230"/>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29" t="s">
        <v>162</v>
      </c>
      <c r="C2" s="530"/>
      <c r="D2" s="530"/>
      <c r="E2" s="530"/>
      <c r="F2" s="530"/>
      <c r="G2" s="530"/>
      <c r="H2" s="531"/>
      <c r="J2" s="151" t="s">
        <v>274</v>
      </c>
    </row>
    <row r="3" spans="2:10" ht="20.25" x14ac:dyDescent="0.25">
      <c r="B3" s="70"/>
      <c r="C3" s="71"/>
      <c r="D3" s="71"/>
      <c r="E3" s="71"/>
      <c r="F3" s="71"/>
      <c r="G3" s="71"/>
      <c r="H3" s="72"/>
      <c r="J3" s="151"/>
    </row>
    <row r="4" spans="2:10" ht="63" customHeight="1" x14ac:dyDescent="0.25">
      <c r="B4" s="532" t="s">
        <v>305</v>
      </c>
      <c r="C4" s="533"/>
      <c r="D4" s="533"/>
      <c r="E4" s="533"/>
      <c r="F4" s="533"/>
      <c r="G4" s="533"/>
      <c r="H4" s="534"/>
    </row>
    <row r="5" spans="2:10" ht="63" customHeight="1" x14ac:dyDescent="0.25">
      <c r="B5" s="535"/>
      <c r="C5" s="536"/>
      <c r="D5" s="536"/>
      <c r="E5" s="536"/>
      <c r="F5" s="536"/>
      <c r="G5" s="536"/>
      <c r="H5" s="537"/>
    </row>
    <row r="6" spans="2:10" ht="16.5" x14ac:dyDescent="0.25">
      <c r="B6" s="538" t="s">
        <v>160</v>
      </c>
      <c r="C6" s="539"/>
      <c r="D6" s="539"/>
      <c r="E6" s="539"/>
      <c r="F6" s="539"/>
      <c r="G6" s="539"/>
      <c r="H6" s="540"/>
    </row>
    <row r="7" spans="2:10" ht="95.25" customHeight="1" x14ac:dyDescent="0.25">
      <c r="B7" s="548" t="s">
        <v>165</v>
      </c>
      <c r="C7" s="549"/>
      <c r="D7" s="549"/>
      <c r="E7" s="549"/>
      <c r="F7" s="549"/>
      <c r="G7" s="549"/>
      <c r="H7" s="550"/>
    </row>
    <row r="8" spans="2:10" ht="16.5" x14ac:dyDescent="0.25">
      <c r="B8" s="106"/>
      <c r="C8" s="107"/>
      <c r="D8" s="107"/>
      <c r="E8" s="107"/>
      <c r="F8" s="107"/>
      <c r="G8" s="107"/>
      <c r="H8" s="108"/>
    </row>
    <row r="9" spans="2:10" ht="16.5" customHeight="1" x14ac:dyDescent="0.25">
      <c r="B9" s="541" t="s">
        <v>293</v>
      </c>
      <c r="C9" s="542"/>
      <c r="D9" s="542"/>
      <c r="E9" s="542"/>
      <c r="F9" s="542"/>
      <c r="G9" s="542"/>
      <c r="H9" s="543"/>
    </row>
    <row r="10" spans="2:10" ht="44.25" customHeight="1" x14ac:dyDescent="0.25">
      <c r="B10" s="541"/>
      <c r="C10" s="542"/>
      <c r="D10" s="542"/>
      <c r="E10" s="542"/>
      <c r="F10" s="542"/>
      <c r="G10" s="542"/>
      <c r="H10" s="543"/>
    </row>
    <row r="11" spans="2:10" ht="15.75" thickBot="1" x14ac:dyDescent="0.3">
      <c r="B11" s="95"/>
      <c r="C11" s="98"/>
      <c r="D11" s="103"/>
      <c r="E11" s="104"/>
      <c r="F11" s="104"/>
      <c r="G11" s="105"/>
      <c r="H11" s="99"/>
    </row>
    <row r="12" spans="2:10" ht="15.75" thickTop="1" x14ac:dyDescent="0.25">
      <c r="B12" s="95"/>
      <c r="C12" s="544" t="s">
        <v>161</v>
      </c>
      <c r="D12" s="545"/>
      <c r="E12" s="546" t="s">
        <v>198</v>
      </c>
      <c r="F12" s="547"/>
      <c r="G12" s="98"/>
      <c r="H12" s="99"/>
    </row>
    <row r="13" spans="2:10" ht="35.25" customHeight="1" x14ac:dyDescent="0.25">
      <c r="B13" s="95"/>
      <c r="C13" s="516" t="s">
        <v>192</v>
      </c>
      <c r="D13" s="517"/>
      <c r="E13" s="518" t="s">
        <v>197</v>
      </c>
      <c r="F13" s="519"/>
      <c r="G13" s="98"/>
      <c r="H13" s="99"/>
    </row>
    <row r="14" spans="2:10" ht="17.25" customHeight="1" x14ac:dyDescent="0.25">
      <c r="B14" s="95"/>
      <c r="C14" s="516" t="s">
        <v>193</v>
      </c>
      <c r="D14" s="517"/>
      <c r="E14" s="518" t="s">
        <v>195</v>
      </c>
      <c r="F14" s="519"/>
      <c r="G14" s="98"/>
      <c r="H14" s="99"/>
    </row>
    <row r="15" spans="2:10" ht="19.5" customHeight="1" x14ac:dyDescent="0.25">
      <c r="B15" s="95"/>
      <c r="C15" s="516" t="s">
        <v>194</v>
      </c>
      <c r="D15" s="517"/>
      <c r="E15" s="518" t="s">
        <v>196</v>
      </c>
      <c r="F15" s="519"/>
      <c r="G15" s="98"/>
      <c r="H15" s="99"/>
    </row>
    <row r="16" spans="2:10" ht="69.75" customHeight="1" x14ac:dyDescent="0.25">
      <c r="B16" s="95"/>
      <c r="C16" s="516" t="s">
        <v>163</v>
      </c>
      <c r="D16" s="517"/>
      <c r="E16" s="518" t="s">
        <v>164</v>
      </c>
      <c r="F16" s="519"/>
      <c r="G16" s="98"/>
      <c r="H16" s="99"/>
    </row>
    <row r="17" spans="2:8" ht="34.5" customHeight="1" x14ac:dyDescent="0.25">
      <c r="B17" s="95"/>
      <c r="C17" s="520" t="s">
        <v>2</v>
      </c>
      <c r="D17" s="521"/>
      <c r="E17" s="512" t="s">
        <v>199</v>
      </c>
      <c r="F17" s="513"/>
      <c r="G17" s="98"/>
      <c r="H17" s="99"/>
    </row>
    <row r="18" spans="2:8" ht="27.75" customHeight="1" x14ac:dyDescent="0.25">
      <c r="B18" s="95"/>
      <c r="C18" s="520" t="s">
        <v>3</v>
      </c>
      <c r="D18" s="521"/>
      <c r="E18" s="512" t="s">
        <v>200</v>
      </c>
      <c r="F18" s="513"/>
      <c r="G18" s="98"/>
      <c r="H18" s="99"/>
    </row>
    <row r="19" spans="2:8" ht="28.5" customHeight="1" x14ac:dyDescent="0.25">
      <c r="B19" s="95"/>
      <c r="C19" s="520" t="s">
        <v>41</v>
      </c>
      <c r="D19" s="521"/>
      <c r="E19" s="512" t="s">
        <v>201</v>
      </c>
      <c r="F19" s="513"/>
      <c r="G19" s="98"/>
      <c r="H19" s="99"/>
    </row>
    <row r="20" spans="2:8" ht="72.75" customHeight="1" x14ac:dyDescent="0.25">
      <c r="B20" s="95"/>
      <c r="C20" s="520" t="s">
        <v>1</v>
      </c>
      <c r="D20" s="521"/>
      <c r="E20" s="512" t="s">
        <v>202</v>
      </c>
      <c r="F20" s="513"/>
      <c r="G20" s="98"/>
      <c r="H20" s="99"/>
    </row>
    <row r="21" spans="2:8" ht="64.5" customHeight="1" x14ac:dyDescent="0.25">
      <c r="B21" s="95"/>
      <c r="C21" s="520" t="s">
        <v>49</v>
      </c>
      <c r="D21" s="521"/>
      <c r="E21" s="512" t="s">
        <v>167</v>
      </c>
      <c r="F21" s="513"/>
      <c r="G21" s="98"/>
      <c r="H21" s="99"/>
    </row>
    <row r="22" spans="2:8" ht="71.25" customHeight="1" x14ac:dyDescent="0.25">
      <c r="B22" s="95"/>
      <c r="C22" s="520" t="s">
        <v>166</v>
      </c>
      <c r="D22" s="521"/>
      <c r="E22" s="512" t="s">
        <v>168</v>
      </c>
      <c r="F22" s="513"/>
      <c r="G22" s="98"/>
      <c r="H22" s="99"/>
    </row>
    <row r="23" spans="2:8" ht="55.5" customHeight="1" x14ac:dyDescent="0.25">
      <c r="B23" s="95"/>
      <c r="C23" s="514" t="s">
        <v>169</v>
      </c>
      <c r="D23" s="515"/>
      <c r="E23" s="512" t="s">
        <v>170</v>
      </c>
      <c r="F23" s="513"/>
      <c r="G23" s="98"/>
      <c r="H23" s="99"/>
    </row>
    <row r="24" spans="2:8" ht="42" customHeight="1" x14ac:dyDescent="0.25">
      <c r="B24" s="95"/>
      <c r="C24" s="514" t="s">
        <v>47</v>
      </c>
      <c r="D24" s="515"/>
      <c r="E24" s="512" t="s">
        <v>171</v>
      </c>
      <c r="F24" s="513"/>
      <c r="G24" s="98"/>
      <c r="H24" s="99"/>
    </row>
    <row r="25" spans="2:8" ht="59.25" customHeight="1" x14ac:dyDescent="0.25">
      <c r="B25" s="95"/>
      <c r="C25" s="514" t="s">
        <v>159</v>
      </c>
      <c r="D25" s="515"/>
      <c r="E25" s="512" t="s">
        <v>172</v>
      </c>
      <c r="F25" s="513"/>
      <c r="G25" s="98"/>
      <c r="H25" s="99"/>
    </row>
    <row r="26" spans="2:8" ht="23.25" customHeight="1" x14ac:dyDescent="0.25">
      <c r="B26" s="95"/>
      <c r="C26" s="514" t="s">
        <v>12</v>
      </c>
      <c r="D26" s="515"/>
      <c r="E26" s="512" t="s">
        <v>173</v>
      </c>
      <c r="F26" s="513"/>
      <c r="G26" s="98"/>
      <c r="H26" s="99"/>
    </row>
    <row r="27" spans="2:8" ht="30.75" customHeight="1" x14ac:dyDescent="0.25">
      <c r="B27" s="95"/>
      <c r="C27" s="514" t="s">
        <v>177</v>
      </c>
      <c r="D27" s="515"/>
      <c r="E27" s="512" t="s">
        <v>174</v>
      </c>
      <c r="F27" s="513"/>
      <c r="G27" s="98"/>
      <c r="H27" s="99"/>
    </row>
    <row r="28" spans="2:8" ht="35.25" customHeight="1" x14ac:dyDescent="0.25">
      <c r="B28" s="95"/>
      <c r="C28" s="514" t="s">
        <v>178</v>
      </c>
      <c r="D28" s="515"/>
      <c r="E28" s="512" t="s">
        <v>175</v>
      </c>
      <c r="F28" s="513"/>
      <c r="G28" s="98"/>
      <c r="H28" s="99"/>
    </row>
    <row r="29" spans="2:8" ht="33" customHeight="1" x14ac:dyDescent="0.25">
      <c r="B29" s="95"/>
      <c r="C29" s="514" t="s">
        <v>178</v>
      </c>
      <c r="D29" s="515"/>
      <c r="E29" s="512" t="s">
        <v>175</v>
      </c>
      <c r="F29" s="513"/>
      <c r="G29" s="98"/>
      <c r="H29" s="99"/>
    </row>
    <row r="30" spans="2:8" ht="30" customHeight="1" x14ac:dyDescent="0.25">
      <c r="B30" s="95"/>
      <c r="C30" s="514" t="s">
        <v>179</v>
      </c>
      <c r="D30" s="515"/>
      <c r="E30" s="512" t="s">
        <v>176</v>
      </c>
      <c r="F30" s="513"/>
      <c r="G30" s="98"/>
      <c r="H30" s="99"/>
    </row>
    <row r="31" spans="2:8" ht="35.25" customHeight="1" x14ac:dyDescent="0.25">
      <c r="B31" s="95"/>
      <c r="C31" s="514" t="s">
        <v>180</v>
      </c>
      <c r="D31" s="515"/>
      <c r="E31" s="512" t="s">
        <v>181</v>
      </c>
      <c r="F31" s="513"/>
      <c r="G31" s="98"/>
      <c r="H31" s="99"/>
    </row>
    <row r="32" spans="2:8" ht="31.5" customHeight="1" x14ac:dyDescent="0.25">
      <c r="B32" s="95"/>
      <c r="C32" s="514" t="s">
        <v>182</v>
      </c>
      <c r="D32" s="515"/>
      <c r="E32" s="512" t="s">
        <v>183</v>
      </c>
      <c r="F32" s="513"/>
      <c r="G32" s="98"/>
      <c r="H32" s="99"/>
    </row>
    <row r="33" spans="2:8" ht="35.25" customHeight="1" x14ac:dyDescent="0.25">
      <c r="B33" s="95"/>
      <c r="C33" s="514" t="s">
        <v>184</v>
      </c>
      <c r="D33" s="515"/>
      <c r="E33" s="512" t="s">
        <v>185</v>
      </c>
      <c r="F33" s="513"/>
      <c r="G33" s="98"/>
      <c r="H33" s="99"/>
    </row>
    <row r="34" spans="2:8" ht="59.25" customHeight="1" x14ac:dyDescent="0.25">
      <c r="B34" s="95"/>
      <c r="C34" s="514" t="s">
        <v>186</v>
      </c>
      <c r="D34" s="515"/>
      <c r="E34" s="512" t="s">
        <v>187</v>
      </c>
      <c r="F34" s="513"/>
      <c r="G34" s="98"/>
      <c r="H34" s="99"/>
    </row>
    <row r="35" spans="2:8" ht="29.25" customHeight="1" x14ac:dyDescent="0.25">
      <c r="B35" s="95"/>
      <c r="C35" s="514" t="s">
        <v>29</v>
      </c>
      <c r="D35" s="515"/>
      <c r="E35" s="512" t="s">
        <v>188</v>
      </c>
      <c r="F35" s="513"/>
      <c r="G35" s="98"/>
      <c r="H35" s="99"/>
    </row>
    <row r="36" spans="2:8" ht="82.5" customHeight="1" x14ac:dyDescent="0.25">
      <c r="B36" s="95"/>
      <c r="C36" s="514" t="s">
        <v>190</v>
      </c>
      <c r="D36" s="515"/>
      <c r="E36" s="512" t="s">
        <v>189</v>
      </c>
      <c r="F36" s="513"/>
      <c r="G36" s="98"/>
      <c r="H36" s="99"/>
    </row>
    <row r="37" spans="2:8" ht="46.5" customHeight="1" x14ac:dyDescent="0.25">
      <c r="B37" s="95"/>
      <c r="C37" s="514" t="s">
        <v>38</v>
      </c>
      <c r="D37" s="515"/>
      <c r="E37" s="512" t="s">
        <v>191</v>
      </c>
      <c r="F37" s="513"/>
      <c r="G37" s="98"/>
      <c r="H37" s="99"/>
    </row>
    <row r="38" spans="2:8" ht="6.75" customHeight="1" thickBot="1" x14ac:dyDescent="0.3">
      <c r="B38" s="95"/>
      <c r="C38" s="525"/>
      <c r="D38" s="526"/>
      <c r="E38" s="527"/>
      <c r="F38" s="528"/>
      <c r="G38" s="98"/>
      <c r="H38" s="99"/>
    </row>
    <row r="39" spans="2:8" ht="15.75" thickTop="1" x14ac:dyDescent="0.25">
      <c r="B39" s="95"/>
      <c r="C39" s="96"/>
      <c r="D39" s="96"/>
      <c r="E39" s="97"/>
      <c r="F39" s="97"/>
      <c r="G39" s="98"/>
      <c r="H39" s="99"/>
    </row>
    <row r="40" spans="2:8" ht="21" customHeight="1" x14ac:dyDescent="0.25">
      <c r="B40" s="522" t="s">
        <v>294</v>
      </c>
      <c r="C40" s="523"/>
      <c r="D40" s="523"/>
      <c r="E40" s="523"/>
      <c r="F40" s="523"/>
      <c r="G40" s="523"/>
      <c r="H40" s="524"/>
    </row>
    <row r="41" spans="2:8" ht="20.25" customHeight="1" x14ac:dyDescent="0.25">
      <c r="B41" s="522" t="s">
        <v>295</v>
      </c>
      <c r="C41" s="523"/>
      <c r="D41" s="523"/>
      <c r="E41" s="523"/>
      <c r="F41" s="523"/>
      <c r="G41" s="523"/>
      <c r="H41" s="524"/>
    </row>
    <row r="42" spans="2:8" ht="20.25" customHeight="1" x14ac:dyDescent="0.25">
      <c r="B42" s="522" t="s">
        <v>296</v>
      </c>
      <c r="C42" s="523"/>
      <c r="D42" s="523"/>
      <c r="E42" s="523"/>
      <c r="F42" s="523"/>
      <c r="G42" s="523"/>
      <c r="H42" s="524"/>
    </row>
    <row r="43" spans="2:8" ht="20.25" customHeight="1" x14ac:dyDescent="0.25">
      <c r="B43" s="522" t="s">
        <v>297</v>
      </c>
      <c r="C43" s="523"/>
      <c r="D43" s="523"/>
      <c r="E43" s="523"/>
      <c r="F43" s="523"/>
      <c r="G43" s="523"/>
      <c r="H43" s="524"/>
    </row>
    <row r="44" spans="2:8" ht="15" customHeight="1" x14ac:dyDescent="0.25">
      <c r="B44" s="522" t="s">
        <v>298</v>
      </c>
      <c r="C44" s="523"/>
      <c r="D44" s="523"/>
      <c r="E44" s="523"/>
      <c r="F44" s="523"/>
      <c r="G44" s="523"/>
      <c r="H44" s="524"/>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88" t="s">
        <v>251</v>
      </c>
      <c r="C2" s="589" t="s">
        <v>205</v>
      </c>
      <c r="D2" s="590"/>
      <c r="E2" s="590"/>
      <c r="F2" s="590"/>
      <c r="G2" s="590"/>
      <c r="H2" s="590"/>
      <c r="I2" s="590"/>
      <c r="J2" s="274" t="s">
        <v>250</v>
      </c>
      <c r="K2" s="247"/>
    </row>
    <row r="3" spans="2:11" ht="15" customHeight="1" x14ac:dyDescent="0.25">
      <c r="B3" s="505"/>
      <c r="C3" s="591"/>
      <c r="D3" s="592"/>
      <c r="E3" s="592"/>
      <c r="F3" s="592"/>
      <c r="G3" s="592"/>
      <c r="H3" s="592"/>
      <c r="I3" s="592"/>
      <c r="J3" s="275" t="s">
        <v>264</v>
      </c>
      <c r="K3" s="249"/>
    </row>
    <row r="4" spans="2:11" ht="15" customHeight="1" x14ac:dyDescent="0.25">
      <c r="B4" s="505"/>
      <c r="C4" s="591"/>
      <c r="D4" s="592"/>
      <c r="E4" s="592"/>
      <c r="F4" s="592"/>
      <c r="G4" s="592"/>
      <c r="H4" s="592"/>
      <c r="I4" s="592"/>
      <c r="J4" s="275" t="s">
        <v>263</v>
      </c>
      <c r="K4" s="249" t="s">
        <v>263</v>
      </c>
    </row>
    <row r="5" spans="2:11" ht="15" customHeight="1" thickBot="1" x14ac:dyDescent="0.3">
      <c r="B5" s="506"/>
      <c r="C5" s="593"/>
      <c r="D5" s="594"/>
      <c r="E5" s="594"/>
      <c r="F5" s="594"/>
      <c r="G5" s="594"/>
      <c r="H5" s="594"/>
      <c r="I5" s="594"/>
      <c r="J5" s="276" t="s">
        <v>245</v>
      </c>
      <c r="K5" s="251" t="s">
        <v>245</v>
      </c>
    </row>
    <row r="6" spans="2:11" ht="15.75" thickBot="1" x14ac:dyDescent="0.3"/>
    <row r="7" spans="2:11" customFormat="1" ht="15.75" thickBot="1" x14ac:dyDescent="0.3">
      <c r="B7" s="582" t="s">
        <v>246</v>
      </c>
      <c r="C7" s="583"/>
      <c r="D7" s="584" t="s">
        <v>252</v>
      </c>
      <c r="E7" s="585"/>
      <c r="F7" s="584" t="s">
        <v>253</v>
      </c>
      <c r="G7" s="586"/>
      <c r="H7" s="586"/>
      <c r="I7" s="586"/>
      <c r="J7" s="586"/>
      <c r="K7" s="587"/>
    </row>
    <row r="8" spans="2:11" customFormat="1" ht="18" customHeight="1" thickBot="1" x14ac:dyDescent="0.3">
      <c r="B8" s="553"/>
      <c r="C8" s="554"/>
      <c r="D8" s="555">
        <v>1</v>
      </c>
      <c r="E8" s="556"/>
      <c r="F8" s="551"/>
      <c r="G8" s="551"/>
      <c r="H8" s="551"/>
      <c r="I8" s="551"/>
      <c r="J8" s="551"/>
      <c r="K8" s="552"/>
    </row>
    <row r="9" spans="2:11" customFormat="1" ht="18" customHeight="1" thickBot="1" x14ac:dyDescent="0.3">
      <c r="B9" s="553"/>
      <c r="C9" s="554"/>
      <c r="D9" s="555">
        <v>2</v>
      </c>
      <c r="E9" s="556"/>
      <c r="F9" s="551"/>
      <c r="G9" s="551"/>
      <c r="H9" s="551"/>
      <c r="I9" s="551"/>
      <c r="J9" s="551"/>
      <c r="K9" s="552"/>
    </row>
    <row r="10" spans="2:11" customFormat="1" ht="18" customHeight="1" thickBot="1" x14ac:dyDescent="0.3">
      <c r="B10" s="553"/>
      <c r="C10" s="554"/>
      <c r="D10" s="555">
        <v>3</v>
      </c>
      <c r="E10" s="556"/>
      <c r="F10" s="551"/>
      <c r="G10" s="551"/>
      <c r="H10" s="551"/>
      <c r="I10" s="551"/>
      <c r="J10" s="551"/>
      <c r="K10" s="552"/>
    </row>
    <row r="11" spans="2:11" customFormat="1" ht="18" customHeight="1" thickBot="1" x14ac:dyDescent="0.3">
      <c r="B11" s="553"/>
      <c r="C11" s="554"/>
      <c r="D11" s="555">
        <v>4</v>
      </c>
      <c r="E11" s="556"/>
      <c r="F11" s="551"/>
      <c r="G11" s="551"/>
      <c r="H11" s="551"/>
      <c r="I11" s="551"/>
      <c r="J11" s="551"/>
      <c r="K11" s="552"/>
    </row>
    <row r="12" spans="2:11" customFormat="1" ht="18" customHeight="1" thickBot="1" x14ac:dyDescent="0.3">
      <c r="B12" s="553"/>
      <c r="C12" s="554"/>
      <c r="D12" s="555">
        <v>5</v>
      </c>
      <c r="E12" s="556"/>
      <c r="F12" s="551"/>
      <c r="G12" s="551"/>
      <c r="H12" s="551"/>
      <c r="I12" s="551"/>
      <c r="J12" s="551"/>
      <c r="K12" s="552"/>
    </row>
    <row r="13" spans="2:11" customFormat="1" ht="18" customHeight="1" thickBot="1" x14ac:dyDescent="0.3">
      <c r="B13" s="553"/>
      <c r="C13" s="554"/>
      <c r="D13" s="555">
        <v>6</v>
      </c>
      <c r="E13" s="556"/>
      <c r="F13" s="551"/>
      <c r="G13" s="551"/>
      <c r="H13" s="551"/>
      <c r="I13" s="551"/>
      <c r="J13" s="551"/>
      <c r="K13" s="552"/>
    </row>
    <row r="14" spans="2:11" customFormat="1" ht="18" customHeight="1" thickBot="1" x14ac:dyDescent="0.3">
      <c r="B14" s="553"/>
      <c r="C14" s="554"/>
      <c r="D14" s="555">
        <v>7</v>
      </c>
      <c r="E14" s="556"/>
      <c r="F14" s="551"/>
      <c r="G14" s="551"/>
      <c r="H14" s="551"/>
      <c r="I14" s="551"/>
      <c r="J14" s="551"/>
      <c r="K14" s="552"/>
    </row>
    <row r="15" spans="2:11" customFormat="1" ht="18" customHeight="1" thickBot="1" x14ac:dyDescent="0.3">
      <c r="B15" s="553">
        <v>45352</v>
      </c>
      <c r="C15" s="554"/>
      <c r="D15" s="555">
        <v>8</v>
      </c>
      <c r="E15" s="556"/>
      <c r="F15" s="551" t="s">
        <v>265</v>
      </c>
      <c r="G15" s="551"/>
      <c r="H15" s="551"/>
      <c r="I15" s="551"/>
      <c r="J15" s="551"/>
      <c r="K15" s="552"/>
    </row>
    <row r="16" spans="2:11" customFormat="1" ht="15.75" customHeight="1" thickBot="1" x14ac:dyDescent="0.3">
      <c r="B16" s="569"/>
      <c r="C16" s="569"/>
      <c r="D16" s="569"/>
      <c r="E16" s="569"/>
      <c r="F16" s="569"/>
      <c r="G16" s="569"/>
      <c r="H16" s="569"/>
      <c r="I16" s="569"/>
      <c r="J16" s="569"/>
      <c r="K16" s="569"/>
    </row>
    <row r="17" spans="2:12" customFormat="1" ht="15.75" customHeight="1" thickBot="1" x14ac:dyDescent="0.3">
      <c r="B17" s="570" t="s">
        <v>254</v>
      </c>
      <c r="C17" s="571"/>
      <c r="D17" s="571"/>
      <c r="E17" s="572"/>
      <c r="F17" s="573" t="s">
        <v>255</v>
      </c>
      <c r="G17" s="574"/>
      <c r="H17" s="575"/>
      <c r="I17" s="576" t="s">
        <v>256</v>
      </c>
      <c r="J17" s="577"/>
      <c r="K17" s="572"/>
    </row>
    <row r="18" spans="2:12" customFormat="1" ht="27" customHeight="1" x14ac:dyDescent="0.25">
      <c r="B18" s="578"/>
      <c r="C18" s="579"/>
      <c r="D18" s="579"/>
      <c r="E18" s="579"/>
      <c r="F18" s="579"/>
      <c r="G18" s="579"/>
      <c r="H18" s="579"/>
      <c r="I18" s="580"/>
      <c r="J18" s="580"/>
      <c r="K18" s="581"/>
    </row>
    <row r="19" spans="2:12" customFormat="1" ht="15" customHeight="1" x14ac:dyDescent="0.25">
      <c r="B19" s="558" t="s">
        <v>257</v>
      </c>
      <c r="C19" s="559"/>
      <c r="D19" s="559"/>
      <c r="E19" s="559"/>
      <c r="F19" s="560" t="s">
        <v>258</v>
      </c>
      <c r="G19" s="560"/>
      <c r="H19" s="561"/>
      <c r="I19" s="560" t="s">
        <v>258</v>
      </c>
      <c r="J19" s="560"/>
      <c r="K19" s="561"/>
    </row>
    <row r="20" spans="2:12" customFormat="1" ht="22.5" customHeight="1" thickBot="1" x14ac:dyDescent="0.3">
      <c r="B20" s="562" t="s">
        <v>259</v>
      </c>
      <c r="C20" s="563"/>
      <c r="D20" s="563"/>
      <c r="E20" s="563"/>
      <c r="F20" s="563" t="s">
        <v>260</v>
      </c>
      <c r="G20" s="563"/>
      <c r="H20" s="564"/>
      <c r="I20" s="563" t="s">
        <v>260</v>
      </c>
      <c r="J20" s="563"/>
      <c r="K20" s="564"/>
    </row>
    <row r="21" spans="2:12" customFormat="1" ht="9" customHeight="1" thickBot="1" x14ac:dyDescent="0.3">
      <c r="B21" s="565"/>
      <c r="C21" s="565"/>
      <c r="D21" s="565"/>
      <c r="E21" s="565"/>
      <c r="F21" s="565"/>
      <c r="G21" s="565"/>
      <c r="H21" s="565"/>
      <c r="I21" s="565"/>
      <c r="J21" s="565"/>
      <c r="K21" s="565"/>
    </row>
    <row r="22" spans="2:12" customFormat="1" ht="15.75" thickBot="1" x14ac:dyDescent="0.3">
      <c r="B22" s="566" t="s">
        <v>207</v>
      </c>
      <c r="C22" s="567"/>
      <c r="D22" s="568"/>
      <c r="E22" s="131" t="s">
        <v>208</v>
      </c>
      <c r="F22" s="566" t="s">
        <v>209</v>
      </c>
      <c r="G22" s="568"/>
      <c r="H22" s="132" t="s">
        <v>210</v>
      </c>
      <c r="I22" s="566" t="s">
        <v>211</v>
      </c>
      <c r="J22" s="568"/>
      <c r="K22" s="133">
        <v>1</v>
      </c>
    </row>
    <row r="23" spans="2:12" ht="8.25" customHeight="1" x14ac:dyDescent="0.25"/>
    <row r="24" spans="2:12" x14ac:dyDescent="0.25">
      <c r="B24" s="557" t="s">
        <v>261</v>
      </c>
      <c r="C24" s="557"/>
      <c r="D24" s="557"/>
      <c r="E24" s="557"/>
      <c r="F24" s="557"/>
      <c r="G24" s="557"/>
      <c r="H24" s="557"/>
      <c r="I24" s="557"/>
      <c r="J24" s="557"/>
      <c r="K24" s="557"/>
      <c r="L24" s="557"/>
    </row>
    <row r="25" spans="2:12" x14ac:dyDescent="0.25">
      <c r="B25" s="557" t="s">
        <v>262</v>
      </c>
      <c r="C25" s="557"/>
      <c r="D25" s="557"/>
      <c r="E25" s="557"/>
      <c r="F25" s="557"/>
      <c r="G25" s="557"/>
      <c r="H25" s="557"/>
      <c r="I25" s="557"/>
      <c r="J25" s="557"/>
      <c r="K25" s="557"/>
      <c r="L25" s="557"/>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595" t="s">
        <v>54</v>
      </c>
      <c r="C1" s="595"/>
      <c r="D1" s="595"/>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596" t="s">
        <v>62</v>
      </c>
      <c r="C1" s="596"/>
      <c r="D1" s="596"/>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597" t="s">
        <v>77</v>
      </c>
      <c r="C1" s="598"/>
      <c r="D1" s="598"/>
      <c r="E1" s="598"/>
      <c r="F1" s="599"/>
    </row>
    <row r="2" spans="2:6" ht="16.5" thickBot="1" x14ac:dyDescent="0.3">
      <c r="B2" s="75"/>
      <c r="C2" s="75"/>
      <c r="D2" s="75"/>
      <c r="E2" s="75"/>
      <c r="F2" s="75"/>
    </row>
    <row r="3" spans="2:6" ht="16.5" thickBot="1" x14ac:dyDescent="0.25">
      <c r="B3" s="601" t="s">
        <v>63</v>
      </c>
      <c r="C3" s="602"/>
      <c r="D3" s="602"/>
      <c r="E3" s="87" t="s">
        <v>64</v>
      </c>
      <c r="F3" s="88" t="s">
        <v>65</v>
      </c>
    </row>
    <row r="4" spans="2:6" ht="31.5" x14ac:dyDescent="0.2">
      <c r="B4" s="603" t="s">
        <v>66</v>
      </c>
      <c r="C4" s="605" t="s">
        <v>13</v>
      </c>
      <c r="D4" s="76" t="s">
        <v>14</v>
      </c>
      <c r="E4" s="77" t="s">
        <v>67</v>
      </c>
      <c r="F4" s="78">
        <v>0.25</v>
      </c>
    </row>
    <row r="5" spans="2:6" ht="47.25" x14ac:dyDescent="0.2">
      <c r="B5" s="604"/>
      <c r="C5" s="606"/>
      <c r="D5" s="79" t="s">
        <v>15</v>
      </c>
      <c r="E5" s="80" t="s">
        <v>68</v>
      </c>
      <c r="F5" s="81">
        <v>0.15</v>
      </c>
    </row>
    <row r="6" spans="2:6" ht="47.25" x14ac:dyDescent="0.2">
      <c r="B6" s="604"/>
      <c r="C6" s="606"/>
      <c r="D6" s="79" t="s">
        <v>16</v>
      </c>
      <c r="E6" s="80" t="s">
        <v>69</v>
      </c>
      <c r="F6" s="81">
        <v>0.1</v>
      </c>
    </row>
    <row r="7" spans="2:6" ht="63" x14ac:dyDescent="0.2">
      <c r="B7" s="604"/>
      <c r="C7" s="606" t="s">
        <v>17</v>
      </c>
      <c r="D7" s="79" t="s">
        <v>10</v>
      </c>
      <c r="E7" s="80" t="s">
        <v>70</v>
      </c>
      <c r="F7" s="81">
        <v>0.25</v>
      </c>
    </row>
    <row r="8" spans="2:6" ht="31.5" x14ac:dyDescent="0.2">
      <c r="B8" s="604"/>
      <c r="C8" s="606"/>
      <c r="D8" s="79" t="s">
        <v>9</v>
      </c>
      <c r="E8" s="80" t="s">
        <v>71</v>
      </c>
      <c r="F8" s="81">
        <v>0.15</v>
      </c>
    </row>
    <row r="9" spans="2:6" ht="47.25" x14ac:dyDescent="0.2">
      <c r="B9" s="604" t="s">
        <v>158</v>
      </c>
      <c r="C9" s="606" t="s">
        <v>18</v>
      </c>
      <c r="D9" s="79" t="s">
        <v>19</v>
      </c>
      <c r="E9" s="80" t="s">
        <v>72</v>
      </c>
      <c r="F9" s="82" t="s">
        <v>73</v>
      </c>
    </row>
    <row r="10" spans="2:6" ht="63" x14ac:dyDescent="0.2">
      <c r="B10" s="604"/>
      <c r="C10" s="606"/>
      <c r="D10" s="79" t="s">
        <v>20</v>
      </c>
      <c r="E10" s="80" t="s">
        <v>74</v>
      </c>
      <c r="F10" s="82" t="s">
        <v>73</v>
      </c>
    </row>
    <row r="11" spans="2:6" ht="47.25" x14ac:dyDescent="0.2">
      <c r="B11" s="604"/>
      <c r="C11" s="606" t="s">
        <v>21</v>
      </c>
      <c r="D11" s="79" t="s">
        <v>22</v>
      </c>
      <c r="E11" s="80" t="s">
        <v>75</v>
      </c>
      <c r="F11" s="82" t="s">
        <v>73</v>
      </c>
    </row>
    <row r="12" spans="2:6" ht="47.25" x14ac:dyDescent="0.2">
      <c r="B12" s="604"/>
      <c r="C12" s="606"/>
      <c r="D12" s="79" t="s">
        <v>23</v>
      </c>
      <c r="E12" s="80" t="s">
        <v>76</v>
      </c>
      <c r="F12" s="82" t="s">
        <v>73</v>
      </c>
    </row>
    <row r="13" spans="2:6" ht="31.5" x14ac:dyDescent="0.2">
      <c r="B13" s="604"/>
      <c r="C13" s="606" t="s">
        <v>24</v>
      </c>
      <c r="D13" s="79" t="s">
        <v>118</v>
      </c>
      <c r="E13" s="80" t="s">
        <v>121</v>
      </c>
      <c r="F13" s="82" t="s">
        <v>73</v>
      </c>
    </row>
    <row r="14" spans="2:6" ht="32.25" thickBot="1" x14ac:dyDescent="0.25">
      <c r="B14" s="607"/>
      <c r="C14" s="608"/>
      <c r="D14" s="83" t="s">
        <v>119</v>
      </c>
      <c r="E14" s="84" t="s">
        <v>120</v>
      </c>
      <c r="F14" s="85" t="s">
        <v>73</v>
      </c>
    </row>
    <row r="15" spans="2:6" ht="49.5" customHeight="1" x14ac:dyDescent="0.2">
      <c r="B15" s="600" t="s">
        <v>155</v>
      </c>
      <c r="C15" s="600"/>
      <c r="D15" s="600"/>
      <c r="E15" s="600"/>
      <c r="F15" s="600"/>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66" t="s">
        <v>244</v>
      </c>
      <c r="C2" s="267"/>
      <c r="D2" s="254" t="s">
        <v>300</v>
      </c>
      <c r="E2" s="274" t="s">
        <v>377</v>
      </c>
      <c r="F2" s="247"/>
    </row>
    <row r="3" spans="1:8" ht="19.5" customHeight="1" x14ac:dyDescent="0.25">
      <c r="B3" s="242"/>
      <c r="C3" s="268"/>
      <c r="D3" s="255"/>
      <c r="E3" s="275" t="s">
        <v>264</v>
      </c>
      <c r="F3" s="249"/>
    </row>
    <row r="4" spans="1:8" ht="19.5" customHeight="1" x14ac:dyDescent="0.25">
      <c r="B4" s="242"/>
      <c r="C4" s="268"/>
      <c r="D4" s="255"/>
      <c r="E4" s="275" t="s">
        <v>389</v>
      </c>
      <c r="F4" s="249"/>
    </row>
    <row r="5" spans="1:8" ht="19.5" customHeight="1" thickBot="1" x14ac:dyDescent="0.3">
      <c r="A5" t="s">
        <v>266</v>
      </c>
      <c r="B5" s="244"/>
      <c r="C5" s="269"/>
      <c r="D5" s="256"/>
      <c r="E5" s="276" t="s">
        <v>245</v>
      </c>
      <c r="F5" s="251"/>
    </row>
    <row r="6" spans="1:8" ht="15.75" thickBot="1" x14ac:dyDescent="0.3"/>
    <row r="7" spans="1:8" x14ac:dyDescent="0.25">
      <c r="B7" s="257" t="s">
        <v>299</v>
      </c>
      <c r="C7" s="260" t="s">
        <v>268</v>
      </c>
      <c r="D7" s="261"/>
      <c r="E7" s="270" t="s">
        <v>270</v>
      </c>
      <c r="F7" s="271"/>
    </row>
    <row r="8" spans="1:8" ht="15.75" thickBot="1" x14ac:dyDescent="0.3">
      <c r="B8" s="258"/>
      <c r="C8" s="262"/>
      <c r="D8" s="263"/>
      <c r="E8" s="272"/>
      <c r="F8" s="273"/>
      <c r="H8" s="156">
        <f>+COUNTA($E$10:$E$28)</f>
        <v>0</v>
      </c>
    </row>
    <row r="9" spans="1:8" ht="15.75" thickBot="1" x14ac:dyDescent="0.3">
      <c r="B9" s="259"/>
      <c r="C9" s="264" t="s">
        <v>269</v>
      </c>
      <c r="D9" s="265"/>
      <c r="E9" s="153" t="s">
        <v>271</v>
      </c>
      <c r="F9" s="153" t="s">
        <v>272</v>
      </c>
      <c r="H9" s="156">
        <f>+COUNTA($F$10:$F$28)</f>
        <v>0</v>
      </c>
    </row>
    <row r="10" spans="1:8" ht="15.75" thickBot="1" x14ac:dyDescent="0.3">
      <c r="B10" s="152">
        <v>1</v>
      </c>
      <c r="C10" s="252" t="s">
        <v>273</v>
      </c>
      <c r="D10" s="253"/>
      <c r="E10" s="148"/>
      <c r="F10" s="149"/>
      <c r="H10" s="156">
        <f>+COUNTA($E$10:$E$28)-COUNTA(F10:F28)</f>
        <v>0</v>
      </c>
    </row>
    <row r="11" spans="1:8" ht="15.75" thickBot="1" x14ac:dyDescent="0.3">
      <c r="B11" s="152">
        <v>2</v>
      </c>
      <c r="C11" s="252" t="s">
        <v>275</v>
      </c>
      <c r="D11" s="253" t="s">
        <v>275</v>
      </c>
      <c r="E11" s="148"/>
      <c r="F11" s="149"/>
      <c r="H11" s="157"/>
    </row>
    <row r="12" spans="1:8" ht="15.75" thickBot="1" x14ac:dyDescent="0.3">
      <c r="B12" s="152">
        <v>3</v>
      </c>
      <c r="C12" s="252" t="s">
        <v>276</v>
      </c>
      <c r="D12" s="253" t="s">
        <v>276</v>
      </c>
      <c r="E12" s="148"/>
      <c r="F12" s="149"/>
    </row>
    <row r="13" spans="1:8" ht="15.75" thickBot="1" x14ac:dyDescent="0.3">
      <c r="B13" s="152">
        <v>4</v>
      </c>
      <c r="C13" s="252" t="s">
        <v>388</v>
      </c>
      <c r="D13" s="253" t="s">
        <v>277</v>
      </c>
      <c r="E13" s="148"/>
      <c r="F13" s="149"/>
    </row>
    <row r="14" spans="1:8" ht="15.75" thickBot="1" x14ac:dyDescent="0.3">
      <c r="B14" s="152">
        <v>5</v>
      </c>
      <c r="C14" s="252" t="s">
        <v>278</v>
      </c>
      <c r="D14" s="253" t="s">
        <v>278</v>
      </c>
      <c r="E14" s="148"/>
      <c r="F14" s="149"/>
    </row>
    <row r="15" spans="1:8" ht="15.75" thickBot="1" x14ac:dyDescent="0.3">
      <c r="B15" s="152">
        <v>6</v>
      </c>
      <c r="C15" s="252" t="s">
        <v>279</v>
      </c>
      <c r="D15" s="253" t="s">
        <v>279</v>
      </c>
      <c r="E15" s="148"/>
      <c r="F15" s="149"/>
    </row>
    <row r="16" spans="1:8" ht="15.75" thickBot="1" x14ac:dyDescent="0.3">
      <c r="B16" s="152">
        <v>7</v>
      </c>
      <c r="C16" s="252" t="s">
        <v>280</v>
      </c>
      <c r="D16" s="253" t="s">
        <v>280</v>
      </c>
      <c r="E16" s="148"/>
      <c r="F16" s="149"/>
    </row>
    <row r="17" spans="2:7" ht="28.5" customHeight="1" thickBot="1" x14ac:dyDescent="0.3">
      <c r="B17" s="152">
        <v>8</v>
      </c>
      <c r="C17" s="252" t="s">
        <v>281</v>
      </c>
      <c r="D17" s="253" t="s">
        <v>281</v>
      </c>
      <c r="E17" s="148"/>
      <c r="F17" s="149"/>
    </row>
    <row r="18" spans="2:7" ht="18.75" customHeight="1" thickBot="1" x14ac:dyDescent="0.3">
      <c r="B18" s="152">
        <v>9</v>
      </c>
      <c r="C18" s="252" t="s">
        <v>282</v>
      </c>
      <c r="D18" s="253" t="s">
        <v>282</v>
      </c>
      <c r="E18" s="148"/>
      <c r="F18" s="149"/>
    </row>
    <row r="19" spans="2:7" ht="15.75" thickBot="1" x14ac:dyDescent="0.3">
      <c r="B19" s="152">
        <v>10</v>
      </c>
      <c r="C19" s="252" t="s">
        <v>283</v>
      </c>
      <c r="D19" s="253" t="s">
        <v>283</v>
      </c>
      <c r="E19" s="148"/>
      <c r="F19" s="149"/>
    </row>
    <row r="20" spans="2:7" ht="15.75" thickBot="1" x14ac:dyDescent="0.3">
      <c r="B20" s="152">
        <v>11</v>
      </c>
      <c r="C20" s="252" t="s">
        <v>284</v>
      </c>
      <c r="D20" s="253" t="s">
        <v>284</v>
      </c>
      <c r="E20" s="148"/>
      <c r="F20" s="149"/>
    </row>
    <row r="21" spans="2:7" ht="15.75" thickBot="1" x14ac:dyDescent="0.3">
      <c r="B21" s="152">
        <v>12</v>
      </c>
      <c r="C21" s="252" t="s">
        <v>285</v>
      </c>
      <c r="D21" s="253" t="s">
        <v>285</v>
      </c>
      <c r="E21" s="148"/>
      <c r="F21" s="149"/>
    </row>
    <row r="22" spans="2:7" ht="15.75" thickBot="1" x14ac:dyDescent="0.3">
      <c r="B22" s="152">
        <v>13</v>
      </c>
      <c r="C22" s="252" t="s">
        <v>286</v>
      </c>
      <c r="D22" s="253" t="s">
        <v>286</v>
      </c>
      <c r="E22" s="148"/>
      <c r="F22" s="149"/>
    </row>
    <row r="23" spans="2:7" ht="15.75" thickBot="1" x14ac:dyDescent="0.3">
      <c r="B23" s="152">
        <v>14</v>
      </c>
      <c r="C23" s="252" t="s">
        <v>287</v>
      </c>
      <c r="D23" s="253" t="s">
        <v>287</v>
      </c>
      <c r="E23" s="148"/>
      <c r="F23" s="149"/>
    </row>
    <row r="24" spans="2:7" ht="15.75" thickBot="1" x14ac:dyDescent="0.3">
      <c r="B24" s="152">
        <v>15</v>
      </c>
      <c r="C24" s="252" t="s">
        <v>288</v>
      </c>
      <c r="D24" s="253" t="s">
        <v>288</v>
      </c>
      <c r="E24" s="148"/>
      <c r="F24" s="149"/>
    </row>
    <row r="25" spans="2:7" ht="15.75" thickBot="1" x14ac:dyDescent="0.3">
      <c r="B25" s="152">
        <v>16</v>
      </c>
      <c r="C25" s="252" t="s">
        <v>289</v>
      </c>
      <c r="D25" s="253" t="s">
        <v>289</v>
      </c>
      <c r="E25" s="148"/>
      <c r="F25" s="149"/>
    </row>
    <row r="26" spans="2:7" ht="15.75" thickBot="1" x14ac:dyDescent="0.3">
      <c r="B26" s="152">
        <v>17</v>
      </c>
      <c r="C26" s="252" t="s">
        <v>290</v>
      </c>
      <c r="D26" s="253" t="s">
        <v>290</v>
      </c>
      <c r="E26" s="148"/>
      <c r="F26" s="149"/>
    </row>
    <row r="27" spans="2:7" ht="15.75" thickBot="1" x14ac:dyDescent="0.3">
      <c r="B27" s="152">
        <v>18</v>
      </c>
      <c r="C27" s="252" t="s">
        <v>291</v>
      </c>
      <c r="D27" s="253" t="s">
        <v>291</v>
      </c>
      <c r="E27" s="148"/>
      <c r="F27" s="149"/>
    </row>
    <row r="28" spans="2:7" ht="15.75" thickBot="1" x14ac:dyDescent="0.3">
      <c r="B28" s="152">
        <v>19</v>
      </c>
      <c r="C28" s="252" t="s">
        <v>292</v>
      </c>
      <c r="D28" s="253"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28" priority="1" stopIfTrue="1" operator="equal">
      <formula>"Catastrófico"</formula>
    </cfRule>
    <cfRule type="cellIs" dxfId="27" priority="2" stopIfTrue="1" operator="equal">
      <formula>"Moderado"</formula>
    </cfRule>
    <cfRule type="cellIs" dxfId="26"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8"/>
  <sheetViews>
    <sheetView showGridLines="0" zoomScale="60" zoomScaleNormal="60" workbookViewId="0">
      <pane ySplit="10" topLeftCell="A11" activePane="bottomLeft" state="frozen"/>
      <selection pane="bottomLeft" activeCell="M43" sqref="M43:M44"/>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6.7109375" style="182" customWidth="1"/>
    <col min="10" max="10" width="16.28515625" style="182" hidden="1" customWidth="1"/>
    <col min="11" max="11" width="25.5703125" style="182" customWidth="1"/>
    <col min="12" max="12" width="59" style="181" customWidth="1"/>
    <col min="13" max="15" width="19" style="183" customWidth="1"/>
    <col min="16" max="16" width="17.7109375" style="181" customWidth="1"/>
    <col min="17" max="17" width="16.42578125" style="181" customWidth="1"/>
    <col min="18" max="18" width="6.28515625" style="181" bestFit="1" customWidth="1"/>
    <col min="19" max="19" width="30.85546875" style="181" customWidth="1"/>
    <col min="20" max="20" width="27" style="181" customWidth="1"/>
    <col min="21" max="21" width="17.42578125" style="181" customWidth="1"/>
    <col min="22" max="22" width="6.28515625" style="181" bestFit="1" customWidth="1"/>
    <col min="23" max="23" width="16" style="181" customWidth="1"/>
    <col min="24" max="24" width="5.7109375" style="181" customWidth="1"/>
    <col min="25" max="25" width="59.28515625" style="181" customWidth="1"/>
    <col min="26" max="26" width="52"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3" width="6.85546875" style="181" customWidth="1"/>
    <col min="34" max="34" width="12.57031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33.85546875" style="181" customWidth="1"/>
    <col min="43" max="43" width="28"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292" t="s">
        <v>301</v>
      </c>
      <c r="E2" s="293"/>
      <c r="F2" s="293"/>
      <c r="G2" s="293"/>
      <c r="H2" s="293"/>
      <c r="I2" s="298" t="s">
        <v>205</v>
      </c>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306" t="s">
        <v>377</v>
      </c>
      <c r="BB2" s="307"/>
    </row>
    <row r="3" spans="1:80" ht="27.75" customHeight="1" x14ac:dyDescent="0.2">
      <c r="D3" s="294"/>
      <c r="E3" s="295"/>
      <c r="F3" s="295"/>
      <c r="G3" s="295"/>
      <c r="H3" s="295"/>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308" t="s">
        <v>242</v>
      </c>
      <c r="BB3" s="308"/>
    </row>
    <row r="4" spans="1:80" ht="27.75" customHeight="1" x14ac:dyDescent="0.2">
      <c r="D4" s="294"/>
      <c r="E4" s="295"/>
      <c r="F4" s="295"/>
      <c r="G4" s="295"/>
      <c r="H4" s="295"/>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308" t="s">
        <v>389</v>
      </c>
      <c r="BB4" s="308"/>
    </row>
    <row r="5" spans="1:80" ht="27.75" customHeight="1" thickBot="1" x14ac:dyDescent="0.25">
      <c r="D5" s="296"/>
      <c r="E5" s="297"/>
      <c r="F5" s="297"/>
      <c r="G5" s="297"/>
      <c r="H5" s="297"/>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308" t="s">
        <v>206</v>
      </c>
      <c r="BB5" s="308"/>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286" t="s">
        <v>42</v>
      </c>
      <c r="E7" s="287"/>
      <c r="F7" s="287"/>
      <c r="G7" s="288"/>
      <c r="H7" s="299" t="s">
        <v>396</v>
      </c>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1"/>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286" t="s">
        <v>129</v>
      </c>
      <c r="E8" s="287"/>
      <c r="F8" s="287"/>
      <c r="G8" s="288"/>
      <c r="H8" s="299" t="s">
        <v>397</v>
      </c>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0"/>
      <c r="BA8" s="300"/>
      <c r="BB8" s="301"/>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286" t="s">
        <v>43</v>
      </c>
      <c r="E9" s="287"/>
      <c r="F9" s="287"/>
      <c r="G9" s="288"/>
      <c r="H9" s="299" t="s">
        <v>398</v>
      </c>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1"/>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23" t="s">
        <v>266</v>
      </c>
      <c r="B11" s="323"/>
      <c r="C11" s="324"/>
      <c r="D11" s="326" t="s">
        <v>304</v>
      </c>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8" t="s">
        <v>302</v>
      </c>
      <c r="AW11" s="329"/>
      <c r="AX11" s="329"/>
      <c r="AY11" s="330"/>
      <c r="AZ11" s="331" t="s">
        <v>303</v>
      </c>
      <c r="BA11" s="332"/>
      <c r="BB11" s="333"/>
    </row>
    <row r="12" spans="1:80" ht="15.75" x14ac:dyDescent="0.2">
      <c r="D12" s="291" t="s">
        <v>137</v>
      </c>
      <c r="E12" s="291"/>
      <c r="F12" s="291"/>
      <c r="G12" s="291"/>
      <c r="H12" s="291"/>
      <c r="I12" s="277"/>
      <c r="J12" s="277"/>
      <c r="K12" s="277"/>
      <c r="L12" s="277"/>
      <c r="M12" s="277"/>
      <c r="N12" s="277"/>
      <c r="O12" s="277"/>
      <c r="P12" s="277"/>
      <c r="Q12" s="277" t="s">
        <v>138</v>
      </c>
      <c r="R12" s="277"/>
      <c r="S12" s="277"/>
      <c r="T12" s="277"/>
      <c r="U12" s="277"/>
      <c r="V12" s="277"/>
      <c r="W12" s="277"/>
      <c r="X12" s="277" t="s">
        <v>139</v>
      </c>
      <c r="Y12" s="277"/>
      <c r="Z12" s="277"/>
      <c r="AA12" s="277"/>
      <c r="AB12" s="277"/>
      <c r="AC12" s="277"/>
      <c r="AD12" s="277"/>
      <c r="AE12" s="277"/>
      <c r="AF12" s="277"/>
      <c r="AG12" s="277"/>
      <c r="AH12" s="320" t="s">
        <v>18</v>
      </c>
      <c r="AI12" s="277" t="s">
        <v>140</v>
      </c>
      <c r="AJ12" s="277"/>
      <c r="AK12" s="277"/>
      <c r="AL12" s="277"/>
      <c r="AM12" s="277"/>
      <c r="AN12" s="277"/>
      <c r="AO12" s="277"/>
      <c r="AP12" s="311" t="s">
        <v>34</v>
      </c>
      <c r="AQ12" s="312"/>
      <c r="AR12" s="312"/>
      <c r="AS12" s="312"/>
      <c r="AT12" s="312"/>
      <c r="AU12" s="312"/>
      <c r="AV12" s="312"/>
      <c r="AW12" s="312"/>
      <c r="AX12" s="312"/>
      <c r="AY12" s="312"/>
      <c r="AZ12" s="312"/>
      <c r="BA12" s="312"/>
      <c r="BB12" s="312"/>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25" t="s">
        <v>0</v>
      </c>
      <c r="E13" s="279" t="s">
        <v>311</v>
      </c>
      <c r="F13" s="192"/>
      <c r="G13" s="192"/>
      <c r="H13" s="291" t="s">
        <v>224</v>
      </c>
      <c r="I13" s="279" t="s">
        <v>307</v>
      </c>
      <c r="J13" s="193"/>
      <c r="K13" s="279" t="s">
        <v>308</v>
      </c>
      <c r="L13" s="291" t="s">
        <v>1</v>
      </c>
      <c r="M13" s="302" t="s">
        <v>49</v>
      </c>
      <c r="N13" s="318" t="s">
        <v>392</v>
      </c>
      <c r="O13" s="319"/>
      <c r="P13" s="279" t="s">
        <v>133</v>
      </c>
      <c r="Q13" s="279" t="s">
        <v>33</v>
      </c>
      <c r="R13" s="291" t="s">
        <v>5</v>
      </c>
      <c r="S13" s="279" t="s">
        <v>86</v>
      </c>
      <c r="T13" s="279" t="s">
        <v>91</v>
      </c>
      <c r="U13" s="279" t="s">
        <v>44</v>
      </c>
      <c r="V13" s="291" t="s">
        <v>5</v>
      </c>
      <c r="W13" s="279" t="s">
        <v>47</v>
      </c>
      <c r="X13" s="278" t="s">
        <v>11</v>
      </c>
      <c r="Y13" s="279" t="s">
        <v>159</v>
      </c>
      <c r="Z13" s="279" t="s">
        <v>204</v>
      </c>
      <c r="AA13" s="279" t="s">
        <v>12</v>
      </c>
      <c r="AB13" s="279" t="s">
        <v>8</v>
      </c>
      <c r="AC13" s="279"/>
      <c r="AD13" s="279"/>
      <c r="AE13" s="279"/>
      <c r="AF13" s="279"/>
      <c r="AG13" s="279"/>
      <c r="AH13" s="321"/>
      <c r="AI13" s="278" t="s">
        <v>136</v>
      </c>
      <c r="AJ13" s="278" t="s">
        <v>45</v>
      </c>
      <c r="AK13" s="278" t="s">
        <v>5</v>
      </c>
      <c r="AL13" s="278" t="s">
        <v>46</v>
      </c>
      <c r="AM13" s="278" t="s">
        <v>5</v>
      </c>
      <c r="AN13" s="278" t="s">
        <v>48</v>
      </c>
      <c r="AO13" s="278" t="s">
        <v>29</v>
      </c>
      <c r="AP13" s="279" t="s">
        <v>34</v>
      </c>
      <c r="AQ13" s="279" t="s">
        <v>35</v>
      </c>
      <c r="AR13" s="279" t="s">
        <v>36</v>
      </c>
      <c r="AS13" s="279" t="s">
        <v>37</v>
      </c>
      <c r="AT13" s="279" t="s">
        <v>212</v>
      </c>
      <c r="AU13" s="279" t="s">
        <v>38</v>
      </c>
      <c r="AV13" s="314" t="s">
        <v>37</v>
      </c>
      <c r="AW13" s="304" t="s">
        <v>213</v>
      </c>
      <c r="AX13" s="304" t="s">
        <v>38</v>
      </c>
      <c r="AY13" s="309" t="s">
        <v>243</v>
      </c>
      <c r="AZ13" s="313" t="s">
        <v>37</v>
      </c>
      <c r="BA13" s="313" t="s">
        <v>214</v>
      </c>
      <c r="BB13" s="313"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25"/>
      <c r="E14" s="279"/>
      <c r="F14" s="192" t="s">
        <v>2</v>
      </c>
      <c r="G14" s="193" t="s">
        <v>317</v>
      </c>
      <c r="H14" s="291"/>
      <c r="I14" s="279"/>
      <c r="J14" s="193" t="s">
        <v>367</v>
      </c>
      <c r="K14" s="279"/>
      <c r="L14" s="291"/>
      <c r="M14" s="303"/>
      <c r="N14" s="214" t="s">
        <v>240</v>
      </c>
      <c r="O14" s="214" t="s">
        <v>241</v>
      </c>
      <c r="P14" s="279"/>
      <c r="Q14" s="279"/>
      <c r="R14" s="291"/>
      <c r="S14" s="279"/>
      <c r="T14" s="279"/>
      <c r="U14" s="291"/>
      <c r="V14" s="291"/>
      <c r="W14" s="279"/>
      <c r="X14" s="278"/>
      <c r="Y14" s="279"/>
      <c r="Z14" s="279"/>
      <c r="AA14" s="279"/>
      <c r="AB14" s="195" t="s">
        <v>13</v>
      </c>
      <c r="AC14" s="195" t="s">
        <v>17</v>
      </c>
      <c r="AD14" s="195" t="s">
        <v>28</v>
      </c>
      <c r="AE14" s="195" t="s">
        <v>18</v>
      </c>
      <c r="AF14" s="195" t="s">
        <v>21</v>
      </c>
      <c r="AG14" s="195" t="s">
        <v>24</v>
      </c>
      <c r="AH14" s="322"/>
      <c r="AI14" s="278"/>
      <c r="AJ14" s="278"/>
      <c r="AK14" s="278"/>
      <c r="AL14" s="278"/>
      <c r="AM14" s="278"/>
      <c r="AN14" s="278"/>
      <c r="AO14" s="278"/>
      <c r="AP14" s="279"/>
      <c r="AQ14" s="279"/>
      <c r="AR14" s="279"/>
      <c r="AS14" s="279"/>
      <c r="AT14" s="279"/>
      <c r="AU14" s="279"/>
      <c r="AV14" s="315"/>
      <c r="AW14" s="305"/>
      <c r="AX14" s="305"/>
      <c r="AY14" s="310"/>
      <c r="AZ14" s="313"/>
      <c r="BA14" s="313"/>
      <c r="BB14" s="313"/>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37.25" customHeight="1" x14ac:dyDescent="0.25">
      <c r="D15" s="222">
        <v>1</v>
      </c>
      <c r="E15" s="222" t="s">
        <v>218</v>
      </c>
      <c r="F15" s="222" t="s">
        <v>131</v>
      </c>
      <c r="G15" s="222" t="s">
        <v>313</v>
      </c>
      <c r="H15" s="222" t="s">
        <v>218</v>
      </c>
      <c r="I15" s="221" t="s">
        <v>401</v>
      </c>
      <c r="J15" s="200"/>
      <c r="K15" s="221" t="s">
        <v>405</v>
      </c>
      <c r="L15" s="609" t="s">
        <v>406</v>
      </c>
      <c r="M15" s="223" t="s">
        <v>122</v>
      </c>
      <c r="N15" s="223" t="s">
        <v>233</v>
      </c>
      <c r="O15" s="223" t="s">
        <v>238</v>
      </c>
      <c r="P15" s="613">
        <v>12</v>
      </c>
      <c r="Q15" s="224" t="str">
        <f>IF(P15&lt;=0,"",IF(P15&lt;=2,"Muy Baja",IF(P15&lt;=24,"Baja",IF(P15&lt;=500,"Media",IF(P15&lt;=5000,"Alta","Muy Alta")))))</f>
        <v>Baja</v>
      </c>
      <c r="R15" s="225">
        <f>IF(Q15="","",IF(Q15="Muy Baja",0.2,IF(Q15="Baja",0.4,IF(Q15="Media",0.6,IF(Q15="Alta",0.8,IF(Q15="Muy Alta",1,))))))</f>
        <v>0.4</v>
      </c>
      <c r="S15" s="226" t="s">
        <v>147</v>
      </c>
      <c r="T15" s="225" t="str">
        <f ca="1">IF(NOT(ISERROR(MATCH(S15,'[2]Tabla Impacto'!$B$221:$B$223,0))),'[2]Tabla Impacto'!$F$223&amp;"Por favor no seleccionar los criterios de impacto(Afectación Económica o presupuestal y Pérdida Reputacional)",S15)</f>
        <v xml:space="preserve">     Entre 100 y 500 SMLMV </v>
      </c>
      <c r="U15" s="228" t="str">
        <f ca="1">IF(OR(T15='[3]Tabla Impacto'!$C$11,T15='[3]Tabla Impacto'!$D$11),"Leve",IF(OR(T15='[3]Tabla Impacto'!$C$12,T15='[3]Tabla Impacto'!$D$12),"Menor",IF(OR(T15='[3]Tabla Impacto'!$C$13,T15='[3]Tabla Impacto'!$D$13),"Moderado",IF(OR(T15='[3]Tabla Impacto'!$C$14,T15='[3]Tabla Impacto'!$D$14),"Mayor",IF(OR(T15='[3]Tabla Impacto'!$C$15,T15='[3]Tabla Impacto'!$D$15),"Catastrófico","")))))</f>
        <v>Mayor</v>
      </c>
      <c r="V15" s="225">
        <f ca="1">IF(U15="","",IF(U15="Leve",0.2,IF(U15="Menor",0.4,IF(U15="Moderado",0.6,IF(U15="Mayor",0.8,IF(U15="Catastrófico",1,))))))</f>
        <v>0.8</v>
      </c>
      <c r="W15" s="224"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Alto</v>
      </c>
      <c r="X15" s="614">
        <v>1</v>
      </c>
      <c r="Y15" s="615" t="s">
        <v>413</v>
      </c>
      <c r="Z15" s="615" t="s">
        <v>414</v>
      </c>
      <c r="AA15" s="204" t="str">
        <f>IF(OR(AB15="Preventivo",AB15="Detectivo"),"Probabilidad",IF(AB15="Correctivo","Impacto",""))</f>
        <v>Probabilidad</v>
      </c>
      <c r="AB15" s="205" t="s">
        <v>14</v>
      </c>
      <c r="AC15" s="205" t="s">
        <v>9</v>
      </c>
      <c r="AD15" s="202" t="str">
        <f>IF(AND(AB15="Preventivo",AC15="Automático"),"50%",IF(AND(AB15="Preventivo",AC15="Manual"),"40%",IF(AND(AB15="Detectivo",AC15="Automático"),"40%",IF(AND(AB15="Detectivo",AC15="Manual"),"30%",IF(AND(AB15="Correctivo",AC15="Automático"),"35%",IF(AND(AB15="Correctivo",AC15="Manual"),"25%",""))))))</f>
        <v>40%</v>
      </c>
      <c r="AE15" s="205" t="s">
        <v>19</v>
      </c>
      <c r="AF15" s="205" t="s">
        <v>22</v>
      </c>
      <c r="AG15" s="205" t="s">
        <v>118</v>
      </c>
      <c r="AH15" s="200" t="s">
        <v>421</v>
      </c>
      <c r="AI15" s="220">
        <f>IFERROR(IF(AA15="Probabilidad",(R15-(+R15*AD15)),IF(AA15="Impacto",R15,"")),"")</f>
        <v>0.24</v>
      </c>
      <c r="AJ15" s="206" t="str">
        <f>IFERROR(IF(AI15="","",IF(AI15&lt;=0.2,"Muy Baja",IF(AI15&lt;=0.4,"Baja",IF(AI15&lt;=0.6,"Media",IF(AI15&lt;=0.8,"Alta","Muy Alta"))))),"")</f>
        <v>Baja</v>
      </c>
      <c r="AK15" s="202">
        <f t="shared" ref="AK15" si="0">+AI15</f>
        <v>0.24</v>
      </c>
      <c r="AL15" s="206" t="str">
        <f ca="1">IFERROR(IF(AM15="","",IF(AM15&lt;=0.2,"Leve",IF(AM15&lt;=0.4,"Menor",IF(AM15&lt;=0.6,"Moderado",IF(AM15&lt;=0.8,"Mayor","Catastrófico"))))),"")</f>
        <v>Mayor</v>
      </c>
      <c r="AM15" s="202">
        <f ca="1">IFERROR(IF(AA15="Impacto",(V15-(+V15*AD15)),IF(AA15="Probabilidad",V15,"")),"")</f>
        <v>0.8</v>
      </c>
      <c r="AN15" s="206"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Alto</v>
      </c>
      <c r="AO15" s="205" t="s">
        <v>134</v>
      </c>
      <c r="AP15" s="221" t="s">
        <v>422</v>
      </c>
      <c r="AQ15" s="221" t="s">
        <v>423</v>
      </c>
      <c r="AR15" s="229">
        <v>45687</v>
      </c>
      <c r="AS15" s="207"/>
      <c r="AT15" s="200"/>
      <c r="AU15" s="200"/>
      <c r="AV15" s="207"/>
      <c r="AW15" s="200"/>
      <c r="AX15" s="200"/>
      <c r="AY15" s="200"/>
      <c r="AZ15" s="207"/>
      <c r="BA15" s="200"/>
      <c r="BB15" s="200"/>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137.25" customHeight="1" x14ac:dyDescent="0.25">
      <c r="D16" s="215">
        <v>2</v>
      </c>
      <c r="E16" s="215" t="s">
        <v>218</v>
      </c>
      <c r="F16" s="215" t="s">
        <v>131</v>
      </c>
      <c r="G16" s="215" t="s">
        <v>313</v>
      </c>
      <c r="H16" s="199" t="s">
        <v>218</v>
      </c>
      <c r="I16" s="221" t="s">
        <v>402</v>
      </c>
      <c r="J16" s="200"/>
      <c r="K16" s="221" t="s">
        <v>407</v>
      </c>
      <c r="L16" s="609" t="s">
        <v>408</v>
      </c>
      <c r="M16" s="217" t="s">
        <v>122</v>
      </c>
      <c r="N16" s="200" t="s">
        <v>233</v>
      </c>
      <c r="O16" s="200" t="s">
        <v>238</v>
      </c>
      <c r="P16" s="613">
        <v>12</v>
      </c>
      <c r="Q16" s="201" t="str">
        <f t="shared" ref="Q16:Q21" si="2">IF(P16&lt;=0,"",IF(P16&lt;=2,"Muy Baja",IF(P16&lt;=24,"Baja",IF(P16&lt;=500,"Media",IF(P16&lt;=5000,"Alta","Muy Alta")))))</f>
        <v>Baja</v>
      </c>
      <c r="R16" s="202">
        <f t="shared" ref="R16:R21" si="3">IF(Q16="","",IF(Q16="Muy Baja",0.2,IF(Q16="Baja",0.4,IF(Q16="Media",0.6,IF(Q16="Alta",0.8,IF(Q16="Muy Alta",1,))))))</f>
        <v>0.4</v>
      </c>
      <c r="S16" s="203" t="s">
        <v>147</v>
      </c>
      <c r="T16" s="202" t="str">
        <f ca="1">IF(NOT(ISERROR(MATCH(S16,'[2]Tabla Impacto'!$B$221:$B$223,0))),'[2]Tabla Impacto'!$F$223&amp;"Por favor no seleccionar los criterios de impacto(Afectación Económica o presupuestal y Pérdida Reputacional)",S16)</f>
        <v xml:space="preserve">     Entre 100 y 500 SMLMV </v>
      </c>
      <c r="U16" s="227" t="str">
        <f ca="1">IF(OR(T16='[3]Tabla Impacto'!$C$11,T16='[3]Tabla Impacto'!$D$11),"Leve",IF(OR(T16='[3]Tabla Impacto'!$C$12,T16='[3]Tabla Impacto'!$D$12),"Menor",IF(OR(T16='[3]Tabla Impacto'!$C$13,T16='[3]Tabla Impacto'!$D$13),"Moderado",IF(OR(T16='[3]Tabla Impacto'!$C$14,T16='[3]Tabla Impacto'!$D$14),"Mayor",IF(OR(T16='[3]Tabla Impacto'!$C$15,T16='[3]Tabla Impacto'!$D$15),"Catastrófico","")))))</f>
        <v>Mayor</v>
      </c>
      <c r="V16" s="202">
        <f t="shared" ref="V16:V21" ca="1" si="4">IF(U16="","",IF(U16="Leve",0.2,IF(U16="Menor",0.4,IF(U16="Moderado",0.6,IF(U16="Mayor",0.8,IF(U16="Catastrófico",1,))))))</f>
        <v>0.8</v>
      </c>
      <c r="W16" s="201" t="str">
        <f t="shared" ref="W16:W21" ca="1" si="5">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Alto</v>
      </c>
      <c r="X16" s="614">
        <v>1</v>
      </c>
      <c r="Y16" s="615" t="s">
        <v>415</v>
      </c>
      <c r="Z16" s="617" t="s">
        <v>416</v>
      </c>
      <c r="AA16" s="204" t="str">
        <f t="shared" ref="AA16:AA21" si="6">IF(OR(AB16="Preventivo",AB16="Detectivo"),"Probabilidad",IF(AB16="Correctivo","Impacto",""))</f>
        <v>Probabilidad</v>
      </c>
      <c r="AB16" s="205" t="s">
        <v>14</v>
      </c>
      <c r="AC16" s="205" t="s">
        <v>9</v>
      </c>
      <c r="AD16" s="202" t="str">
        <f t="shared" ref="AD16:AD21" si="7">IF(AND(AB16="Preventivo",AC16="Automático"),"50%",IF(AND(AB16="Preventivo",AC16="Manual"),"40%",IF(AND(AB16="Detectivo",AC16="Automático"),"40%",IF(AND(AB16="Detectivo",AC16="Manual"),"30%",IF(AND(AB16="Correctivo",AC16="Automático"),"35%",IF(AND(AB16="Correctivo",AC16="Manual"),"25%",""))))))</f>
        <v>40%</v>
      </c>
      <c r="AE16" s="205" t="s">
        <v>19</v>
      </c>
      <c r="AF16" s="205" t="s">
        <v>22</v>
      </c>
      <c r="AG16" s="205" t="s">
        <v>118</v>
      </c>
      <c r="AH16" s="200" t="s">
        <v>421</v>
      </c>
      <c r="AI16" s="220">
        <f>IFERROR(IF(AA16="Probabilidad",(R16-(+R16*AD16)),IF(AA16="Impacto",R16,"")),"")</f>
        <v>0.24</v>
      </c>
      <c r="AJ16" s="206" t="str">
        <f t="shared" ref="AJ16:AJ21" si="8">IFERROR(IF(AI16="","",IF(AI16&lt;=0.2,"Muy Baja",IF(AI16&lt;=0.4,"Baja",IF(AI16&lt;=0.6,"Media",IF(AI16&lt;=0.8,"Alta","Muy Alta"))))),"")</f>
        <v>Baja</v>
      </c>
      <c r="AK16" s="202">
        <f t="shared" ref="AK16:AK21" si="9">+AI16</f>
        <v>0.24</v>
      </c>
      <c r="AL16" s="206" t="str">
        <f t="shared" ref="AL16" ca="1" si="10">IFERROR(IF(AM16="","",IF(AM16&lt;=0.2,"Leve",IF(AM16&lt;=0.4,"Menor",IF(AM16&lt;=0.6,"Moderado",IF(AM16&lt;=0.8,"Mayor","Catastrófico"))))),"")</f>
        <v>Mayor</v>
      </c>
      <c r="AM16" s="202">
        <f t="shared" ref="AM16" ca="1" si="11">IFERROR(IF(AA16="Impacto",(V16-(+V16*AD16)),IF(AA16="Probabilidad",V16,"")),"")</f>
        <v>0.8</v>
      </c>
      <c r="AN16" s="206" t="str">
        <f t="shared" ref="AN16" ca="1" si="12">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Alto</v>
      </c>
      <c r="AO16" s="205" t="s">
        <v>134</v>
      </c>
      <c r="AP16" s="221" t="s">
        <v>424</v>
      </c>
      <c r="AQ16" s="221" t="s">
        <v>425</v>
      </c>
      <c r="AR16" s="229">
        <v>45687</v>
      </c>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37.25" customHeight="1" x14ac:dyDescent="0.25">
      <c r="D17" s="215">
        <v>3</v>
      </c>
      <c r="E17" s="215" t="s">
        <v>219</v>
      </c>
      <c r="F17" s="215" t="s">
        <v>132</v>
      </c>
      <c r="G17" s="215" t="s">
        <v>313</v>
      </c>
      <c r="H17" s="199" t="s">
        <v>228</v>
      </c>
      <c r="I17" s="221" t="s">
        <v>403</v>
      </c>
      <c r="J17" s="200"/>
      <c r="K17" s="610" t="s">
        <v>409</v>
      </c>
      <c r="L17" s="609" t="s">
        <v>410</v>
      </c>
      <c r="M17" s="217" t="s">
        <v>122</v>
      </c>
      <c r="N17" s="200" t="s">
        <v>233</v>
      </c>
      <c r="O17" s="200" t="s">
        <v>235</v>
      </c>
      <c r="P17" s="613">
        <v>12</v>
      </c>
      <c r="Q17" s="201" t="str">
        <f t="shared" si="2"/>
        <v>Baja</v>
      </c>
      <c r="R17" s="202">
        <f t="shared" si="3"/>
        <v>0.4</v>
      </c>
      <c r="S17" s="203" t="s">
        <v>152</v>
      </c>
      <c r="T17" s="202" t="str">
        <f ca="1">IF(NOT(ISERROR(MATCH(S17,'[2]Tabla Impacto'!$B$221:$B$223,0))),'[2]Tabla Impacto'!$F$223&amp;"Por favor no seleccionar los criterios de impacto(Afectación Económica o presupuestal y Pérdida Reputacional)",S17)</f>
        <v xml:space="preserve">     El riesgo afecta la imagen de de la entidad con efecto publicitario sostenido a nivel de sector administrativo, nivel departamental o municipal</v>
      </c>
      <c r="U17" s="227" t="str">
        <f ca="1">IF(OR(T17='[3]Tabla Impacto'!$C$11,T17='[3]Tabla Impacto'!$D$11),"Leve",IF(OR(T17='[3]Tabla Impacto'!$C$12,T17='[3]Tabla Impacto'!$D$12),"Menor",IF(OR(T17='[3]Tabla Impacto'!$C$13,T17='[3]Tabla Impacto'!$D$13),"Moderado",IF(OR(T17='[3]Tabla Impacto'!$C$14,T17='[3]Tabla Impacto'!$D$14),"Mayor",IF(OR(T17='[3]Tabla Impacto'!$C$15,T17='[3]Tabla Impacto'!$D$15),"Catastrófico","")))))</f>
        <v>Mayor</v>
      </c>
      <c r="V17" s="202">
        <f t="shared" ca="1" si="4"/>
        <v>0.8</v>
      </c>
      <c r="W17" s="201" t="str">
        <f t="shared" ca="1" si="5"/>
        <v>Alto</v>
      </c>
      <c r="X17" s="614">
        <v>1</v>
      </c>
      <c r="Y17" s="615" t="s">
        <v>417</v>
      </c>
      <c r="Z17" s="615" t="s">
        <v>418</v>
      </c>
      <c r="AA17" s="204" t="str">
        <f t="shared" si="6"/>
        <v>Probabilidad</v>
      </c>
      <c r="AB17" s="205" t="s">
        <v>14</v>
      </c>
      <c r="AC17" s="205" t="s">
        <v>9</v>
      </c>
      <c r="AD17" s="202" t="str">
        <f t="shared" si="7"/>
        <v>40%</v>
      </c>
      <c r="AE17" s="205" t="s">
        <v>19</v>
      </c>
      <c r="AF17" s="205" t="s">
        <v>22</v>
      </c>
      <c r="AG17" s="205" t="s">
        <v>118</v>
      </c>
      <c r="AH17" s="200" t="s">
        <v>421</v>
      </c>
      <c r="AI17" s="220">
        <f t="shared" ref="AI17:AI18" si="13">IFERROR(IF(AA17="Probabilidad",(R17-(+R17*AD17)),IF(AA17="Impacto",R17,"")),"")</f>
        <v>0.24</v>
      </c>
      <c r="AJ17" s="206" t="str">
        <f t="shared" si="8"/>
        <v>Baja</v>
      </c>
      <c r="AK17" s="202">
        <f t="shared" si="9"/>
        <v>0.24</v>
      </c>
      <c r="AL17" s="206" t="str">
        <f t="shared" ref="AL17:AL21" ca="1" si="14">IFERROR(IF(AM17="","",IF(AM17&lt;=0.2,"Leve",IF(AM17&lt;=0.4,"Menor",IF(AM17&lt;=0.6,"Moderado",IF(AM17&lt;=0.8,"Mayor","Catastrófico"))))),"")</f>
        <v>Mayor</v>
      </c>
      <c r="AM17" s="202">
        <f t="shared" ref="AM17:AM21" ca="1" si="15">IFERROR(IF(AA17="Impacto",(V17-(+V17*AD17)),IF(AA17="Probabilidad",V17,"")),"")</f>
        <v>0.8</v>
      </c>
      <c r="AN17" s="206" t="str">
        <f t="shared" ref="AN17:AN21" ca="1" si="16">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Alto</v>
      </c>
      <c r="AO17" s="205"/>
      <c r="AP17" s="221" t="s">
        <v>426</v>
      </c>
      <c r="AQ17" s="221" t="s">
        <v>423</v>
      </c>
      <c r="AR17" s="229">
        <v>45687</v>
      </c>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37.25" customHeight="1" x14ac:dyDescent="0.25">
      <c r="D18" s="199">
        <v>4</v>
      </c>
      <c r="E18" s="215" t="s">
        <v>220</v>
      </c>
      <c r="F18" s="215" t="s">
        <v>130</v>
      </c>
      <c r="G18" s="215" t="s">
        <v>313</v>
      </c>
      <c r="H18" s="199" t="s">
        <v>228</v>
      </c>
      <c r="I18" s="221" t="s">
        <v>404</v>
      </c>
      <c r="J18" s="200"/>
      <c r="K18" s="611" t="s">
        <v>411</v>
      </c>
      <c r="L18" s="612" t="s">
        <v>412</v>
      </c>
      <c r="M18" s="217" t="s">
        <v>122</v>
      </c>
      <c r="N18" s="200" t="s">
        <v>232</v>
      </c>
      <c r="O18" s="200" t="s">
        <v>237</v>
      </c>
      <c r="P18" s="613">
        <v>12</v>
      </c>
      <c r="Q18" s="201" t="str">
        <f t="shared" si="2"/>
        <v>Baja</v>
      </c>
      <c r="R18" s="202">
        <f t="shared" si="3"/>
        <v>0.4</v>
      </c>
      <c r="S18" s="203" t="s">
        <v>151</v>
      </c>
      <c r="T18" s="202" t="str">
        <f ca="1">IF(NOT(ISERROR(MATCH(S18,'[2]Tabla Impacto'!$B$221:$B$223,0))),'[2]Tabla Impacto'!$F$223&amp;"Por favor no seleccionar los criterios de impacto(Afectación Económica o presupuestal y Pérdida Reputacional)",S18)</f>
        <v xml:space="preserve">     El riesgo afecta la imagen de la entidad con algunos usuarios de relevancia frente al logro de los objetivos</v>
      </c>
      <c r="U18" s="227" t="str">
        <f ca="1">IF(OR(T18='[3]Tabla Impacto'!$C$11,T18='[3]Tabla Impacto'!$D$11),"Leve",IF(OR(T18='[3]Tabla Impacto'!$C$12,T18='[3]Tabla Impacto'!$D$12),"Menor",IF(OR(T18='[3]Tabla Impacto'!$C$13,T18='[3]Tabla Impacto'!$D$13),"Moderado",IF(OR(T18='[3]Tabla Impacto'!$C$14,T18='[3]Tabla Impacto'!$D$14),"Mayor",IF(OR(T18='[3]Tabla Impacto'!$C$15,T18='[3]Tabla Impacto'!$D$15),"Catastrófico","")))))</f>
        <v>Moderado</v>
      </c>
      <c r="V18" s="202">
        <f t="shared" ca="1" si="4"/>
        <v>0.6</v>
      </c>
      <c r="W18" s="201" t="str">
        <f t="shared" ca="1" si="5"/>
        <v>Moderado</v>
      </c>
      <c r="X18" s="614">
        <v>1</v>
      </c>
      <c r="Y18" s="616" t="s">
        <v>419</v>
      </c>
      <c r="Z18" s="615" t="s">
        <v>420</v>
      </c>
      <c r="AA18" s="204" t="str">
        <f t="shared" si="6"/>
        <v>Probabilidad</v>
      </c>
      <c r="AB18" s="205" t="s">
        <v>14</v>
      </c>
      <c r="AC18" s="205" t="s">
        <v>9</v>
      </c>
      <c r="AD18" s="202" t="str">
        <f t="shared" si="7"/>
        <v>40%</v>
      </c>
      <c r="AE18" s="205" t="s">
        <v>19</v>
      </c>
      <c r="AF18" s="205" t="s">
        <v>22</v>
      </c>
      <c r="AG18" s="205" t="s">
        <v>118</v>
      </c>
      <c r="AH18" s="200" t="s">
        <v>421</v>
      </c>
      <c r="AI18" s="220">
        <f t="shared" si="13"/>
        <v>0.24</v>
      </c>
      <c r="AJ18" s="206" t="str">
        <f t="shared" si="8"/>
        <v>Baja</v>
      </c>
      <c r="AK18" s="202">
        <f t="shared" si="9"/>
        <v>0.24</v>
      </c>
      <c r="AL18" s="206" t="str">
        <f t="shared" ca="1" si="14"/>
        <v>Moderado</v>
      </c>
      <c r="AM18" s="202">
        <f t="shared" ca="1" si="15"/>
        <v>0.6</v>
      </c>
      <c r="AN18" s="206" t="str">
        <f t="shared" ca="1" si="16"/>
        <v>Moderado</v>
      </c>
      <c r="AO18" s="205"/>
      <c r="AP18" s="221" t="s">
        <v>427</v>
      </c>
      <c r="AQ18" s="611" t="s">
        <v>423</v>
      </c>
      <c r="AR18" s="229">
        <v>45687</v>
      </c>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172.9" hidden="1" customHeight="1" x14ac:dyDescent="0.25">
      <c r="D19" s="199">
        <v>5</v>
      </c>
      <c r="E19" s="215"/>
      <c r="F19" s="215"/>
      <c r="G19" s="215"/>
      <c r="H19" s="199"/>
      <c r="I19" s="200"/>
      <c r="J19" s="200"/>
      <c r="K19" s="200"/>
      <c r="L19" s="216"/>
      <c r="M19" s="217"/>
      <c r="N19" s="200"/>
      <c r="O19" s="200"/>
      <c r="P19" s="200"/>
      <c r="Q19" s="201" t="str">
        <f t="shared" si="2"/>
        <v/>
      </c>
      <c r="R19" s="202" t="str">
        <f t="shared" si="3"/>
        <v/>
      </c>
      <c r="S19" s="203"/>
      <c r="T19" s="202">
        <f ca="1">IF(NOT(ISERROR(MATCH(S19,'[2]Tabla Impacto'!$B$221:$B$223,0))),'[2]Tabla Impacto'!$F$223&amp;"Por favor no seleccionar los criterios de impacto(Afectación Económica o presupuestal y Pérdida Reputacional)",S19)</f>
        <v>0</v>
      </c>
      <c r="U19" s="227" t="str">
        <f ca="1">IF(OR(T19='[3]Tabla Impacto'!$C$11,T19='[3]Tabla Impacto'!$D$11),"Leve",IF(OR(T19='[3]Tabla Impacto'!$C$12,T19='[3]Tabla Impacto'!$D$12),"Menor",IF(OR(T19='[3]Tabla Impacto'!$C$13,T19='[3]Tabla Impacto'!$D$13),"Moderado",IF(OR(T19='[3]Tabla Impacto'!$C$14,T19='[3]Tabla Impacto'!$D$14),"Mayor",IF(OR(T19='[3]Tabla Impacto'!$C$15,T19='[3]Tabla Impacto'!$D$15),"Catastrófico","")))))</f>
        <v/>
      </c>
      <c r="V19" s="202" t="str">
        <f t="shared" ca="1" si="4"/>
        <v/>
      </c>
      <c r="W19" s="201" t="str">
        <f t="shared" ca="1" si="5"/>
        <v/>
      </c>
      <c r="X19" s="199"/>
      <c r="Y19" s="163"/>
      <c r="Z19" s="163"/>
      <c r="AA19" s="204" t="str">
        <f t="shared" si="6"/>
        <v/>
      </c>
      <c r="AB19" s="205"/>
      <c r="AC19" s="205"/>
      <c r="AD19" s="202" t="str">
        <f t="shared" si="7"/>
        <v/>
      </c>
      <c r="AE19" s="205"/>
      <c r="AF19" s="205"/>
      <c r="AG19" s="205"/>
      <c r="AH19" s="200"/>
      <c r="AI19" s="219" t="str">
        <f>IFERROR(IF(AND(AB18="Probabilidad",AB19="Probabilidad"),(AK18-(+AK18*AE19)),IF(AB19="Probabilidad",(T18-(+T18*AE19)),IF(AB19="Impacto",AK18,""))),"")</f>
        <v/>
      </c>
      <c r="AJ19" s="206" t="str">
        <f t="shared" si="8"/>
        <v/>
      </c>
      <c r="AK19" s="202" t="str">
        <f t="shared" si="9"/>
        <v/>
      </c>
      <c r="AL19" s="206" t="str">
        <f t="shared" si="14"/>
        <v/>
      </c>
      <c r="AM19" s="202" t="str">
        <f t="shared" si="15"/>
        <v/>
      </c>
      <c r="AN19" s="206" t="str">
        <f t="shared" si="16"/>
        <v/>
      </c>
      <c r="AO19" s="205"/>
      <c r="AP19" s="200"/>
      <c r="AQ19" s="200"/>
      <c r="AR19" s="207"/>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172.9" hidden="1" customHeight="1" x14ac:dyDescent="0.25">
      <c r="D20" s="199">
        <v>6</v>
      </c>
      <c r="E20" s="215"/>
      <c r="F20" s="215"/>
      <c r="G20" s="215"/>
      <c r="H20" s="199"/>
      <c r="I20" s="200"/>
      <c r="J20" s="200"/>
      <c r="K20" s="200"/>
      <c r="L20" s="216"/>
      <c r="M20" s="217"/>
      <c r="N20" s="200"/>
      <c r="O20" s="200"/>
      <c r="P20" s="200"/>
      <c r="Q20" s="201" t="str">
        <f t="shared" si="2"/>
        <v/>
      </c>
      <c r="R20" s="202" t="str">
        <f t="shared" si="3"/>
        <v/>
      </c>
      <c r="S20" s="203"/>
      <c r="T20" s="202">
        <f ca="1">IF(NOT(ISERROR(MATCH(S20,'[2]Tabla Impacto'!$B$221:$B$223,0))),'[2]Tabla Impacto'!$F$223&amp;"Por favor no seleccionar los criterios de impacto(Afectación Económica o presupuestal y Pérdida Reputacional)",S20)</f>
        <v>0</v>
      </c>
      <c r="U20" s="227" t="str">
        <f ca="1">IF(OR(T20='[3]Tabla Impacto'!$C$11,T20='[3]Tabla Impacto'!$D$11),"Leve",IF(OR(T20='[3]Tabla Impacto'!$C$12,T20='[3]Tabla Impacto'!$D$12),"Menor",IF(OR(T20='[3]Tabla Impacto'!$C$13,T20='[3]Tabla Impacto'!$D$13),"Moderado",IF(OR(T20='[3]Tabla Impacto'!$C$14,T20='[3]Tabla Impacto'!$D$14),"Mayor",IF(OR(T20='[3]Tabla Impacto'!$C$15,T20='[3]Tabla Impacto'!$D$15),"Catastrófico","")))))</f>
        <v/>
      </c>
      <c r="V20" s="202" t="str">
        <f t="shared" ca="1" si="4"/>
        <v/>
      </c>
      <c r="W20" s="201" t="str">
        <f t="shared" ca="1" si="5"/>
        <v/>
      </c>
      <c r="X20" s="199"/>
      <c r="Y20" s="163"/>
      <c r="Z20" s="163"/>
      <c r="AA20" s="204" t="str">
        <f t="shared" si="6"/>
        <v/>
      </c>
      <c r="AB20" s="205"/>
      <c r="AC20" s="205"/>
      <c r="AD20" s="202" t="str">
        <f t="shared" si="7"/>
        <v/>
      </c>
      <c r="AE20" s="205"/>
      <c r="AF20" s="205"/>
      <c r="AG20" s="205"/>
      <c r="AH20" s="200"/>
      <c r="AI20" s="218" t="str">
        <f t="shared" ref="AI20" si="17">IFERROR(IF(AB20="Probabilidad",(S20-(+S20*AE20)),IF(AB20="Impacto",S20,"")),"")</f>
        <v/>
      </c>
      <c r="AJ20" s="206" t="str">
        <f t="shared" si="8"/>
        <v/>
      </c>
      <c r="AK20" s="202" t="str">
        <f t="shared" si="9"/>
        <v/>
      </c>
      <c r="AL20" s="206" t="str">
        <f t="shared" si="14"/>
        <v/>
      </c>
      <c r="AM20" s="202" t="str">
        <f t="shared" si="15"/>
        <v/>
      </c>
      <c r="AN20" s="206" t="str">
        <f t="shared" si="16"/>
        <v/>
      </c>
      <c r="AO20" s="205"/>
      <c r="AP20" s="200"/>
      <c r="AQ20" s="200"/>
      <c r="AR20" s="207"/>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172.9" hidden="1" customHeight="1" x14ac:dyDescent="0.25">
      <c r="D21" s="199">
        <v>8</v>
      </c>
      <c r="E21" s="215"/>
      <c r="F21" s="215"/>
      <c r="G21" s="215"/>
      <c r="H21" s="199"/>
      <c r="I21" s="200"/>
      <c r="J21" s="200"/>
      <c r="K21" s="200"/>
      <c r="L21" s="216"/>
      <c r="M21" s="217"/>
      <c r="N21" s="200"/>
      <c r="O21" s="200"/>
      <c r="P21" s="200"/>
      <c r="Q21" s="201" t="str">
        <f t="shared" si="2"/>
        <v/>
      </c>
      <c r="R21" s="202" t="str">
        <f t="shared" si="3"/>
        <v/>
      </c>
      <c r="S21" s="203"/>
      <c r="T21" s="202">
        <f ca="1">IF(NOT(ISERROR(MATCH(S21,'[2]Tabla Impacto'!$B$221:$B$223,0))),'[2]Tabla Impacto'!$F$223&amp;"Por favor no seleccionar los criterios de impacto(Afectación Económica o presupuestal y Pérdida Reputacional)",S21)</f>
        <v>0</v>
      </c>
      <c r="U21" s="227" t="str">
        <f ca="1">IF(OR(T21='[3]Tabla Impacto'!$C$11,T21='[3]Tabla Impacto'!$D$11),"Leve",IF(OR(T21='[3]Tabla Impacto'!$C$12,T21='[3]Tabla Impacto'!$D$12),"Menor",IF(OR(T21='[3]Tabla Impacto'!$C$13,T21='[3]Tabla Impacto'!$D$13),"Moderado",IF(OR(T21='[3]Tabla Impacto'!$C$14,T21='[3]Tabla Impacto'!$D$14),"Mayor",IF(OR(T21='[3]Tabla Impacto'!$C$15,T21='[3]Tabla Impacto'!$D$15),"Catastrófico","")))))</f>
        <v/>
      </c>
      <c r="V21" s="202" t="str">
        <f t="shared" ca="1" si="4"/>
        <v/>
      </c>
      <c r="W21" s="201" t="str">
        <f t="shared" ca="1" si="5"/>
        <v/>
      </c>
      <c r="X21" s="199"/>
      <c r="Y21" s="163"/>
      <c r="Z21" s="163"/>
      <c r="AA21" s="204" t="str">
        <f t="shared" si="6"/>
        <v/>
      </c>
      <c r="AB21" s="205"/>
      <c r="AC21" s="205"/>
      <c r="AD21" s="202" t="str">
        <f t="shared" si="7"/>
        <v/>
      </c>
      <c r="AE21" s="205"/>
      <c r="AF21" s="205"/>
      <c r="AG21" s="205"/>
      <c r="AH21" s="200"/>
      <c r="AI21" s="219" t="str">
        <f>IFERROR(IF(AND(AB20="Probabilidad",AB21="Probabilidad"),(AK20-(+AK20*AE21)),IF(AB21="Probabilidad",(T20-(+T20*AE21)),IF(AB21="Impacto",AK20,""))),"")</f>
        <v/>
      </c>
      <c r="AJ21" s="206" t="str">
        <f t="shared" si="8"/>
        <v/>
      </c>
      <c r="AK21" s="202" t="str">
        <f t="shared" si="9"/>
        <v/>
      </c>
      <c r="AL21" s="206" t="str">
        <f t="shared" si="14"/>
        <v/>
      </c>
      <c r="AM21" s="202" t="str">
        <f t="shared" si="15"/>
        <v/>
      </c>
      <c r="AN21" s="206" t="str">
        <f t="shared" si="16"/>
        <v/>
      </c>
      <c r="AO21" s="205"/>
      <c r="AP21" s="200"/>
      <c r="AQ21" s="200"/>
      <c r="AR21" s="207"/>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ht="49.5" customHeight="1" x14ac:dyDescent="0.2">
      <c r="D22" s="209"/>
      <c r="E22" s="210"/>
      <c r="F22" s="210"/>
      <c r="G22" s="210"/>
      <c r="H22" s="210"/>
      <c r="I22" s="289" t="s">
        <v>393</v>
      </c>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90"/>
    </row>
    <row r="24" spans="4:80" ht="15.75" x14ac:dyDescent="0.2">
      <c r="D24" s="109"/>
      <c r="E24" s="110"/>
      <c r="F24" s="110"/>
      <c r="G24" s="110"/>
      <c r="H24" s="110"/>
      <c r="I24" s="110"/>
      <c r="J24" s="110"/>
      <c r="K24" s="110"/>
      <c r="L24" s="110"/>
      <c r="M24" s="181"/>
      <c r="N24" s="181"/>
      <c r="O24" s="181"/>
      <c r="Q24" s="111"/>
      <c r="R24" s="110"/>
      <c r="S24" s="110"/>
      <c r="T24" s="110"/>
      <c r="U24" s="110"/>
      <c r="V24" s="110"/>
      <c r="W24" s="110"/>
      <c r="X24" s="110"/>
      <c r="Y24" s="110"/>
      <c r="Z24" s="110"/>
      <c r="AA24" s="112"/>
      <c r="AB24" s="112"/>
      <c r="AC24" s="110"/>
      <c r="AD24" s="110"/>
      <c r="AE24" s="110"/>
      <c r="AF24" s="110"/>
      <c r="AG24" s="110"/>
      <c r="AH24" s="110"/>
      <c r="AI24" s="110"/>
      <c r="AJ24" s="110"/>
      <c r="AK24" s="110"/>
      <c r="AL24" s="110"/>
      <c r="AM24" s="110"/>
      <c r="AN24" s="110"/>
      <c r="AO24" s="113"/>
      <c r="AP24" s="113"/>
      <c r="AQ24" s="110"/>
      <c r="AR24" s="110"/>
      <c r="AS24" s="110"/>
      <c r="AT24" s="110"/>
      <c r="AU24" s="110"/>
      <c r="AV24" s="110"/>
      <c r="AW24" s="110"/>
    </row>
    <row r="25" spans="4:80" ht="18" x14ac:dyDescent="0.2">
      <c r="D25" s="285" t="s">
        <v>399</v>
      </c>
      <c r="E25" s="285"/>
      <c r="F25" s="285"/>
      <c r="G25" s="285"/>
      <c r="H25" s="285"/>
      <c r="I25" s="285"/>
      <c r="J25" s="285"/>
      <c r="K25" s="285"/>
      <c r="L25" s="285"/>
      <c r="M25" s="181"/>
      <c r="N25" s="181"/>
      <c r="O25" s="181"/>
      <c r="P25" s="282" t="s">
        <v>391</v>
      </c>
      <c r="Q25" s="283"/>
      <c r="R25" s="283"/>
      <c r="S25" s="284"/>
      <c r="T25" s="110"/>
      <c r="U25" s="110"/>
      <c r="V25" s="110"/>
      <c r="W25" s="110"/>
      <c r="X25" s="110"/>
      <c r="Y25" s="110"/>
      <c r="Z25" s="113"/>
      <c r="AA25" s="112"/>
      <c r="AB25" s="112"/>
      <c r="AC25" s="110"/>
      <c r="AD25" s="112"/>
      <c r="AE25" s="112"/>
      <c r="AF25" s="110"/>
      <c r="AG25" s="110"/>
      <c r="AH25" s="110"/>
      <c r="AI25" s="110"/>
      <c r="AJ25" s="110"/>
      <c r="AK25" s="110"/>
      <c r="AL25" s="110"/>
      <c r="AM25" s="110"/>
      <c r="AN25" s="110"/>
      <c r="AO25" s="110"/>
      <c r="AP25" s="110"/>
      <c r="AQ25" s="110"/>
      <c r="AR25" s="110"/>
      <c r="AS25" s="110"/>
      <c r="AT25" s="110"/>
      <c r="AU25" s="110"/>
      <c r="AV25" s="110"/>
      <c r="AW25" s="110"/>
    </row>
    <row r="26" spans="4:80" ht="15" thickBot="1" x14ac:dyDescent="0.25">
      <c r="D26" s="181"/>
      <c r="E26" s="181"/>
      <c r="F26" s="181"/>
      <c r="G26" s="181"/>
      <c r="H26" s="181"/>
      <c r="I26" s="181"/>
      <c r="J26" s="181"/>
      <c r="K26" s="181"/>
      <c r="M26" s="181"/>
      <c r="N26" s="181"/>
      <c r="O26" s="181"/>
      <c r="Q26" s="183" t="str">
        <f>+IFERROR(VLOOKUP(M26,$M$181:$Q$185,3,FALSE)*VLOOKUP(P26,$P$181:$Q$185,3,FALSE),"")</f>
        <v/>
      </c>
      <c r="AA26" s="183"/>
      <c r="AB26" s="211"/>
      <c r="AD26" s="211"/>
      <c r="AE26" s="211"/>
      <c r="AF26" s="212"/>
      <c r="AG26" s="212"/>
      <c r="AH26" s="212"/>
      <c r="AI26" s="212"/>
      <c r="AJ26" s="212"/>
      <c r="AK26" s="114"/>
      <c r="AL26" s="114"/>
      <c r="AM26" s="212"/>
      <c r="AN26" s="213"/>
      <c r="AR26" s="212"/>
      <c r="AT26" s="212"/>
      <c r="AV26" s="212"/>
    </row>
    <row r="27" spans="4:80" ht="17.45" customHeight="1" thickTop="1" thickBot="1" x14ac:dyDescent="0.25">
      <c r="D27" s="280" t="s">
        <v>207</v>
      </c>
      <c r="E27" s="280"/>
      <c r="F27" s="280"/>
      <c r="G27" s="280"/>
      <c r="H27" s="280"/>
      <c r="I27" s="280"/>
      <c r="J27" s="280"/>
      <c r="K27" s="280"/>
      <c r="L27" s="180" t="s">
        <v>208</v>
      </c>
      <c r="M27" s="280" t="s">
        <v>209</v>
      </c>
      <c r="N27" s="280"/>
      <c r="O27" s="280"/>
      <c r="P27" s="280"/>
      <c r="Q27" s="280"/>
      <c r="R27" s="280"/>
      <c r="S27" s="280"/>
      <c r="T27" s="118"/>
      <c r="U27" s="281" t="s">
        <v>210</v>
      </c>
      <c r="V27" s="281"/>
      <c r="W27" s="281"/>
      <c r="X27" s="280" t="s">
        <v>211</v>
      </c>
      <c r="Y27" s="280"/>
      <c r="Z27" s="280"/>
      <c r="AA27" s="280"/>
      <c r="AB27" s="281">
        <v>1</v>
      </c>
      <c r="AC27" s="281"/>
      <c r="AD27" s="281"/>
      <c r="AE27" s="281"/>
      <c r="AF27" s="117"/>
      <c r="AG27" s="117"/>
      <c r="AH27" s="117"/>
      <c r="AI27" s="117"/>
      <c r="AJ27" s="117"/>
      <c r="AK27" s="117"/>
      <c r="AL27" s="117"/>
      <c r="AM27" s="117"/>
      <c r="AN27" s="117"/>
      <c r="AO27" s="117"/>
      <c r="AP27" s="117"/>
      <c r="AQ27" s="117"/>
      <c r="AR27" s="117"/>
      <c r="AS27" s="117"/>
      <c r="AT27" s="117"/>
      <c r="AU27" s="117"/>
      <c r="AV27" s="117"/>
      <c r="AW27" s="115"/>
    </row>
    <row r="28" spans="4:80" ht="36.75" customHeight="1" thickTop="1" x14ac:dyDescent="0.25">
      <c r="D28" s="316" t="s">
        <v>394</v>
      </c>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row>
  </sheetData>
  <dataConsolidate/>
  <mergeCells count="72">
    <mergeCell ref="D28:AE28"/>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2:AU22"/>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27:AA27"/>
    <mergeCell ref="AB27:AE27"/>
    <mergeCell ref="D27:K27"/>
    <mergeCell ref="P25:S25"/>
    <mergeCell ref="M27:S27"/>
    <mergeCell ref="U27:W27"/>
    <mergeCell ref="D25:L25"/>
    <mergeCell ref="X12:AG12"/>
    <mergeCell ref="X13:X14"/>
    <mergeCell ref="Y13:Y14"/>
    <mergeCell ref="AP13:AP14"/>
    <mergeCell ref="AI12:AO12"/>
    <mergeCell ref="AB13:AG13"/>
  </mergeCells>
  <conditionalFormatting sqref="Q15:Q21 AJ15:AJ21">
    <cfRule type="cellIs" dxfId="25" priority="57" operator="equal">
      <formula>"Muy Alta"</formula>
    </cfRule>
    <cfRule type="cellIs" dxfId="24" priority="58" operator="equal">
      <formula>"Alta"</formula>
    </cfRule>
    <cfRule type="cellIs" dxfId="23" priority="59" operator="equal">
      <formula>"Media"</formula>
    </cfRule>
    <cfRule type="cellIs" dxfId="22" priority="60" operator="equal">
      <formula>"Baja"</formula>
    </cfRule>
    <cfRule type="cellIs" dxfId="21" priority="61" operator="equal">
      <formula>"Muy Baja"</formula>
    </cfRule>
  </conditionalFormatting>
  <conditionalFormatting sqref="T15:T21">
    <cfRule type="containsText" dxfId="20" priority="33" operator="containsText" text="❌">
      <formula>NOT(ISERROR(SEARCH("❌",T15)))</formula>
    </cfRule>
  </conditionalFormatting>
  <conditionalFormatting sqref="W15:W21 AN15:AN21">
    <cfRule type="cellIs" dxfId="19" priority="48" operator="equal">
      <formula>"Extremo"</formula>
    </cfRule>
    <cfRule type="cellIs" dxfId="18" priority="49" operator="equal">
      <formula>"Alto"</formula>
    </cfRule>
    <cfRule type="cellIs" dxfId="17" priority="50" operator="equal">
      <formula>"Moderado"</formula>
    </cfRule>
    <cfRule type="cellIs" dxfId="16" priority="51" operator="equal">
      <formula>"Bajo"</formula>
    </cfRule>
  </conditionalFormatting>
  <conditionalFormatting sqref="AK24:AK26">
    <cfRule type="cellIs" dxfId="15" priority="21" stopIfTrue="1" operator="equal">
      <formula>#REF!</formula>
    </cfRule>
    <cfRule type="cellIs" dxfId="14" priority="22" operator="equal">
      <formula>#REF!</formula>
    </cfRule>
    <cfRule type="cellIs" dxfId="13" priority="23" operator="equal">
      <formula>#REF!</formula>
    </cfRule>
  </conditionalFormatting>
  <conditionalFormatting sqref="AL15:AL21">
    <cfRule type="cellIs" dxfId="12" priority="38" operator="equal">
      <formula>"Catastrófico"</formula>
    </cfRule>
    <cfRule type="cellIs" dxfId="11" priority="39" operator="equal">
      <formula>"Mayor"</formula>
    </cfRule>
    <cfRule type="cellIs" dxfId="10" priority="40" operator="equal">
      <formula>"Moderado"</formula>
    </cfRule>
    <cfRule type="cellIs" dxfId="9" priority="41" operator="equal">
      <formula>"Menor"</formula>
    </cfRule>
    <cfRule type="cellIs" dxfId="8" priority="42" operator="equal">
      <formula>"Leve"</formula>
    </cfRule>
  </conditionalFormatting>
  <conditionalFormatting sqref="AL24:AL26">
    <cfRule type="cellIs" dxfId="7" priority="24" stopIfTrue="1" operator="equal">
      <formula>#REF!</formula>
    </cfRule>
    <cfRule type="cellIs" dxfId="6" priority="25" stopIfTrue="1" operator="equal">
      <formula>#REF!</formula>
    </cfRule>
    <cfRule type="cellIs" dxfId="5" priority="26" stopIfTrue="1" operator="equal">
      <formula>#REF!</formula>
    </cfRule>
  </conditionalFormatting>
  <conditionalFormatting sqref="U15:U21">
    <cfRule type="cellIs" dxfId="4" priority="1" operator="equal">
      <formula>"Catastrófico"</formula>
    </cfRule>
    <cfRule type="cellIs" dxfId="3" priority="2" operator="equal">
      <formula>"Mayor"</formula>
    </cfRule>
    <cfRule type="cellIs" dxfId="2" priority="3" operator="equal">
      <formula>"Moderado"</formula>
    </cfRule>
    <cfRule type="cellIs" dxfId="1" priority="4" operator="equal">
      <formula>"Menor"</formula>
    </cfRule>
    <cfRule type="cellIs" dxfId="0" priority="5" operator="equal">
      <formula>"Leve"</formula>
    </cfRule>
  </conditionalFormatting>
  <dataValidations count="6">
    <dataValidation type="list" allowBlank="1" showInputMessage="1" showErrorMessage="1" sqref="L24" xr:uid="{61DF7E04-DE5E-4FE1-A38F-8A138AA87D58}">
      <formula1>$L$181:$L$190</formula1>
    </dataValidation>
    <dataValidation type="list" allowBlank="1" showInputMessage="1" showErrorMessage="1" sqref="L26 AK26:AL26" xr:uid="{66A41BD7-B090-4403-937D-0435537D31DA}">
      <formula1>#REF!</formula1>
    </dataValidation>
    <dataValidation type="list" allowBlank="1" showInputMessage="1" showErrorMessage="1" sqref="AA26" xr:uid="{3BD557FD-BAB0-4660-A45C-D7AACD9880D7}">
      <formula1>$S$181:$S$182</formula1>
    </dataValidation>
    <dataValidation type="list" allowBlank="1" showInputMessage="1" showErrorMessage="1" sqref="P26" xr:uid="{6EC8CB42-9310-43CD-8FAB-388F6EFE7B5E}">
      <formula1>$P$181:$P$185</formula1>
    </dataValidation>
    <dataValidation type="list" allowBlank="1" showInputMessage="1" showErrorMessage="1" sqref="M26:O26" xr:uid="{681E5490-2B09-494D-9B90-359A2E8F22F3}">
      <formula1>$M$181:$M$185</formula1>
    </dataValidation>
    <dataValidation type="list" allowBlank="1" showInputMessage="1" showErrorMessage="1" sqref="AV26 AD26:AJ26 AB26 AR26 AT26" xr:uid="{208EF431-1729-4D5C-B151-F6757CBBD462}">
      <formula1>$AR$181:$AR$188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5E056D49-2A01-4844-9657-EAFD8E3B5A80}">
          <x14:formula1>
            <xm:f>'Opciones Tratamiento'!$B$13:$B$19</xm:f>
          </x14:formula1>
          <xm:sqref>M15:M21</xm:sqref>
        </x14:dataValidation>
        <x14:dataValidation type="list" allowBlank="1" showInputMessage="1" showErrorMessage="1" xr:uid="{EF0C0067-1765-4F11-A967-1A801D325D81}">
          <x14:formula1>
            <xm:f>'Tabla Impacto'!$F$210:$F$221</xm:f>
          </x14:formula1>
          <xm:sqref>S15:S21</xm:sqref>
        </x14:dataValidation>
        <x14:dataValidation type="custom" allowBlank="1" showInputMessage="1" showErrorMessage="1" error="Recuerde que las acciones se generan bajo la medida de mitigar el riesgo" xr:uid="{7ED48018-4235-4B97-8418-73E7BBDB0232}">
          <x14:formula1>
            <xm:f>IF(OR(AO19='Opciones Tratamiento'!$B$2,AO19='Opciones Tratamiento'!$B$3,AO19='Opciones Tratamiento'!$B$4),ISBLANK(AO19),ISTEXT(AO19))</xm:f>
          </x14:formula1>
          <xm:sqref>AP19:AP21</xm:sqref>
        </x14:dataValidation>
        <x14:dataValidation type="custom" allowBlank="1" showInputMessage="1" showErrorMessage="1" error="Recuerde que las acciones se generan bajo la medida de mitigar el riesgo" xr:uid="{B9F9F086-C384-4D55-BBDC-46D063DF530B}">
          <x14:formula1>
            <xm:f>IF(OR(AO19='Opciones Tratamiento'!$B$2,AO19='Opciones Tratamiento'!$B$3,AO19='Opciones Tratamiento'!$B$4),ISBLANK(AO19),ISTEXT(AO19))</xm:f>
          </x14:formula1>
          <xm:sqref>AQ19:AQ21</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AR15:AR21</xm:sqref>
        </x14:dataValidation>
        <x14:dataValidation type="list" allowBlank="1" showInputMessage="1" showErrorMessage="1" xr:uid="{9E41A0A5-9033-48F4-A523-E78EEE31291B}">
          <x14:formula1>
            <xm:f>Listas!$B$2:$B$7</xm:f>
          </x14:formula1>
          <xm:sqref>H15:H21</xm:sqref>
        </x14:dataValidation>
        <x14:dataValidation type="list" allowBlank="1" showInputMessage="1" showErrorMessage="1" xr:uid="{E1211B7A-6A4E-4A48-9C6D-50DFE53A34CF}">
          <x14:formula1>
            <xm:f>Listas!$C$2:$C$6</xm:f>
          </x14:formula1>
          <xm:sqref>N15:N21</xm:sqref>
        </x14:dataValidation>
        <x14:dataValidation type="list" allowBlank="1" showInputMessage="1" showErrorMessage="1" xr:uid="{B88BA28A-2600-4BF8-8D1C-1591DFA3694A}">
          <x14:formula1>
            <xm:f>Listas!$D$2:$D$5</xm:f>
          </x14:formula1>
          <xm:sqref>O15:O21</xm:sqref>
        </x14:dataValidation>
        <x14:dataValidation type="list" allowBlank="1" showInputMessage="1" showErrorMessage="1" xr:uid="{C1C18457-6497-4468-A0EC-5756D2A505AB}">
          <x14:formula1>
            <xm:f>Hoja2!$B$3:$B$18</xm:f>
          </x14:formula1>
          <xm:sqref>E15:E21</xm:sqref>
        </x14:dataValidation>
        <x14:dataValidation type="list" allowBlank="1" showInputMessage="1" showErrorMessage="1" xr:uid="{30B1B799-4F7E-4DF0-8163-3420DCED9D9B}">
          <x14:formula1>
            <xm:f>Hoja2!$D$3:$D$21</xm:f>
          </x14:formula1>
          <xm:sqref>F15:F21</xm:sqref>
        </x14:dataValidation>
        <x14:dataValidation type="list" allowBlank="1" showInputMessage="1" showErrorMessage="1" xr:uid="{4543C4BE-F1CB-4CCC-8B32-CEE48E0F43C3}">
          <x14:formula1>
            <xm:f>Hoja2!$E$3:$E$23</xm:f>
          </x14:formula1>
          <xm:sqref>G15:G21</xm:sqref>
        </x14:dataValidation>
        <x14:dataValidation type="list" allowBlank="1" showInputMessage="1" showErrorMessage="1" xr:uid="{FFA9F3EB-8AAC-4371-8BA9-EA5BFF31F870}">
          <x14:formula1>
            <xm:f>'Opciones Tratamiento'!$B$9:$B$10</xm:f>
          </x14:formula1>
          <xm:sqref>AU15:AU21 BB15:BB21 AX15:AY21</xm:sqref>
        </x14:dataValidation>
        <x14:dataValidation type="list" allowBlank="1" showInputMessage="1" showErrorMessage="1" xr:uid="{2F8B922F-A596-4F43-8DB5-EB88E0211184}">
          <x14:formula1>
            <xm:f>'Tabla Valoración controles'!$D$4:$D$6</xm:f>
          </x14:formula1>
          <xm:sqref>AB15:AB21</xm:sqref>
        </x14:dataValidation>
        <x14:dataValidation type="list" allowBlank="1" showInputMessage="1" showErrorMessage="1" xr:uid="{DC38EDB2-F7BD-4E7B-9DDA-3C58EAD78CC5}">
          <x14:formula1>
            <xm:f>'Tabla Valoración controles'!$D$7:$D$8</xm:f>
          </x14:formula1>
          <xm:sqref>AC15:AC21</xm:sqref>
        </x14:dataValidation>
        <x14:dataValidation type="list" allowBlank="1" showInputMessage="1" showErrorMessage="1" xr:uid="{D75AC793-23AB-4ECB-AA93-972ACC7C18B9}">
          <x14:formula1>
            <xm:f>'Tabla Valoración controles'!$D$9:$D$10</xm:f>
          </x14:formula1>
          <xm:sqref>AE15:AE21</xm:sqref>
        </x14:dataValidation>
        <x14:dataValidation type="list" allowBlank="1" showInputMessage="1" showErrorMessage="1" xr:uid="{7CEE6D34-E894-4B07-9738-58E7887FE090}">
          <x14:formula1>
            <xm:f>'Tabla Valoración controles'!$D$11:$D$12</xm:f>
          </x14:formula1>
          <xm:sqref>AF15:AF21</xm:sqref>
        </x14:dataValidation>
        <x14:dataValidation type="list" allowBlank="1" showInputMessage="1" showErrorMessage="1" xr:uid="{B39FB738-8E70-4C89-BE00-31B6F6BC10CA}">
          <x14:formula1>
            <xm:f>'Tabla Valoración controles'!$D$13:$D$14</xm:f>
          </x14:formula1>
          <xm:sqref>AG15:AG21</xm:sqref>
        </x14:dataValidation>
        <x14:dataValidation type="list" allowBlank="1" showInputMessage="1" showErrorMessage="1" xr:uid="{BCC5CE02-71F3-4D30-B2B6-0BC8D084AB56}">
          <x14:formula1>
            <xm:f>'Opciones Tratamiento'!$B$2:$B$5</xm:f>
          </x14:formula1>
          <xm:sqref>AO15:AO21</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AS15:AS21 AV15:AV21</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AT15:AT21 AZ15:AZ21 AW15:AW21</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34" t="s">
        <v>137</v>
      </c>
      <c r="C1" s="334"/>
      <c r="D1" s="334"/>
      <c r="E1" s="334"/>
      <c r="F1" s="334"/>
      <c r="G1" s="334"/>
      <c r="H1" s="334"/>
      <c r="I1" s="334"/>
      <c r="J1" s="334"/>
      <c r="L1" s="334" t="s">
        <v>139</v>
      </c>
      <c r="M1" s="334"/>
      <c r="N1" s="334"/>
      <c r="O1" s="334"/>
      <c r="P1" s="334"/>
      <c r="Q1" s="334"/>
      <c r="R1" s="334"/>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35" t="s">
        <v>318</v>
      </c>
      <c r="D2" s="336"/>
    </row>
    <row r="3" spans="3:4" x14ac:dyDescent="0.25">
      <c r="C3" s="337"/>
      <c r="D3" s="338"/>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activeCell="BA31" sqref="BA31"/>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51" t="s">
        <v>251</v>
      </c>
      <c r="E2" s="352"/>
      <c r="F2" s="352"/>
      <c r="G2" s="352"/>
      <c r="H2" s="352"/>
      <c r="I2" s="352"/>
      <c r="J2" s="352"/>
      <c r="K2" s="353"/>
      <c r="L2" s="342" t="s">
        <v>205</v>
      </c>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4"/>
      <c r="AP2" s="274" t="s">
        <v>250</v>
      </c>
      <c r="AQ2" s="339"/>
      <c r="AR2" s="339"/>
      <c r="AS2" s="339"/>
      <c r="AT2" s="339"/>
      <c r="AU2" s="339"/>
      <c r="AV2" s="247"/>
    </row>
    <row r="3" spans="1:101" x14ac:dyDescent="0.25">
      <c r="D3" s="354"/>
      <c r="E3" s="355"/>
      <c r="F3" s="355"/>
      <c r="G3" s="355"/>
      <c r="H3" s="355"/>
      <c r="I3" s="355"/>
      <c r="J3" s="355"/>
      <c r="K3" s="356"/>
      <c r="L3" s="345"/>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7"/>
      <c r="AP3" s="275" t="s">
        <v>264</v>
      </c>
      <c r="AQ3" s="340"/>
      <c r="AR3" s="340"/>
      <c r="AS3" s="340"/>
      <c r="AT3" s="340"/>
      <c r="AU3" s="340"/>
      <c r="AV3" s="249"/>
    </row>
    <row r="4" spans="1:101" x14ac:dyDescent="0.25">
      <c r="D4" s="354"/>
      <c r="E4" s="355"/>
      <c r="F4" s="355"/>
      <c r="G4" s="355"/>
      <c r="H4" s="355"/>
      <c r="I4" s="355"/>
      <c r="J4" s="355"/>
      <c r="K4" s="356"/>
      <c r="L4" s="345"/>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7"/>
      <c r="AP4" s="275" t="s">
        <v>389</v>
      </c>
      <c r="AQ4" s="340" t="s">
        <v>263</v>
      </c>
      <c r="AR4" s="340"/>
      <c r="AS4" s="340"/>
      <c r="AT4" s="340"/>
      <c r="AU4" s="340"/>
      <c r="AV4" s="249"/>
    </row>
    <row r="5" spans="1:101" ht="15.75" thickBot="1" x14ac:dyDescent="0.3">
      <c r="D5" s="357"/>
      <c r="E5" s="358"/>
      <c r="F5" s="358"/>
      <c r="G5" s="358"/>
      <c r="H5" s="358"/>
      <c r="I5" s="358"/>
      <c r="J5" s="358"/>
      <c r="K5" s="359"/>
      <c r="L5" s="348"/>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50"/>
      <c r="AP5" s="276" t="s">
        <v>245</v>
      </c>
      <c r="AQ5" s="341" t="s">
        <v>245</v>
      </c>
      <c r="AR5" s="341"/>
      <c r="AS5" s="341"/>
      <c r="AT5" s="341"/>
      <c r="AU5" s="341"/>
      <c r="AV5" s="251"/>
    </row>
    <row r="7" spans="1:101" ht="18" customHeight="1" x14ac:dyDescent="0.25">
      <c r="C7" s="69"/>
      <c r="D7" s="450" t="s">
        <v>157</v>
      </c>
      <c r="E7" s="450"/>
      <c r="F7" s="450"/>
      <c r="G7" s="450"/>
      <c r="H7" s="450"/>
      <c r="I7" s="450"/>
      <c r="J7" s="450"/>
      <c r="K7" s="450"/>
      <c r="L7" s="405" t="s">
        <v>2</v>
      </c>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23" t="s">
        <v>266</v>
      </c>
      <c r="B8" s="323"/>
      <c r="C8" s="324"/>
      <c r="D8" s="450"/>
      <c r="E8" s="450"/>
      <c r="F8" s="450"/>
      <c r="G8" s="450"/>
      <c r="H8" s="450"/>
      <c r="I8" s="450"/>
      <c r="J8" s="450"/>
      <c r="K8" s="450"/>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50"/>
      <c r="E9" s="450"/>
      <c r="F9" s="450"/>
      <c r="G9" s="450"/>
      <c r="H9" s="450"/>
      <c r="I9" s="450"/>
      <c r="J9" s="450"/>
      <c r="K9" s="450"/>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60" t="s">
        <v>4</v>
      </c>
      <c r="E11" s="360"/>
      <c r="F11" s="361"/>
      <c r="G11" s="398" t="s">
        <v>115</v>
      </c>
      <c r="H11" s="399"/>
      <c r="I11" s="399"/>
      <c r="J11" s="399"/>
      <c r="K11" s="399"/>
      <c r="L11" s="407" t="str">
        <f ca="1">IF(AND('Mapa final'!$Q$15="Muy Alta",'Mapa final'!$U$15="Leve"),CONCATENATE("R",'Mapa final'!$A$15),"")</f>
        <v/>
      </c>
      <c r="M11" s="408"/>
      <c r="N11" s="408"/>
      <c r="O11" s="408"/>
      <c r="P11" s="408"/>
      <c r="Q11" s="421"/>
      <c r="R11" s="407"/>
      <c r="S11" s="408"/>
      <c r="T11" s="408"/>
      <c r="U11" s="408"/>
      <c r="V11" s="408"/>
      <c r="W11" s="408"/>
      <c r="X11" s="407"/>
      <c r="Y11" s="408"/>
      <c r="Z11" s="408"/>
      <c r="AA11" s="408"/>
      <c r="AB11" s="408"/>
      <c r="AC11" s="408"/>
      <c r="AD11" s="407"/>
      <c r="AE11" s="408"/>
      <c r="AF11" s="408"/>
      <c r="AG11" s="408"/>
      <c r="AH11" s="408"/>
      <c r="AI11" s="408"/>
      <c r="AJ11" s="426"/>
      <c r="AK11" s="427"/>
      <c r="AL11" s="427"/>
      <c r="AM11" s="427"/>
      <c r="AN11" s="427" t="str">
        <f ca="1">IF(AND('Mapa final'!$Q$16="Muy Alta",'Mapa final'!$U$16="Catastrófico"),CONCATENATE("R",'Mapa final'!$A$16),"")</f>
        <v/>
      </c>
      <c r="AO11" s="428"/>
      <c r="AQ11" s="362" t="s">
        <v>78</v>
      </c>
      <c r="AR11" s="363"/>
      <c r="AS11" s="363"/>
      <c r="AT11" s="363"/>
      <c r="AU11" s="363"/>
      <c r="AV11" s="364"/>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60"/>
      <c r="E12" s="360"/>
      <c r="F12" s="361"/>
      <c r="G12" s="400"/>
      <c r="H12" s="401"/>
      <c r="I12" s="401"/>
      <c r="J12" s="401"/>
      <c r="K12" s="402"/>
      <c r="L12" s="409"/>
      <c r="M12" s="406"/>
      <c r="N12" s="406"/>
      <c r="O12" s="406"/>
      <c r="P12" s="406"/>
      <c r="Q12" s="414"/>
      <c r="R12" s="409"/>
      <c r="S12" s="406"/>
      <c r="T12" s="406"/>
      <c r="U12" s="406"/>
      <c r="V12" s="406"/>
      <c r="W12" s="406"/>
      <c r="X12" s="409"/>
      <c r="Y12" s="406"/>
      <c r="Z12" s="406"/>
      <c r="AA12" s="406"/>
      <c r="AB12" s="406"/>
      <c r="AC12" s="406"/>
      <c r="AD12" s="409"/>
      <c r="AE12" s="406"/>
      <c r="AF12" s="406"/>
      <c r="AG12" s="406"/>
      <c r="AH12" s="406"/>
      <c r="AI12" s="406"/>
      <c r="AJ12" s="423"/>
      <c r="AK12" s="424"/>
      <c r="AL12" s="424"/>
      <c r="AM12" s="424"/>
      <c r="AN12" s="424"/>
      <c r="AO12" s="425"/>
      <c r="AP12" s="69"/>
      <c r="AQ12" s="365"/>
      <c r="AR12" s="366"/>
      <c r="AS12" s="366"/>
      <c r="AT12" s="366"/>
      <c r="AU12" s="366"/>
      <c r="AV12" s="367"/>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60"/>
      <c r="E13" s="360"/>
      <c r="F13" s="361"/>
      <c r="G13" s="400"/>
      <c r="H13" s="401"/>
      <c r="I13" s="401"/>
      <c r="J13" s="401"/>
      <c r="K13" s="402"/>
      <c r="L13" s="409" t="str">
        <f ca="1">IF(AND('Mapa final'!$Q$17="Muy Alta",'Mapa final'!$U$17="Leve"),CONCATENATE("R",'Mapa final'!$A$17),"")</f>
        <v/>
      </c>
      <c r="M13" s="406"/>
      <c r="N13" s="406" t="str">
        <f>IF(AND('Mapa final'!$L$18="Muy Alta",'Mapa final'!$P$18="Leve"),CONCATENATE("R",'Mapa final'!$A$18),"")</f>
        <v/>
      </c>
      <c r="O13" s="406"/>
      <c r="P13" s="406" t="str">
        <f>IF(AND('Mapa final'!$L$19="Muy Alta",'Mapa final'!$P$19="Leve"),CONCATENATE("R",'Mapa final'!$A$19),"")</f>
        <v/>
      </c>
      <c r="Q13" s="414"/>
      <c r="R13" s="409" t="str">
        <f ca="1">IF(AND('Mapa final'!$Q$17="Muy Alta",'Mapa final'!$U$17="Menor"),CONCATENATE("R",'Mapa final'!$A$17),"")</f>
        <v/>
      </c>
      <c r="S13" s="406"/>
      <c r="T13" s="406" t="str">
        <f ca="1">IF(AND('Mapa final'!$Q$18="Muy Alta",'Mapa final'!$U$18="Menor"),CONCATENATE("R",'Mapa final'!$A$18),"")</f>
        <v/>
      </c>
      <c r="U13" s="406"/>
      <c r="V13" s="406" t="str">
        <f ca="1">IF(AND('Mapa final'!$Q$19="Muy Alta",'Mapa final'!$U$19="Menor"),CONCATENATE("R",'Mapa final'!$A$19),"")</f>
        <v/>
      </c>
      <c r="W13" s="406"/>
      <c r="X13" s="409" t="str">
        <f ca="1">IF(AND('Mapa final'!$Q$17="Muy Alta",'Mapa final'!$U$17="Moderado"),CONCATENATE("R",'Mapa final'!$A$17),"")</f>
        <v/>
      </c>
      <c r="Y13" s="406"/>
      <c r="Z13" s="406" t="str">
        <f ca="1">IF(AND('Mapa final'!$Q$18="Muy Alta",'Mapa final'!$U$18="Moderado"),CONCATENATE("R",'Mapa final'!$A$18),"")</f>
        <v/>
      </c>
      <c r="AA13" s="406"/>
      <c r="AB13" s="406" t="str">
        <f ca="1">IF(AND('Mapa final'!$Q$19="Muy Alta",'Mapa final'!$U$19="Moderado"),CONCATENATE("R",'Mapa final'!$A$19),"")</f>
        <v/>
      </c>
      <c r="AC13" s="406"/>
      <c r="AD13" s="409" t="str">
        <f ca="1">IF(AND('Mapa final'!$Q$17="Muy Alta",'Mapa final'!$U$17="Mayor"),CONCATENATE("R",'Mapa final'!$A$17),"")</f>
        <v/>
      </c>
      <c r="AE13" s="406"/>
      <c r="AF13" s="406" t="str">
        <f ca="1">IF(AND('Mapa final'!$Q$18="Muy Alta",'Mapa final'!$U$18="Mayor"),CONCATENATE("R",'Mapa final'!$A$18),"")</f>
        <v/>
      </c>
      <c r="AG13" s="406"/>
      <c r="AH13" s="406" t="str">
        <f ca="1">IF(AND('Mapa final'!$Q$19="Muy Alta",'Mapa final'!$U$19="Mayor"),CONCATENATE("R",'Mapa final'!$A$19),"")</f>
        <v/>
      </c>
      <c r="AI13" s="406"/>
      <c r="AJ13" s="423" t="str">
        <f ca="1">IF(AND('Mapa final'!$Q$17="Muy Alta",'Mapa final'!$U$17="Catastrófico"),CONCATENATE("R",'Mapa final'!$A$17),"")</f>
        <v/>
      </c>
      <c r="AK13" s="424"/>
      <c r="AL13" s="424" t="str">
        <f ca="1">IF(AND('Mapa final'!$Q$18="Muy Alta",'Mapa final'!$U$18="Catastrófico"),CONCATENATE("R",'Mapa final'!$A$18),"")</f>
        <v/>
      </c>
      <c r="AM13" s="424"/>
      <c r="AN13" s="424" t="str">
        <f>IF(AND('Mapa final'!$Q$19="Muy Alta",'Mapa final'!$L$19="Catastrófico"),CONCATENATE("R",'Mapa final'!$A$19),"")</f>
        <v/>
      </c>
      <c r="AO13" s="425"/>
      <c r="AP13" s="69"/>
      <c r="AQ13" s="365"/>
      <c r="AR13" s="366"/>
      <c r="AS13" s="366"/>
      <c r="AT13" s="366"/>
      <c r="AU13" s="366"/>
      <c r="AV13" s="367"/>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60"/>
      <c r="E14" s="360"/>
      <c r="F14" s="361"/>
      <c r="G14" s="400"/>
      <c r="H14" s="401"/>
      <c r="I14" s="401"/>
      <c r="J14" s="401"/>
      <c r="K14" s="402"/>
      <c r="L14" s="409"/>
      <c r="M14" s="406"/>
      <c r="N14" s="406"/>
      <c r="O14" s="406"/>
      <c r="P14" s="406"/>
      <c r="Q14" s="414"/>
      <c r="R14" s="409"/>
      <c r="S14" s="406"/>
      <c r="T14" s="406"/>
      <c r="U14" s="406"/>
      <c r="V14" s="406"/>
      <c r="W14" s="406"/>
      <c r="X14" s="409"/>
      <c r="Y14" s="406"/>
      <c r="Z14" s="406"/>
      <c r="AA14" s="406"/>
      <c r="AB14" s="406"/>
      <c r="AC14" s="406"/>
      <c r="AD14" s="409"/>
      <c r="AE14" s="406"/>
      <c r="AF14" s="406"/>
      <c r="AG14" s="406"/>
      <c r="AH14" s="406"/>
      <c r="AI14" s="406"/>
      <c r="AJ14" s="423"/>
      <c r="AK14" s="424"/>
      <c r="AL14" s="424"/>
      <c r="AM14" s="424"/>
      <c r="AN14" s="424"/>
      <c r="AO14" s="425"/>
      <c r="AP14" s="69"/>
      <c r="AQ14" s="365"/>
      <c r="AR14" s="366"/>
      <c r="AS14" s="366"/>
      <c r="AT14" s="366"/>
      <c r="AU14" s="366"/>
      <c r="AV14" s="367"/>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60"/>
      <c r="E15" s="360"/>
      <c r="F15" s="361"/>
      <c r="G15" s="400"/>
      <c r="H15" s="401"/>
      <c r="I15" s="401"/>
      <c r="J15" s="401"/>
      <c r="K15" s="402"/>
      <c r="L15" s="409" t="str">
        <f ca="1">IF(AND('Mapa final'!$Q$20="Muy Alta",'Mapa final'!$U$20="Leve"),CONCATENATE("R",'Mapa final'!$A$20),"")</f>
        <v/>
      </c>
      <c r="M15" s="406"/>
      <c r="N15" s="406" t="str">
        <f>IF(AND('Mapa final'!$L$21="Muy Alta",'Mapa final'!$P$21="Leve"),CONCATENATE("R",'Mapa final'!$A$21),"")</f>
        <v/>
      </c>
      <c r="O15" s="406"/>
      <c r="P15" s="406" t="str">
        <f>IF(AND('Mapa final'!$L$22="Muy Alta",'Mapa final'!$P$22="Leve"),CONCATENATE("R",'Mapa final'!$A$22),"")</f>
        <v/>
      </c>
      <c r="Q15" s="414"/>
      <c r="R15" s="409" t="str">
        <f ca="1">IF(AND('Mapa final'!$Q$20="Muy Alta",'Mapa final'!$U$20="Menor"),CONCATENATE("R",'Mapa final'!$A$20),"")</f>
        <v/>
      </c>
      <c r="S15" s="406"/>
      <c r="T15" s="406" t="str">
        <f ca="1">IF(AND('Mapa final'!$LR$21="Muy Alta",'Mapa final'!$U$21="Menor"),CONCATENATE("R",'Mapa final'!$A$21),"")</f>
        <v/>
      </c>
      <c r="U15" s="406"/>
      <c r="V15" s="406" t="str">
        <f>IF(AND('Mapa final'!$Q$22="Muy Alta",'Mapa final'!$U$22="Menor"),CONCATENATE("R",'Mapa final'!$A$22),"")</f>
        <v/>
      </c>
      <c r="W15" s="406"/>
      <c r="X15" s="409" t="str">
        <f ca="1">IF(AND('Mapa final'!$Q$20="Muy Alta",'Mapa final'!$U$20="Moderado"),CONCATENATE("R",'Mapa final'!$A$20),"")</f>
        <v/>
      </c>
      <c r="Y15" s="406"/>
      <c r="Z15" s="406" t="str">
        <f ca="1">IF(AND('Mapa final'!$Q$21="Muy Alta",'Mapa final'!$U$21="Moderado"),CONCATENATE("R",'Mapa final'!$A$21),"")</f>
        <v/>
      </c>
      <c r="AA15" s="406"/>
      <c r="AB15" s="406" t="str">
        <f>IF(AND('Mapa final'!$Q$22="Muy Alta",'Mapa final'!$U$22="Moderado"),CONCATENATE("R",'Mapa final'!$A$22),"")</f>
        <v/>
      </c>
      <c r="AC15" s="406"/>
      <c r="AD15" s="409" t="str">
        <f ca="1">IF(AND('Mapa final'!$Q$20="Muy Alta",'Mapa final'!$U$20="Mayor"),CONCATENATE("R",'Mapa final'!$A$20),"")</f>
        <v/>
      </c>
      <c r="AE15" s="406"/>
      <c r="AF15" s="406" t="str">
        <f ca="1">IF(AND('Mapa final'!$Q$21="Muy Alta",'Mapa final'!$U$21="Mayor"),CONCATENATE("R",'Mapa final'!$A$21),"")</f>
        <v/>
      </c>
      <c r="AG15" s="406"/>
      <c r="AH15" s="406" t="str">
        <f>IF(AND('Mapa final'!$Q$22="Muy Alta",'Mapa final'!$U$22="Mayor"),CONCATENATE("R",'Mapa final'!$A$22),"")</f>
        <v/>
      </c>
      <c r="AI15" s="406"/>
      <c r="AJ15" s="423" t="str">
        <f ca="1">IF(AND('Mapa final'!$Q$20="Muy Alta",'Mapa final'!$U$20="Catastrófico"),CONCATENATE("R",'Mapa final'!$A$20),"")</f>
        <v/>
      </c>
      <c r="AK15" s="424"/>
      <c r="AL15" s="424" t="str">
        <f ca="1">IF(AND('Mapa final'!$Q$21="Muy Alta",'Mapa final'!$U$21="Catastrófico"),CONCATENATE("R",'Mapa final'!$A$21),"")</f>
        <v/>
      </c>
      <c r="AM15" s="424"/>
      <c r="AN15" s="424" t="str">
        <f>IF(AND('Mapa final'!$Q$22="Muy Alta",'Mapa final'!$U$22="Catastrófico"),CONCATENATE("R",'Mapa final'!$A$22),"")</f>
        <v/>
      </c>
      <c r="AO15" s="425"/>
      <c r="AP15" s="69"/>
      <c r="AQ15" s="365"/>
      <c r="AR15" s="366"/>
      <c r="AS15" s="366"/>
      <c r="AT15" s="366"/>
      <c r="AU15" s="366"/>
      <c r="AV15" s="367"/>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60"/>
      <c r="E16" s="360"/>
      <c r="F16" s="361"/>
      <c r="G16" s="400"/>
      <c r="H16" s="401"/>
      <c r="I16" s="401"/>
      <c r="J16" s="401"/>
      <c r="K16" s="402"/>
      <c r="L16" s="409"/>
      <c r="M16" s="406"/>
      <c r="N16" s="406"/>
      <c r="O16" s="406"/>
      <c r="P16" s="406"/>
      <c r="Q16" s="414"/>
      <c r="R16" s="409"/>
      <c r="S16" s="406"/>
      <c r="T16" s="406"/>
      <c r="U16" s="406"/>
      <c r="V16" s="406"/>
      <c r="W16" s="406"/>
      <c r="X16" s="409"/>
      <c r="Y16" s="406"/>
      <c r="Z16" s="406"/>
      <c r="AA16" s="406"/>
      <c r="AB16" s="406"/>
      <c r="AC16" s="406"/>
      <c r="AD16" s="409"/>
      <c r="AE16" s="406"/>
      <c r="AF16" s="406"/>
      <c r="AG16" s="406"/>
      <c r="AH16" s="406"/>
      <c r="AI16" s="406"/>
      <c r="AJ16" s="423"/>
      <c r="AK16" s="424"/>
      <c r="AL16" s="424"/>
      <c r="AM16" s="424"/>
      <c r="AN16" s="424"/>
      <c r="AO16" s="425"/>
      <c r="AP16" s="69"/>
      <c r="AQ16" s="365"/>
      <c r="AR16" s="366"/>
      <c r="AS16" s="366"/>
      <c r="AT16" s="366"/>
      <c r="AU16" s="366"/>
      <c r="AV16" s="367"/>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60"/>
      <c r="E17" s="360"/>
      <c r="F17" s="361"/>
      <c r="G17" s="400"/>
      <c r="H17" s="401"/>
      <c r="I17" s="401"/>
      <c r="J17" s="401"/>
      <c r="K17" s="402"/>
      <c r="L17" s="409" t="str">
        <f>IF(AND('Mapa final'!$Q$23="Muy Alta",'Mapa final'!$U$23="Leve"),CONCATENATE("R",'Mapa final'!$A$23),"")</f>
        <v/>
      </c>
      <c r="M17" s="406"/>
      <c r="N17" s="406" t="str">
        <f>IF(AND('Mapa final'!$L$24="Muy Alta",'Mapa final'!$P$24="Leve"),CONCATENATE("R",'Mapa final'!$A$24),"")</f>
        <v/>
      </c>
      <c r="O17" s="406"/>
      <c r="P17" s="406" t="str">
        <f>IF(AND('Mapa final'!$L$25="Muy Alta",'Mapa final'!$P$25="Leve"),CONCATENATE("R",'Mapa final'!$A$25),"")</f>
        <v/>
      </c>
      <c r="Q17" s="414"/>
      <c r="R17" s="409" t="str">
        <f>IF(AND('Mapa final'!$Q$23="Muy Alta",'Mapa final'!$U$23="Menor"),CONCATENATE("R",'Mapa final'!$A$23),"")</f>
        <v/>
      </c>
      <c r="S17" s="406"/>
      <c r="T17" s="406" t="str">
        <f>IF(AND('Mapa final'!$Q$24="Muy Alta",'Mapa final'!$U$24="Menor"),CONCATENATE("R",'Mapa final'!$A$24),"")</f>
        <v/>
      </c>
      <c r="U17" s="406"/>
      <c r="V17" s="406" t="str">
        <f>IF(AND('Mapa final'!$Q$25="Muy Alta",'Mapa final'!$U$25="Menor"),CONCATENATE("R",'Mapa final'!$A$25),"")</f>
        <v/>
      </c>
      <c r="W17" s="406"/>
      <c r="X17" s="409" t="str">
        <f>IF(AND('Mapa final'!$Q$23="Muy Alta",'Mapa final'!$U$23="Moderado"),CONCATENATE("R",'Mapa final'!$A$23),"")</f>
        <v/>
      </c>
      <c r="Y17" s="406"/>
      <c r="Z17" s="406" t="str">
        <f>IF(AND('Mapa final'!$Q$24="Muy Alta",'Mapa final'!$U$24="Moderado"),CONCATENATE("R",'Mapa final'!$A$24),"")</f>
        <v/>
      </c>
      <c r="AA17" s="406"/>
      <c r="AB17" s="406" t="str">
        <f>IF(AND('Mapa final'!$Q$25="Muy Alta",'Mapa final'!$U$25="Moderado"),CONCATENATE("R",'Mapa final'!$A$25),"")</f>
        <v/>
      </c>
      <c r="AC17" s="406"/>
      <c r="AD17" s="409" t="str">
        <f>IF(AND('Mapa final'!$Q$23="Muy Alta",'Mapa final'!$U$23="Mayor"),CONCATENATE("R",'Mapa final'!$A$23),"")</f>
        <v/>
      </c>
      <c r="AE17" s="406"/>
      <c r="AF17" s="406" t="str">
        <f>IF(AND('Mapa final'!$Q$24="Muy Alta",'Mapa final'!$U$24="Mayor"),CONCATENATE("R",'Mapa final'!$A$24),"")</f>
        <v/>
      </c>
      <c r="AG17" s="406"/>
      <c r="AH17" s="406" t="str">
        <f>IF(AND('Mapa final'!$Q$25="Muy Alta",'Mapa final'!$U$25="Mayor"),CONCATENATE("R",'Mapa final'!$A$25),"")</f>
        <v/>
      </c>
      <c r="AI17" s="406"/>
      <c r="AJ17" s="423" t="str">
        <f>IF(AND('Mapa final'!$Q$23="Muy Alta",'Mapa final'!$U$23="Catastrófico"),CONCATENATE("R",'Mapa final'!$A$23),"")</f>
        <v/>
      </c>
      <c r="AK17" s="424"/>
      <c r="AL17" s="424" t="str">
        <f>IF(AND('Mapa final'!$Q$24="Muy Alta",'Mapa final'!$U$24="Catastrófico"),CONCATENATE("R",'Mapa final'!$A$24),"")</f>
        <v/>
      </c>
      <c r="AM17" s="424"/>
      <c r="AN17" s="424" t="str">
        <f>IF(AND('Mapa final'!$Q$25="Muy Alta",'Mapa final'!$U$25="Catastrófico"),CONCATENATE("R",'Mapa final'!$A$25),"")</f>
        <v/>
      </c>
      <c r="AO17" s="425"/>
      <c r="AP17" s="69"/>
      <c r="AQ17" s="365"/>
      <c r="AR17" s="366"/>
      <c r="AS17" s="366"/>
      <c r="AT17" s="366"/>
      <c r="AU17" s="366"/>
      <c r="AV17" s="367"/>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60"/>
      <c r="E18" s="360"/>
      <c r="F18" s="361"/>
      <c r="G18" s="403"/>
      <c r="H18" s="404"/>
      <c r="I18" s="404"/>
      <c r="J18" s="404"/>
      <c r="K18" s="404"/>
      <c r="L18" s="420"/>
      <c r="M18" s="415"/>
      <c r="N18" s="415"/>
      <c r="O18" s="415"/>
      <c r="P18" s="415"/>
      <c r="Q18" s="416"/>
      <c r="R18" s="420"/>
      <c r="S18" s="415"/>
      <c r="T18" s="415"/>
      <c r="U18" s="415"/>
      <c r="V18" s="415"/>
      <c r="W18" s="415"/>
      <c r="X18" s="409"/>
      <c r="Y18" s="406"/>
      <c r="Z18" s="406"/>
      <c r="AA18" s="406"/>
      <c r="AB18" s="406"/>
      <c r="AC18" s="406"/>
      <c r="AD18" s="409"/>
      <c r="AE18" s="406"/>
      <c r="AF18" s="406"/>
      <c r="AG18" s="406"/>
      <c r="AH18" s="406"/>
      <c r="AI18" s="406"/>
      <c r="AJ18" s="423"/>
      <c r="AK18" s="424"/>
      <c r="AL18" s="424"/>
      <c r="AM18" s="424"/>
      <c r="AN18" s="424"/>
      <c r="AO18" s="425"/>
      <c r="AP18" s="69"/>
      <c r="AQ18" s="368"/>
      <c r="AR18" s="369"/>
      <c r="AS18" s="369"/>
      <c r="AT18" s="369"/>
      <c r="AU18" s="369"/>
      <c r="AV18" s="370"/>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60"/>
      <c r="E19" s="360"/>
      <c r="F19" s="361"/>
      <c r="G19" s="398" t="s">
        <v>114</v>
      </c>
      <c r="H19" s="399"/>
      <c r="I19" s="399"/>
      <c r="J19" s="399"/>
      <c r="K19" s="399"/>
      <c r="L19" s="437" t="str">
        <f ca="1">IF(AND('Mapa final'!$Q$15="Alta",'Mapa final'!$U$15="Leve"),CONCATENATE("R",'Mapa final'!$A$15),"")</f>
        <v/>
      </c>
      <c r="M19" s="438"/>
      <c r="N19" s="438"/>
      <c r="O19" s="438"/>
      <c r="P19" s="438"/>
      <c r="Q19" s="439"/>
      <c r="R19" s="437"/>
      <c r="S19" s="438"/>
      <c r="T19" s="418"/>
      <c r="U19" s="418"/>
      <c r="V19" s="418"/>
      <c r="W19" s="418"/>
      <c r="X19" s="407"/>
      <c r="Y19" s="408"/>
      <c r="Z19" s="408"/>
      <c r="AA19" s="408"/>
      <c r="AB19" s="408"/>
      <c r="AC19" s="408"/>
      <c r="AD19" s="407"/>
      <c r="AE19" s="408"/>
      <c r="AF19" s="408"/>
      <c r="AG19" s="408"/>
      <c r="AH19" s="408"/>
      <c r="AI19" s="408"/>
      <c r="AJ19" s="426"/>
      <c r="AK19" s="427"/>
      <c r="AL19" s="427"/>
      <c r="AM19" s="427"/>
      <c r="AN19" s="427" t="str">
        <f ca="1">IF(AND('Mapa final'!$Q$16="Alta",'Mapa final'!$U$16="Catastrófico"),CONCATENATE("R",'Mapa final'!$A$16),"")</f>
        <v/>
      </c>
      <c r="AO19" s="428"/>
      <c r="AP19" s="69"/>
      <c r="AQ19" s="371" t="s">
        <v>79</v>
      </c>
      <c r="AR19" s="372"/>
      <c r="AS19" s="372"/>
      <c r="AT19" s="372"/>
      <c r="AU19" s="372"/>
      <c r="AV19" s="373"/>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60"/>
      <c r="E20" s="360"/>
      <c r="F20" s="361"/>
      <c r="G20" s="400"/>
      <c r="H20" s="401"/>
      <c r="I20" s="401"/>
      <c r="J20" s="401"/>
      <c r="K20" s="401"/>
      <c r="L20" s="417"/>
      <c r="M20" s="418"/>
      <c r="N20" s="418"/>
      <c r="O20" s="418"/>
      <c r="P20" s="418"/>
      <c r="Q20" s="433"/>
      <c r="R20" s="417"/>
      <c r="S20" s="418"/>
      <c r="T20" s="440"/>
      <c r="U20" s="440"/>
      <c r="V20" s="440"/>
      <c r="W20" s="440"/>
      <c r="X20" s="409"/>
      <c r="Y20" s="406"/>
      <c r="Z20" s="406"/>
      <c r="AA20" s="406"/>
      <c r="AB20" s="406"/>
      <c r="AC20" s="406"/>
      <c r="AD20" s="409"/>
      <c r="AE20" s="406"/>
      <c r="AF20" s="406"/>
      <c r="AG20" s="406"/>
      <c r="AH20" s="406"/>
      <c r="AI20" s="406"/>
      <c r="AJ20" s="423"/>
      <c r="AK20" s="424"/>
      <c r="AL20" s="424"/>
      <c r="AM20" s="424"/>
      <c r="AN20" s="424"/>
      <c r="AO20" s="425"/>
      <c r="AP20" s="69"/>
      <c r="AQ20" s="374"/>
      <c r="AR20" s="375"/>
      <c r="AS20" s="375"/>
      <c r="AT20" s="375"/>
      <c r="AU20" s="375"/>
      <c r="AV20" s="376"/>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60"/>
      <c r="E21" s="360"/>
      <c r="F21" s="361"/>
      <c r="G21" s="400"/>
      <c r="H21" s="401"/>
      <c r="I21" s="401"/>
      <c r="J21" s="401"/>
      <c r="K21" s="401"/>
      <c r="L21" s="417" t="str">
        <f ca="1">IF(AND('Mapa final'!$Q$17="Alta",'Mapa final'!$U$17="Leve"),CONCATENATE("R",'Mapa final'!$A$17),"")</f>
        <v/>
      </c>
      <c r="M21" s="418"/>
      <c r="N21" s="418" t="str">
        <f>IF(AND('Mapa final'!$L$18="Alta",'Mapa final'!$P$18="Leve"),CONCATENATE("R",'Mapa final'!$A$18),"")</f>
        <v/>
      </c>
      <c r="O21" s="418"/>
      <c r="P21" s="418" t="str">
        <f>IF(AND('Mapa final'!$L$19="Alta",'Mapa final'!$P$19="Leve"),CONCATENATE("R",'Mapa final'!$A$19),"")</f>
        <v/>
      </c>
      <c r="Q21" s="433"/>
      <c r="R21" s="417" t="str">
        <f ca="1">IF(AND('Mapa final'!$Q$17="Alta",'Mapa final'!$U$17="Menor"),CONCATENATE("R",'Mapa final'!$A$17),"")</f>
        <v/>
      </c>
      <c r="S21" s="418"/>
      <c r="T21" s="418" t="str">
        <f ca="1">IF(AND('Mapa final'!$Q$18="Alta",'Mapa final'!$U$18="Menor"),CONCATENATE("R",'Mapa final'!$A$18),"")</f>
        <v/>
      </c>
      <c r="U21" s="418"/>
      <c r="V21" s="418" t="str">
        <f ca="1">IF(AND('Mapa final'!$Q$19="Alta",'Mapa final'!$U$19="Menor"),CONCATENATE("R",'Mapa final'!$A$19),"")</f>
        <v/>
      </c>
      <c r="W21" s="418"/>
      <c r="X21" s="409" t="str">
        <f ca="1">IF(AND('Mapa final'!$Q$17="Alta",'Mapa final'!$U$17="Moderado"),CONCATENATE("R",'Mapa final'!$A$17),"")</f>
        <v/>
      </c>
      <c r="Y21" s="406"/>
      <c r="Z21" s="406" t="str">
        <f ca="1">IF(AND('Mapa final'!$Q$18="Alta",'Mapa final'!$U$18="Moderado"),CONCATENATE("R",'Mapa final'!$A$18),"")</f>
        <v/>
      </c>
      <c r="AA21" s="406"/>
      <c r="AB21" s="406" t="str">
        <f ca="1">IF(AND('Mapa final'!$Q$19="Alta",'Mapa final'!$U$19="Moderado"),CONCATENATE("R",'Mapa final'!$A$19),"")</f>
        <v/>
      </c>
      <c r="AC21" s="406"/>
      <c r="AD21" s="409" t="str">
        <f ca="1">IF(AND('Mapa final'!$Q$17="Alta",'Mapa final'!$U$17="Mayor"),CONCATENATE("R",'Mapa final'!$A$17),"")</f>
        <v/>
      </c>
      <c r="AE21" s="406"/>
      <c r="AF21" s="406" t="str">
        <f ca="1">IF(AND('Mapa final'!$Q$18="Alta",'Mapa final'!$U$18="Mayor"),CONCATENATE("R",'Mapa final'!$A$18),"")</f>
        <v/>
      </c>
      <c r="AG21" s="406"/>
      <c r="AH21" s="406" t="str">
        <f ca="1">IF(AND('Mapa final'!$Q$19="Alta",'Mapa final'!$U$19="Mayor"),CONCATENATE("R",'Mapa final'!$A$19),"")</f>
        <v/>
      </c>
      <c r="AI21" s="406"/>
      <c r="AJ21" s="423" t="str">
        <f ca="1">IF(AND('Mapa final'!$Q$17="Alta",'Mapa final'!$U$17="Catastrófico"),CONCATENATE("R",'Mapa final'!$A$17),"")</f>
        <v/>
      </c>
      <c r="AK21" s="424"/>
      <c r="AL21" s="424" t="str">
        <f ca="1">IF(AND('Mapa final'!$Q$18="Alta",'Mapa final'!$U$18="Catastrófico"),CONCATENATE("R",'Mapa final'!$A$18),"")</f>
        <v/>
      </c>
      <c r="AM21" s="424"/>
      <c r="AN21" s="424" t="str">
        <f>IF(AND('Mapa final'!$Q$19="Alta",'Mapa final'!$L$19="Catastrófico"),CONCATENATE("R",'Mapa final'!$A$19),"")</f>
        <v/>
      </c>
      <c r="AO21" s="425"/>
      <c r="AP21" s="69"/>
      <c r="AQ21" s="374"/>
      <c r="AR21" s="375"/>
      <c r="AS21" s="375"/>
      <c r="AT21" s="375"/>
      <c r="AU21" s="375"/>
      <c r="AV21" s="376"/>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60"/>
      <c r="E22" s="360"/>
      <c r="F22" s="361"/>
      <c r="G22" s="400"/>
      <c r="H22" s="401"/>
      <c r="I22" s="401"/>
      <c r="J22" s="401"/>
      <c r="K22" s="401"/>
      <c r="L22" s="417"/>
      <c r="M22" s="418"/>
      <c r="N22" s="418"/>
      <c r="O22" s="418"/>
      <c r="P22" s="418"/>
      <c r="Q22" s="433"/>
      <c r="R22" s="417"/>
      <c r="S22" s="418"/>
      <c r="T22" s="440"/>
      <c r="U22" s="440"/>
      <c r="V22" s="440"/>
      <c r="W22" s="440"/>
      <c r="X22" s="409"/>
      <c r="Y22" s="406"/>
      <c r="Z22" s="406"/>
      <c r="AA22" s="406"/>
      <c r="AB22" s="406"/>
      <c r="AC22" s="406"/>
      <c r="AD22" s="409"/>
      <c r="AE22" s="406"/>
      <c r="AF22" s="406"/>
      <c r="AG22" s="406"/>
      <c r="AH22" s="406"/>
      <c r="AI22" s="406"/>
      <c r="AJ22" s="423"/>
      <c r="AK22" s="424"/>
      <c r="AL22" s="424"/>
      <c r="AM22" s="424"/>
      <c r="AN22" s="424"/>
      <c r="AO22" s="425"/>
      <c r="AP22" s="69"/>
      <c r="AQ22" s="374"/>
      <c r="AR22" s="375"/>
      <c r="AS22" s="375"/>
      <c r="AT22" s="375"/>
      <c r="AU22" s="375"/>
      <c r="AV22" s="376"/>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60"/>
      <c r="E23" s="360"/>
      <c r="F23" s="361"/>
      <c r="G23" s="400"/>
      <c r="H23" s="401"/>
      <c r="I23" s="401"/>
      <c r="J23" s="401"/>
      <c r="K23" s="401"/>
      <c r="L23" s="417" t="str">
        <f ca="1">IF(AND('Mapa final'!$Q$20="Alta",'Mapa final'!$U$20="Leve"),CONCATENATE("R",'Mapa final'!$A$20),"")</f>
        <v/>
      </c>
      <c r="M23" s="418"/>
      <c r="N23" s="418" t="str">
        <f>IF(AND('Mapa final'!$L$21="Alta",'Mapa final'!$P$21="Leve"),CONCATENATE("R",'Mapa final'!$A$21),"")</f>
        <v/>
      </c>
      <c r="O23" s="418"/>
      <c r="P23" s="418" t="str">
        <f>IF(AND('Mapa final'!$L$22="Alta",'Mapa final'!$P$22="Leve"),CONCATENATE("R",'Mapa final'!$A$22),"")</f>
        <v/>
      </c>
      <c r="Q23" s="433"/>
      <c r="R23" s="417" t="str">
        <f ca="1">IF(AND('Mapa final'!$Q$20="Alta",'Mapa final'!$U$20="Menor"),CONCATENATE("R",'Mapa final'!$A$20),"")</f>
        <v/>
      </c>
      <c r="S23" s="418"/>
      <c r="T23" s="418" t="str">
        <f ca="1">IF(AND('Mapa final'!$LR$21="Alta",'Mapa final'!$U$21="Menor"),CONCATENATE("R",'Mapa final'!$A$21),"")</f>
        <v/>
      </c>
      <c r="U23" s="418"/>
      <c r="V23" s="418" t="str">
        <f>IF(AND('Mapa final'!$Q$22="Alta",'Mapa final'!$U$22="Menor"),CONCATENATE("R",'Mapa final'!$A$22),"")</f>
        <v/>
      </c>
      <c r="W23" s="418"/>
      <c r="X23" s="409" t="str">
        <f ca="1">IF(AND('Mapa final'!$Q$20="Alta",'Mapa final'!$U$20="Moderado"),CONCATENATE("R",'Mapa final'!$A$20),"")</f>
        <v/>
      </c>
      <c r="Y23" s="406"/>
      <c r="Z23" s="406" t="str">
        <f ca="1">IF(AND('Mapa final'!$Q$21="Alta",'Mapa final'!$U$21="Moderado"),CONCATENATE("R",'Mapa final'!$A$21),"")</f>
        <v/>
      </c>
      <c r="AA23" s="406"/>
      <c r="AB23" s="406" t="str">
        <f>IF(AND('Mapa final'!$Q$22="Alta",'Mapa final'!$U$22="Moderado"),CONCATENATE("R",'Mapa final'!$A$22),"")</f>
        <v/>
      </c>
      <c r="AC23" s="406"/>
      <c r="AD23" s="409" t="str">
        <f ca="1">IF(AND('Mapa final'!$Q$20="Alta",'Mapa final'!$U$20="Mayor"),CONCATENATE("R",'Mapa final'!$A$20),"")</f>
        <v/>
      </c>
      <c r="AE23" s="406"/>
      <c r="AF23" s="406" t="str">
        <f ca="1">IF(AND('Mapa final'!$Q$21="Alta",'Mapa final'!$U$21="Mayor"),CONCATENATE("R",'Mapa final'!$A$21),"")</f>
        <v/>
      </c>
      <c r="AG23" s="406"/>
      <c r="AH23" s="406" t="str">
        <f>IF(AND('Mapa final'!$Q$22="Alta",'Mapa final'!$U$22="Mayor"),CONCATENATE("R",'Mapa final'!$A$22),"")</f>
        <v/>
      </c>
      <c r="AI23" s="406"/>
      <c r="AJ23" s="423" t="str">
        <f ca="1">IF(AND('Mapa final'!$Q$20="Alta",'Mapa final'!$U$20="Catastrófico"),CONCATENATE("R",'Mapa final'!$A$20),"")</f>
        <v/>
      </c>
      <c r="AK23" s="424"/>
      <c r="AL23" s="424" t="str">
        <f ca="1">IF(AND('Mapa final'!$Q$21="Alta",'Mapa final'!$U$21="Catastrófico"),CONCATENATE("R",'Mapa final'!$A$21),"")</f>
        <v/>
      </c>
      <c r="AM23" s="424"/>
      <c r="AN23" s="424" t="str">
        <f>IF(AND('Mapa final'!$Q$22="Alta",'Mapa final'!$U$22="Catastrófico"),CONCATENATE("R",'Mapa final'!$A$22),"")</f>
        <v/>
      </c>
      <c r="AO23" s="425"/>
      <c r="AP23" s="69"/>
      <c r="AQ23" s="374"/>
      <c r="AR23" s="375"/>
      <c r="AS23" s="375"/>
      <c r="AT23" s="375"/>
      <c r="AU23" s="375"/>
      <c r="AV23" s="376"/>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60"/>
      <c r="E24" s="360"/>
      <c r="F24" s="361"/>
      <c r="G24" s="400"/>
      <c r="H24" s="401"/>
      <c r="I24" s="401"/>
      <c r="J24" s="401"/>
      <c r="K24" s="401"/>
      <c r="L24" s="417"/>
      <c r="M24" s="418"/>
      <c r="N24" s="418"/>
      <c r="O24" s="418"/>
      <c r="P24" s="418"/>
      <c r="Q24" s="433"/>
      <c r="R24" s="417"/>
      <c r="S24" s="418"/>
      <c r="T24" s="440"/>
      <c r="U24" s="440"/>
      <c r="V24" s="440"/>
      <c r="W24" s="440"/>
      <c r="X24" s="409"/>
      <c r="Y24" s="406"/>
      <c r="Z24" s="406"/>
      <c r="AA24" s="406"/>
      <c r="AB24" s="406"/>
      <c r="AC24" s="406"/>
      <c r="AD24" s="409"/>
      <c r="AE24" s="406"/>
      <c r="AF24" s="406"/>
      <c r="AG24" s="406"/>
      <c r="AH24" s="406"/>
      <c r="AI24" s="406"/>
      <c r="AJ24" s="423"/>
      <c r="AK24" s="424"/>
      <c r="AL24" s="424"/>
      <c r="AM24" s="424"/>
      <c r="AN24" s="424"/>
      <c r="AO24" s="425"/>
      <c r="AP24" s="69"/>
      <c r="AQ24" s="374"/>
      <c r="AR24" s="375"/>
      <c r="AS24" s="375"/>
      <c r="AT24" s="375"/>
      <c r="AU24" s="375"/>
      <c r="AV24" s="376"/>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60"/>
      <c r="E25" s="360"/>
      <c r="F25" s="361"/>
      <c r="G25" s="400"/>
      <c r="H25" s="401"/>
      <c r="I25" s="401"/>
      <c r="J25" s="401"/>
      <c r="K25" s="401"/>
      <c r="L25" s="417" t="str">
        <f>IF(AND('Mapa final'!$Q$23="Alta",'Mapa final'!$U$23="Leve"),CONCATENATE("R",'Mapa final'!$A$23),"")</f>
        <v/>
      </c>
      <c r="M25" s="418"/>
      <c r="N25" s="418" t="str">
        <f>IF(AND('Mapa final'!$L$24="Alta",'Mapa final'!$P$24="Leve"),CONCATENATE("R",'Mapa final'!$A$24),"")</f>
        <v/>
      </c>
      <c r="O25" s="418"/>
      <c r="P25" s="418" t="str">
        <f>IF(AND('Mapa final'!$L$25="Alta",'Mapa final'!$P$25="Leve"),CONCATENATE("R",'Mapa final'!$A$25),"")</f>
        <v/>
      </c>
      <c r="Q25" s="433"/>
      <c r="R25" s="417" t="str">
        <f>IF(AND('Mapa final'!$Q$23="Alta",'Mapa final'!$U$23="Menor"),CONCATENATE("R",'Mapa final'!$A$23),"")</f>
        <v/>
      </c>
      <c r="S25" s="418"/>
      <c r="T25" s="418" t="str">
        <f>IF(AND('Mapa final'!$Q$24="Alta",'Mapa final'!$U$24="Menor"),CONCATENATE("R",'Mapa final'!$A$24),"")</f>
        <v/>
      </c>
      <c r="U25" s="418"/>
      <c r="V25" s="418" t="str">
        <f>IF(AND('Mapa final'!$Q$25="Alta",'Mapa final'!$U$25="Menor"),CONCATENATE("R",'Mapa final'!$A$25),"")</f>
        <v/>
      </c>
      <c r="W25" s="418"/>
      <c r="X25" s="409" t="str">
        <f>IF(AND('Mapa final'!$Q$23="Alta",'Mapa final'!$U$23="Moderado"),CONCATENATE("R",'Mapa final'!$A$23),"")</f>
        <v/>
      </c>
      <c r="Y25" s="406"/>
      <c r="Z25" s="406" t="str">
        <f>IF(AND('Mapa final'!$Q$24="Alta",'Mapa final'!$U$24="Moderado"),CONCATENATE("R",'Mapa final'!$A$24),"")</f>
        <v/>
      </c>
      <c r="AA25" s="406"/>
      <c r="AB25" s="406" t="str">
        <f>IF(AND('Mapa final'!$Q$25="Alta",'Mapa final'!$U$25="Moderado"),CONCATENATE("R",'Mapa final'!$A$25),"")</f>
        <v/>
      </c>
      <c r="AC25" s="406"/>
      <c r="AD25" s="409" t="str">
        <f>IF(AND('Mapa final'!$Q$23="Alta",'Mapa final'!$U$23="Mayor"),CONCATENATE("R",'Mapa final'!$A$23),"")</f>
        <v/>
      </c>
      <c r="AE25" s="406"/>
      <c r="AF25" s="406" t="str">
        <f>IF(AND('Mapa final'!$Q$24="Alta",'Mapa final'!$U$24="Mayor"),CONCATENATE("R",'Mapa final'!$A$24),"")</f>
        <v/>
      </c>
      <c r="AG25" s="406"/>
      <c r="AH25" s="406" t="str">
        <f>IF(AND('Mapa final'!$Q$25="Alta",'Mapa final'!$U$25="Mayor"),CONCATENATE("R",'Mapa final'!$A$25),"")</f>
        <v/>
      </c>
      <c r="AI25" s="406"/>
      <c r="AJ25" s="423" t="str">
        <f>IF(AND('Mapa final'!$Q$23="Alta",'Mapa final'!$U$23="Catastrófico"),CONCATENATE("R",'Mapa final'!$A$23),"")</f>
        <v/>
      </c>
      <c r="AK25" s="424"/>
      <c r="AL25" s="424" t="str">
        <f>IF(AND('Mapa final'!$Q$24="Alta",'Mapa final'!$U$24="Catastrófico"),CONCATENATE("R",'Mapa final'!$A$24),"")</f>
        <v/>
      </c>
      <c r="AM25" s="424"/>
      <c r="AN25" s="424" t="str">
        <f>IF(AND('Mapa final'!$Q$25="Alta",'Mapa final'!$U$25="Catastrófico"),CONCATENATE("R",'Mapa final'!$A$25),"")</f>
        <v/>
      </c>
      <c r="AO25" s="425"/>
      <c r="AP25" s="69"/>
      <c r="AQ25" s="374"/>
      <c r="AR25" s="375"/>
      <c r="AS25" s="375"/>
      <c r="AT25" s="375"/>
      <c r="AU25" s="375"/>
      <c r="AV25" s="376"/>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60"/>
      <c r="E26" s="360"/>
      <c r="F26" s="361"/>
      <c r="G26" s="403"/>
      <c r="H26" s="404"/>
      <c r="I26" s="404"/>
      <c r="J26" s="404"/>
      <c r="K26" s="404"/>
      <c r="L26" s="434"/>
      <c r="M26" s="435"/>
      <c r="N26" s="435"/>
      <c r="O26" s="435"/>
      <c r="P26" s="435"/>
      <c r="Q26" s="436"/>
      <c r="R26" s="434"/>
      <c r="S26" s="435"/>
      <c r="T26" s="440"/>
      <c r="U26" s="440"/>
      <c r="V26" s="440"/>
      <c r="W26" s="440"/>
      <c r="X26" s="409"/>
      <c r="Y26" s="406"/>
      <c r="Z26" s="406"/>
      <c r="AA26" s="406"/>
      <c r="AB26" s="406"/>
      <c r="AC26" s="406"/>
      <c r="AD26" s="409"/>
      <c r="AE26" s="406"/>
      <c r="AF26" s="406"/>
      <c r="AG26" s="406"/>
      <c r="AH26" s="406"/>
      <c r="AI26" s="406"/>
      <c r="AJ26" s="423"/>
      <c r="AK26" s="424"/>
      <c r="AL26" s="424"/>
      <c r="AM26" s="424"/>
      <c r="AN26" s="424"/>
      <c r="AO26" s="425"/>
      <c r="AP26" s="69"/>
      <c r="AQ26" s="377"/>
      <c r="AR26" s="378"/>
      <c r="AS26" s="378"/>
      <c r="AT26" s="378"/>
      <c r="AU26" s="378"/>
      <c r="AV26" s="37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60"/>
      <c r="E27" s="360"/>
      <c r="F27" s="361"/>
      <c r="G27" s="398" t="s">
        <v>116</v>
      </c>
      <c r="H27" s="399"/>
      <c r="I27" s="399"/>
      <c r="J27" s="399"/>
      <c r="K27" s="399"/>
      <c r="L27" s="437" t="str">
        <f ca="1">IF(AND('Mapa final'!$Q$15="Media",'Mapa final'!$U$15="Leve"),CONCATENATE("R",'Mapa final'!$A$15),"")</f>
        <v/>
      </c>
      <c r="M27" s="438"/>
      <c r="N27" s="438"/>
      <c r="O27" s="438"/>
      <c r="P27" s="438"/>
      <c r="Q27" s="439"/>
      <c r="R27" s="437"/>
      <c r="S27" s="438"/>
      <c r="T27" s="438"/>
      <c r="U27" s="438"/>
      <c r="V27" s="438"/>
      <c r="W27" s="438"/>
      <c r="X27" s="437"/>
      <c r="Y27" s="438"/>
      <c r="Z27" s="438"/>
      <c r="AA27" s="438"/>
      <c r="AB27" s="438"/>
      <c r="AC27" s="438"/>
      <c r="AD27" s="407"/>
      <c r="AE27" s="408"/>
      <c r="AF27" s="408"/>
      <c r="AG27" s="408"/>
      <c r="AH27" s="408"/>
      <c r="AI27" s="408"/>
      <c r="AJ27" s="426"/>
      <c r="AK27" s="427"/>
      <c r="AL27" s="427"/>
      <c r="AM27" s="427"/>
      <c r="AN27" s="427" t="str">
        <f ca="1">IF(AND('Mapa final'!$Q$16="Media",'Mapa final'!$U$16="Catastrófico"),CONCATENATE("R",'Mapa final'!$A$16),"")</f>
        <v/>
      </c>
      <c r="AO27" s="428"/>
      <c r="AP27" s="69"/>
      <c r="AQ27" s="380" t="s">
        <v>80</v>
      </c>
      <c r="AR27" s="381"/>
      <c r="AS27" s="381"/>
      <c r="AT27" s="381"/>
      <c r="AU27" s="381"/>
      <c r="AV27" s="382"/>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60"/>
      <c r="E28" s="360"/>
      <c r="F28" s="361"/>
      <c r="G28" s="400"/>
      <c r="H28" s="401"/>
      <c r="I28" s="401"/>
      <c r="J28" s="401"/>
      <c r="K28" s="402"/>
      <c r="L28" s="417"/>
      <c r="M28" s="418"/>
      <c r="N28" s="418"/>
      <c r="O28" s="418"/>
      <c r="P28" s="418"/>
      <c r="Q28" s="433"/>
      <c r="R28" s="417"/>
      <c r="S28" s="418"/>
      <c r="T28" s="418"/>
      <c r="U28" s="418"/>
      <c r="V28" s="418"/>
      <c r="W28" s="418"/>
      <c r="X28" s="417"/>
      <c r="Y28" s="418"/>
      <c r="Z28" s="418"/>
      <c r="AA28" s="418"/>
      <c r="AB28" s="418"/>
      <c r="AC28" s="418"/>
      <c r="AD28" s="409"/>
      <c r="AE28" s="406"/>
      <c r="AF28" s="406"/>
      <c r="AG28" s="406"/>
      <c r="AH28" s="406"/>
      <c r="AI28" s="406"/>
      <c r="AJ28" s="423"/>
      <c r="AK28" s="424"/>
      <c r="AL28" s="424"/>
      <c r="AM28" s="424"/>
      <c r="AN28" s="424"/>
      <c r="AO28" s="425"/>
      <c r="AP28" s="69"/>
      <c r="AQ28" s="383"/>
      <c r="AR28" s="384"/>
      <c r="AS28" s="384"/>
      <c r="AT28" s="384"/>
      <c r="AU28" s="384"/>
      <c r="AV28" s="385"/>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60"/>
      <c r="E29" s="360"/>
      <c r="F29" s="361"/>
      <c r="G29" s="400"/>
      <c r="H29" s="401"/>
      <c r="I29" s="401"/>
      <c r="J29" s="401"/>
      <c r="K29" s="402"/>
      <c r="L29" s="417" t="str">
        <f ca="1">IF(AND('Mapa final'!$Q$17="Media",'Mapa final'!$U$17="Leve"),CONCATENATE("R",'Mapa final'!$A$17),"")</f>
        <v/>
      </c>
      <c r="M29" s="418"/>
      <c r="N29" s="418" t="str">
        <f>IF(AND('Mapa final'!$L$18="Media",'Mapa final'!$P$18="Leve"),CONCATENATE("R",'Mapa final'!$A$18),"")</f>
        <v/>
      </c>
      <c r="O29" s="418"/>
      <c r="P29" s="418" t="str">
        <f>IF(AND('Mapa final'!$L$19="Media",'Mapa final'!$P$19="Leve"),CONCATENATE("R",'Mapa final'!$A$19),"")</f>
        <v/>
      </c>
      <c r="Q29" s="433"/>
      <c r="R29" s="417" t="str">
        <f ca="1">IF(AND('Mapa final'!$Q$17="Media",'Mapa final'!$U$17="Menor"),CONCATENATE("R",'Mapa final'!$A$17),"")</f>
        <v/>
      </c>
      <c r="S29" s="418"/>
      <c r="T29" s="418" t="str">
        <f ca="1">IF(AND('Mapa final'!$Q$18="Media",'Mapa final'!$U$18="Menor"),CONCATENATE("R",'Mapa final'!$A$18),"")</f>
        <v/>
      </c>
      <c r="U29" s="418"/>
      <c r="V29" s="418" t="str">
        <f ca="1">IF(AND('Mapa final'!$Q$19="Media",'Mapa final'!$U$19="Menor"),CONCATENATE("R",'Mapa final'!$A$19),"")</f>
        <v/>
      </c>
      <c r="W29" s="418"/>
      <c r="X29" s="417" t="str">
        <f ca="1">IF(AND('Mapa final'!$Q$17="Media",'Mapa final'!$U$17="Moderado"),CONCATENATE("R",'Mapa final'!$A$17),"")</f>
        <v/>
      </c>
      <c r="Y29" s="418"/>
      <c r="Z29" s="418" t="str">
        <f ca="1">IF(AND('Mapa final'!$Q$18="Media",'Mapa final'!$U$18="Moderado"),CONCATENATE("R",'Mapa final'!$A$18),"")</f>
        <v/>
      </c>
      <c r="AA29" s="418"/>
      <c r="AB29" s="418" t="str">
        <f ca="1">IF(AND('Mapa final'!$Q$19="Media",'Mapa final'!$U$19="Moderado"),CONCATENATE("R",'Mapa final'!$A$19),"")</f>
        <v/>
      </c>
      <c r="AC29" s="418"/>
      <c r="AD29" s="409" t="str">
        <f ca="1">IF(AND('Mapa final'!$Q$17="Media",'Mapa final'!$U$17="Mayor"),CONCATENATE("R",'Mapa final'!$A$17),"")</f>
        <v/>
      </c>
      <c r="AE29" s="406"/>
      <c r="AF29" s="406" t="str">
        <f ca="1">IF(AND('Mapa final'!$Q$18="Media",'Mapa final'!$U$18="Mayor"),CONCATENATE("R",'Mapa final'!$A$18),"")</f>
        <v/>
      </c>
      <c r="AG29" s="406"/>
      <c r="AH29" s="406" t="str">
        <f ca="1">IF(AND('Mapa final'!$Q$19="Media",'Mapa final'!$U$19="Mayor"),CONCATENATE("R",'Mapa final'!$A$19),"")</f>
        <v/>
      </c>
      <c r="AI29" s="406"/>
      <c r="AJ29" s="423" t="str">
        <f ca="1">IF(AND('Mapa final'!$Q$17="Media",'Mapa final'!$U$17="Catastrófico"),CONCATENATE("R",'Mapa final'!$A$17),"")</f>
        <v/>
      </c>
      <c r="AK29" s="424"/>
      <c r="AL29" s="424" t="str">
        <f ca="1">IF(AND('Mapa final'!$Q$18="Media",'Mapa final'!$U$18="Catastrófico"),CONCATENATE("R",'Mapa final'!$A$18),"")</f>
        <v/>
      </c>
      <c r="AM29" s="424"/>
      <c r="AN29" s="424" t="str">
        <f>IF(AND('Mapa final'!$Q$19="Media",'Mapa final'!$L$19="Catastrófico"),CONCATENATE("R",'Mapa final'!$A$19),"")</f>
        <v/>
      </c>
      <c r="AO29" s="425"/>
      <c r="AP29" s="69"/>
      <c r="AQ29" s="383"/>
      <c r="AR29" s="384"/>
      <c r="AS29" s="384"/>
      <c r="AT29" s="384"/>
      <c r="AU29" s="384"/>
      <c r="AV29" s="385"/>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60"/>
      <c r="E30" s="360"/>
      <c r="F30" s="361"/>
      <c r="G30" s="400"/>
      <c r="H30" s="401"/>
      <c r="I30" s="401"/>
      <c r="J30" s="401"/>
      <c r="K30" s="402"/>
      <c r="L30" s="417"/>
      <c r="M30" s="418"/>
      <c r="N30" s="418"/>
      <c r="O30" s="418"/>
      <c r="P30" s="418"/>
      <c r="Q30" s="433"/>
      <c r="R30" s="417"/>
      <c r="S30" s="418"/>
      <c r="T30" s="418"/>
      <c r="U30" s="418"/>
      <c r="V30" s="418"/>
      <c r="W30" s="418"/>
      <c r="X30" s="417"/>
      <c r="Y30" s="418"/>
      <c r="Z30" s="418"/>
      <c r="AA30" s="418"/>
      <c r="AB30" s="418"/>
      <c r="AC30" s="418"/>
      <c r="AD30" s="409"/>
      <c r="AE30" s="406"/>
      <c r="AF30" s="406"/>
      <c r="AG30" s="406"/>
      <c r="AH30" s="406"/>
      <c r="AI30" s="406"/>
      <c r="AJ30" s="423"/>
      <c r="AK30" s="424"/>
      <c r="AL30" s="424"/>
      <c r="AM30" s="424"/>
      <c r="AN30" s="424"/>
      <c r="AO30" s="425"/>
      <c r="AP30" s="69"/>
      <c r="AQ30" s="383"/>
      <c r="AR30" s="384"/>
      <c r="AS30" s="384"/>
      <c r="AT30" s="384"/>
      <c r="AU30" s="384"/>
      <c r="AV30" s="385"/>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60"/>
      <c r="E31" s="360"/>
      <c r="F31" s="361"/>
      <c r="G31" s="400"/>
      <c r="H31" s="401"/>
      <c r="I31" s="401"/>
      <c r="J31" s="401"/>
      <c r="K31" s="402"/>
      <c r="L31" s="417" t="str">
        <f ca="1">IF(AND('Mapa final'!$Q$20="Media",'Mapa final'!$U$20="Leve"),CONCATENATE("R",'Mapa final'!$A$20),"")</f>
        <v/>
      </c>
      <c r="M31" s="418"/>
      <c r="N31" s="418" t="str">
        <f>IF(AND('Mapa final'!$L$21="Media",'Mapa final'!$P$21="Leve"),CONCATENATE("R",'Mapa final'!$A$21),"")</f>
        <v/>
      </c>
      <c r="O31" s="418"/>
      <c r="P31" s="418" t="str">
        <f>IF(AND('Mapa final'!$L$22="Media",'Mapa final'!$P$22="Leve"),CONCATENATE("R",'Mapa final'!$A$22),"")</f>
        <v/>
      </c>
      <c r="Q31" s="433"/>
      <c r="R31" s="417" t="str">
        <f ca="1">IF(AND('Mapa final'!$Q$20="Media",'Mapa final'!$U$20="Menor"),CONCATENATE("R",'Mapa final'!$A$20),"")</f>
        <v/>
      </c>
      <c r="S31" s="418"/>
      <c r="T31" s="418" t="str">
        <f ca="1">IF(AND('Mapa final'!$LR$21="Media",'Mapa final'!$U$21="Menor"),CONCATENATE("R",'Mapa final'!$A$21),"")</f>
        <v/>
      </c>
      <c r="U31" s="418"/>
      <c r="V31" s="418" t="str">
        <f>IF(AND('Mapa final'!$Q$22="Media",'Mapa final'!$U$22="Menor"),CONCATENATE("R",'Mapa final'!$A$22),"")</f>
        <v/>
      </c>
      <c r="W31" s="418"/>
      <c r="X31" s="417" t="str">
        <f ca="1">IF(AND('Mapa final'!$Q$20="Media",'Mapa final'!$U$20="Moderado"),CONCATENATE("R",'Mapa final'!$A$20),"")</f>
        <v/>
      </c>
      <c r="Y31" s="418"/>
      <c r="Z31" s="418" t="str">
        <f ca="1">IF(AND('Mapa final'!$Q$21="Media",'Mapa final'!$U$21="Moderado"),CONCATENATE("R",'Mapa final'!$A$21),"")</f>
        <v/>
      </c>
      <c r="AA31" s="418"/>
      <c r="AB31" s="418" t="str">
        <f>IF(AND('Mapa final'!$Q$22="Media",'Mapa final'!$U$22="Moderado"),CONCATENATE("R",'Mapa final'!$A$22),"")</f>
        <v/>
      </c>
      <c r="AC31" s="418"/>
      <c r="AD31" s="409" t="str">
        <f ca="1">IF(AND('Mapa final'!$Q$20="Media",'Mapa final'!$U$20="Mayor"),CONCATENATE("R",'Mapa final'!$A$20),"")</f>
        <v/>
      </c>
      <c r="AE31" s="406"/>
      <c r="AF31" s="406" t="str">
        <f ca="1">IF(AND('Mapa final'!$Q$21="Media",'Mapa final'!$U$21="Mayor"),CONCATENATE("R",'Mapa final'!$A$21),"")</f>
        <v/>
      </c>
      <c r="AG31" s="406"/>
      <c r="AH31" s="406" t="str">
        <f>IF(AND('Mapa final'!$Q$22="Media",'Mapa final'!$U$22="Mayor"),CONCATENATE("R",'Mapa final'!$A$22),"")</f>
        <v/>
      </c>
      <c r="AI31" s="406"/>
      <c r="AJ31" s="423" t="str">
        <f ca="1">IF(AND('Mapa final'!$Q$20="Media",'Mapa final'!$U$20="Catastrófico"),CONCATENATE("R",'Mapa final'!$A$20),"")</f>
        <v/>
      </c>
      <c r="AK31" s="424"/>
      <c r="AL31" s="424" t="str">
        <f ca="1">IF(AND('Mapa final'!$Q$21="Media",'Mapa final'!$U$21="Catastrófico"),CONCATENATE("R",'Mapa final'!$A$21),"")</f>
        <v/>
      </c>
      <c r="AM31" s="424"/>
      <c r="AN31" s="424" t="str">
        <f>IF(AND('Mapa final'!$Q$22="Media",'Mapa final'!$U$22="Catastrófico"),CONCATENATE("R",'Mapa final'!$A$22),"")</f>
        <v/>
      </c>
      <c r="AO31" s="425"/>
      <c r="AP31" s="69"/>
      <c r="AQ31" s="383"/>
      <c r="AR31" s="384"/>
      <c r="AS31" s="384"/>
      <c r="AT31" s="384"/>
      <c r="AU31" s="384"/>
      <c r="AV31" s="385"/>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60"/>
      <c r="E32" s="360"/>
      <c r="F32" s="361"/>
      <c r="G32" s="400"/>
      <c r="H32" s="401"/>
      <c r="I32" s="401"/>
      <c r="J32" s="401"/>
      <c r="K32" s="402"/>
      <c r="L32" s="417"/>
      <c r="M32" s="418"/>
      <c r="N32" s="418"/>
      <c r="O32" s="418"/>
      <c r="P32" s="418"/>
      <c r="Q32" s="433"/>
      <c r="R32" s="417"/>
      <c r="S32" s="418"/>
      <c r="T32" s="418"/>
      <c r="U32" s="418"/>
      <c r="V32" s="418"/>
      <c r="W32" s="418"/>
      <c r="X32" s="417"/>
      <c r="Y32" s="418"/>
      <c r="Z32" s="418"/>
      <c r="AA32" s="418"/>
      <c r="AB32" s="418"/>
      <c r="AC32" s="418"/>
      <c r="AD32" s="409"/>
      <c r="AE32" s="406"/>
      <c r="AF32" s="406"/>
      <c r="AG32" s="406"/>
      <c r="AH32" s="406"/>
      <c r="AI32" s="406"/>
      <c r="AJ32" s="423"/>
      <c r="AK32" s="424"/>
      <c r="AL32" s="424"/>
      <c r="AM32" s="424"/>
      <c r="AN32" s="424"/>
      <c r="AO32" s="425"/>
      <c r="AP32" s="69"/>
      <c r="AQ32" s="383"/>
      <c r="AR32" s="384"/>
      <c r="AS32" s="384"/>
      <c r="AT32" s="384"/>
      <c r="AU32" s="384"/>
      <c r="AV32" s="385"/>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60"/>
      <c r="E33" s="360"/>
      <c r="F33" s="361"/>
      <c r="G33" s="400"/>
      <c r="H33" s="401"/>
      <c r="I33" s="401"/>
      <c r="J33" s="401"/>
      <c r="K33" s="402"/>
      <c r="L33" s="417" t="str">
        <f>IF(AND('Mapa final'!$Q$23="Mediaa",'Mapa final'!$U$23="Leve"),CONCATENATE("R",'Mapa final'!$A$23),"")</f>
        <v/>
      </c>
      <c r="M33" s="418"/>
      <c r="N33" s="418" t="str">
        <f>IF(AND('Mapa final'!$L$24="Media",'Mapa final'!$P$24="Leve"),CONCATENATE("R",'Mapa final'!$A$24),"")</f>
        <v/>
      </c>
      <c r="O33" s="418"/>
      <c r="P33" s="418" t="str">
        <f>IF(AND('Mapa final'!$L$25="Media",'Mapa final'!$P$25="Leve"),CONCATENATE("R",'Mapa final'!$A$25),"")</f>
        <v/>
      </c>
      <c r="Q33" s="433"/>
      <c r="R33" s="417" t="str">
        <f>IF(AND('Mapa final'!$Q$23="Media",'Mapa final'!$U$23="Menor"),CONCATENATE("R",'Mapa final'!$A$23),"")</f>
        <v/>
      </c>
      <c r="S33" s="418"/>
      <c r="T33" s="418" t="str">
        <f>IF(AND('Mapa final'!$Q$24="Media",'Mapa final'!$U$24="Menor"),CONCATENATE("R",'Mapa final'!$A$24),"")</f>
        <v/>
      </c>
      <c r="U33" s="418"/>
      <c r="V33" s="418" t="str">
        <f>IF(AND('Mapa final'!$Q$25="Media",'Mapa final'!$U$25="Menor"),CONCATENATE("R",'Mapa final'!$A$25),"")</f>
        <v/>
      </c>
      <c r="W33" s="418"/>
      <c r="X33" s="417" t="str">
        <f>IF(AND('Mapa final'!$Q$23="Media",'Mapa final'!$U$23="Moderado"),CONCATENATE("R",'Mapa final'!$A$23),"")</f>
        <v/>
      </c>
      <c r="Y33" s="418"/>
      <c r="Z33" s="418" t="str">
        <f>IF(AND('Mapa final'!$Q$24="Media",'Mapa final'!$U$24="Moderado"),CONCATENATE("R",'Mapa final'!$A$24),"")</f>
        <v/>
      </c>
      <c r="AA33" s="418"/>
      <c r="AB33" s="418" t="str">
        <f>IF(AND('Mapa final'!$Q$25="Media",'Mapa final'!$U$25="Moderado"),CONCATENATE("R",'Mapa final'!$A$25),"")</f>
        <v/>
      </c>
      <c r="AC33" s="418"/>
      <c r="AD33" s="409" t="str">
        <f>IF(AND('Mapa final'!$Q$23="Media",'Mapa final'!$U$23="Mayor"),CONCATENATE("R",'Mapa final'!$A$23),"")</f>
        <v/>
      </c>
      <c r="AE33" s="406"/>
      <c r="AF33" s="406" t="str">
        <f>IF(AND('Mapa final'!$Q$24="Media",'Mapa final'!$U$24="Mayor"),CONCATENATE("R",'Mapa final'!$A$24),"")</f>
        <v/>
      </c>
      <c r="AG33" s="406"/>
      <c r="AH33" s="406" t="str">
        <f>IF(AND('Mapa final'!$Q$25="Media",'Mapa final'!$U$25="Mayor"),CONCATENATE("R",'Mapa final'!$A$25),"")</f>
        <v/>
      </c>
      <c r="AI33" s="406"/>
      <c r="AJ33" s="423" t="str">
        <f>IF(AND('Mapa final'!$Q$23="Media",'Mapa final'!$U$23="Catastrófico"),CONCATENATE("R",'Mapa final'!$A$23),"")</f>
        <v/>
      </c>
      <c r="AK33" s="424"/>
      <c r="AL33" s="424" t="str">
        <f>IF(AND('Mapa final'!$Q$24="Media",'Mapa final'!$U$24="Catastrófico"),CONCATENATE("R",'Mapa final'!$A$24),"")</f>
        <v/>
      </c>
      <c r="AM33" s="424"/>
      <c r="AN33" s="424" t="str">
        <f>IF(AND('Mapa final'!$Q$25="Media",'Mapa final'!$U$25="Catastrófico"),CONCATENATE("R",'Mapa final'!$A$25),"")</f>
        <v/>
      </c>
      <c r="AO33" s="425"/>
      <c r="AP33" s="69"/>
      <c r="AQ33" s="383"/>
      <c r="AR33" s="384"/>
      <c r="AS33" s="384"/>
      <c r="AT33" s="384"/>
      <c r="AU33" s="384"/>
      <c r="AV33" s="385"/>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60"/>
      <c r="E34" s="360"/>
      <c r="F34" s="361"/>
      <c r="G34" s="403"/>
      <c r="H34" s="404"/>
      <c r="I34" s="404"/>
      <c r="J34" s="404"/>
      <c r="K34" s="404"/>
      <c r="L34" s="434"/>
      <c r="M34" s="435"/>
      <c r="N34" s="435"/>
      <c r="O34" s="435"/>
      <c r="P34" s="435"/>
      <c r="Q34" s="436"/>
      <c r="R34" s="434"/>
      <c r="S34" s="435"/>
      <c r="T34" s="435"/>
      <c r="U34" s="435"/>
      <c r="V34" s="435"/>
      <c r="W34" s="435"/>
      <c r="X34" s="434"/>
      <c r="Y34" s="435"/>
      <c r="Z34" s="435"/>
      <c r="AA34" s="435"/>
      <c r="AB34" s="435"/>
      <c r="AC34" s="435"/>
      <c r="AD34" s="420"/>
      <c r="AE34" s="415"/>
      <c r="AF34" s="415"/>
      <c r="AG34" s="415"/>
      <c r="AH34" s="415"/>
      <c r="AI34" s="415"/>
      <c r="AJ34" s="423"/>
      <c r="AK34" s="424"/>
      <c r="AL34" s="424"/>
      <c r="AM34" s="424"/>
      <c r="AN34" s="424"/>
      <c r="AO34" s="425"/>
      <c r="AP34" s="69"/>
      <c r="AQ34" s="386"/>
      <c r="AR34" s="387"/>
      <c r="AS34" s="387"/>
      <c r="AT34" s="387"/>
      <c r="AU34" s="387"/>
      <c r="AV34" s="388"/>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60"/>
      <c r="E35" s="360"/>
      <c r="F35" s="361"/>
      <c r="G35" s="398" t="s">
        <v>113</v>
      </c>
      <c r="H35" s="399"/>
      <c r="I35" s="399"/>
      <c r="J35" s="399"/>
      <c r="K35" s="399"/>
      <c r="L35" s="447" t="str">
        <f ca="1">IF(AND('Mapa final'!$Q$15="Baja",'Mapa final'!$U$15="Leve"),CONCATENATE("R",'Mapa final'!$A$15),"")</f>
        <v/>
      </c>
      <c r="M35" s="448"/>
      <c r="N35" s="448"/>
      <c r="O35" s="448"/>
      <c r="P35" s="448"/>
      <c r="Q35" s="449"/>
      <c r="R35" s="437"/>
      <c r="S35" s="438"/>
      <c r="T35" s="418"/>
      <c r="U35" s="418"/>
      <c r="V35" s="418"/>
      <c r="W35" s="433"/>
      <c r="X35" s="417"/>
      <c r="Y35" s="418"/>
      <c r="Z35" s="418"/>
      <c r="AA35" s="418"/>
      <c r="AB35" s="418" t="str">
        <f ca="1">IF(AND('Mapa final'!$Q$16="Baja",'Mapa final'!$U$16="Moderado"),CONCATENATE("R",'Mapa final'!$A$16),"")</f>
        <v/>
      </c>
      <c r="AC35" s="433"/>
      <c r="AD35" s="409" t="str">
        <f ca="1">IF(AND('Mapa final'!$Q$15="Baja",'Mapa final'!$U$15="Mayor"),CONCATENATE("R",'Mapa final'!$D$15),"")</f>
        <v>R1</v>
      </c>
      <c r="AE35" s="406"/>
      <c r="AF35" s="406"/>
      <c r="AG35" s="406"/>
      <c r="AH35" s="406" t="str">
        <f ca="1">IF(AND('Mapa final'!$Q$16="Baja",'Mapa final'!$U$16="Mayor"),CONCATENATE("R",'Mapa final'!$D$16),"")</f>
        <v>R2</v>
      </c>
      <c r="AI35" s="406"/>
      <c r="AJ35" s="426" t="str">
        <f ca="1">IF(AND('Mapa final'!$Q$15="Baja",'Mapa final'!$U$15="Catastrófico"),CONCATENATE("R",'Mapa final'!$A$15),"")</f>
        <v/>
      </c>
      <c r="AK35" s="427"/>
      <c r="AL35" s="427"/>
      <c r="AM35" s="427"/>
      <c r="AN35" s="427" t="str">
        <f ca="1">IF(AND('Mapa final'!$Q$16="Baja",'Mapa final'!$U$16="Catastrófico"),CONCATENATE("R",'Mapa final'!$A$16),"")</f>
        <v/>
      </c>
      <c r="AO35" s="428"/>
      <c r="AP35" s="69"/>
      <c r="AQ35" s="389" t="s">
        <v>81</v>
      </c>
      <c r="AR35" s="390"/>
      <c r="AS35" s="390"/>
      <c r="AT35" s="390"/>
      <c r="AU35" s="390"/>
      <c r="AV35" s="391"/>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60"/>
      <c r="E36" s="360"/>
      <c r="F36" s="361"/>
      <c r="G36" s="400"/>
      <c r="H36" s="401"/>
      <c r="I36" s="401"/>
      <c r="J36" s="401"/>
      <c r="K36" s="401"/>
      <c r="L36" s="443"/>
      <c r="M36" s="441"/>
      <c r="N36" s="441"/>
      <c r="O36" s="441"/>
      <c r="P36" s="441"/>
      <c r="Q36" s="442"/>
      <c r="R36" s="417"/>
      <c r="S36" s="418"/>
      <c r="T36" s="440"/>
      <c r="U36" s="440"/>
      <c r="V36" s="440"/>
      <c r="W36" s="433"/>
      <c r="X36" s="417"/>
      <c r="Y36" s="440"/>
      <c r="Z36" s="440"/>
      <c r="AA36" s="440"/>
      <c r="AB36" s="440"/>
      <c r="AC36" s="433"/>
      <c r="AD36" s="409"/>
      <c r="AE36" s="422"/>
      <c r="AF36" s="422"/>
      <c r="AG36" s="422"/>
      <c r="AH36" s="422"/>
      <c r="AI36" s="406"/>
      <c r="AJ36" s="423"/>
      <c r="AK36" s="424"/>
      <c r="AL36" s="424"/>
      <c r="AM36" s="424"/>
      <c r="AN36" s="424"/>
      <c r="AO36" s="425"/>
      <c r="AP36" s="69"/>
      <c r="AQ36" s="392"/>
      <c r="AR36" s="393"/>
      <c r="AS36" s="393"/>
      <c r="AT36" s="393"/>
      <c r="AU36" s="393"/>
      <c r="AV36" s="394"/>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60"/>
      <c r="E37" s="360"/>
      <c r="F37" s="361"/>
      <c r="G37" s="400"/>
      <c r="H37" s="401"/>
      <c r="I37" s="401"/>
      <c r="J37" s="401"/>
      <c r="K37" s="401"/>
      <c r="L37" s="443" t="str">
        <f ca="1">IF(AND('Mapa final'!$Q$17="Baja",'Mapa final'!$U$17="Leve"),CONCATENATE("R",'Mapa final'!$A$17),"")</f>
        <v/>
      </c>
      <c r="M37" s="441"/>
      <c r="N37" s="441" t="str">
        <f>IF(AND('Mapa final'!$L$18="Baja",'Mapa final'!$P$18="Leve"),CONCATENATE("R",'Mapa final'!$A$18),"")</f>
        <v/>
      </c>
      <c r="O37" s="441"/>
      <c r="P37" s="441" t="str">
        <f>IF(AND('Mapa final'!$L$19="Baja",'Mapa final'!$P$19="Leve"),CONCATENATE("R",'Mapa final'!$A$19),"")</f>
        <v/>
      </c>
      <c r="Q37" s="442"/>
      <c r="R37" s="417" t="str">
        <f ca="1">IF(AND('Mapa final'!$Q$17="Baja",'Mapa final'!$U$17="Menor"),CONCATENATE("R",'Mapa final'!$A$17),"")</f>
        <v/>
      </c>
      <c r="S37" s="440"/>
      <c r="T37" s="440" t="str">
        <f ca="1">IF(AND('Mapa final'!$Q$18="Baja",'Mapa final'!$U$18="Menor"),CONCATENATE("R",'Mapa final'!$A$18),"")</f>
        <v/>
      </c>
      <c r="U37" s="440"/>
      <c r="V37" s="440" t="str">
        <f ca="1">IF(AND('Mapa final'!$Q$19="Baja",'Mapa final'!$U$19="Menor"),CONCATENATE("R",'Mapa final'!$A$19),"")</f>
        <v/>
      </c>
      <c r="W37" s="433"/>
      <c r="X37" s="417" t="str">
        <f ca="1">IF(AND('Mapa final'!$Q$17="Baja",'Mapa final'!$U$17="Moderado"),CONCATENATE("R",'Mapa final'!$A$17),"")</f>
        <v/>
      </c>
      <c r="Y37" s="440"/>
      <c r="Z37" s="440" t="str">
        <f ca="1">IF(AND('Mapa final'!$Q$18="Baja",'Mapa final'!$U$18="Moderado"),CONCATENATE("R",'Mapa final'!$D$18),"")</f>
        <v>R4</v>
      </c>
      <c r="AA37" s="440"/>
      <c r="AB37" s="440" t="str">
        <f ca="1">IF(AND('Mapa final'!$Q$19="Baja",'Mapa final'!$U$19="Moderado"),CONCATENATE("R",'Mapa final'!$A$19),"")</f>
        <v/>
      </c>
      <c r="AC37" s="433"/>
      <c r="AD37" s="409" t="str">
        <f ca="1">IF(AND('Mapa final'!$Q$17="Baja",'Mapa final'!$U$17="Mayor"),CONCATENATE("R",'Mapa final'!$D$17),"")</f>
        <v>R3</v>
      </c>
      <c r="AE37" s="422"/>
      <c r="AF37" s="422" t="str">
        <f ca="1">IF(AND('Mapa final'!$Q$18="Baja",'Mapa final'!$U$18="Mayor"),CONCATENATE("R",'Mapa final'!$A$18),"")</f>
        <v/>
      </c>
      <c r="AG37" s="422"/>
      <c r="AH37" s="422" t="str">
        <f ca="1">IF(AND('Mapa final'!$Q$19="Baja",'Mapa final'!$U$19="Mayor"),CONCATENATE("R",'Mapa final'!$A$19),"")</f>
        <v/>
      </c>
      <c r="AI37" s="406"/>
      <c r="AJ37" s="423" t="str">
        <f ca="1">IF(AND('Mapa final'!$Q$17="Baja",'Mapa final'!$U$17="Catastrófico"),CONCATENATE("R",'Mapa final'!$A$17),"")</f>
        <v/>
      </c>
      <c r="AK37" s="424"/>
      <c r="AL37" s="424" t="str">
        <f ca="1">IF(AND('Mapa final'!$Q$18="Baja",'Mapa final'!$U$18="Catastrófico"),CONCATENATE("R",'Mapa final'!$A$18),"")</f>
        <v/>
      </c>
      <c r="AM37" s="424"/>
      <c r="AN37" s="424" t="str">
        <f>IF(AND('Mapa final'!$Q$19="Baja",'Mapa final'!$L$19="Catastrófico"),CONCATENATE("R",'Mapa final'!$A$19),"")</f>
        <v/>
      </c>
      <c r="AO37" s="425"/>
      <c r="AP37" s="69"/>
      <c r="AQ37" s="392"/>
      <c r="AR37" s="393"/>
      <c r="AS37" s="393"/>
      <c r="AT37" s="393"/>
      <c r="AU37" s="393"/>
      <c r="AV37" s="394"/>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60"/>
      <c r="E38" s="360"/>
      <c r="F38" s="361"/>
      <c r="G38" s="400"/>
      <c r="H38" s="401"/>
      <c r="I38" s="401"/>
      <c r="J38" s="401"/>
      <c r="K38" s="401"/>
      <c r="L38" s="443"/>
      <c r="M38" s="441"/>
      <c r="N38" s="441"/>
      <c r="O38" s="441"/>
      <c r="P38" s="441"/>
      <c r="Q38" s="442"/>
      <c r="R38" s="417"/>
      <c r="S38" s="440"/>
      <c r="T38" s="440"/>
      <c r="U38" s="440"/>
      <c r="V38" s="440"/>
      <c r="W38" s="433"/>
      <c r="X38" s="417"/>
      <c r="Y38" s="440"/>
      <c r="Z38" s="440"/>
      <c r="AA38" s="440"/>
      <c r="AB38" s="440"/>
      <c r="AC38" s="433"/>
      <c r="AD38" s="409"/>
      <c r="AE38" s="422"/>
      <c r="AF38" s="422"/>
      <c r="AG38" s="422"/>
      <c r="AH38" s="422"/>
      <c r="AI38" s="406"/>
      <c r="AJ38" s="423"/>
      <c r="AK38" s="424"/>
      <c r="AL38" s="424"/>
      <c r="AM38" s="424"/>
      <c r="AN38" s="424"/>
      <c r="AO38" s="425"/>
      <c r="AP38" s="69"/>
      <c r="AQ38" s="392"/>
      <c r="AR38" s="393"/>
      <c r="AS38" s="393"/>
      <c r="AT38" s="393"/>
      <c r="AU38" s="393"/>
      <c r="AV38" s="394"/>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60"/>
      <c r="E39" s="360"/>
      <c r="F39" s="361"/>
      <c r="G39" s="400"/>
      <c r="H39" s="401"/>
      <c r="I39" s="401"/>
      <c r="J39" s="401"/>
      <c r="K39" s="401"/>
      <c r="L39" s="443" t="str">
        <f ca="1">IF(AND('Mapa final'!$Q$20="Baja",'Mapa final'!$U$20="Leve"),CONCATENATE("R",'Mapa final'!$A$20),"")</f>
        <v/>
      </c>
      <c r="M39" s="441"/>
      <c r="N39" s="441" t="str">
        <f>IF(AND('Mapa final'!$L$21="Baja",'Mapa final'!$P$21="Leve"),CONCATENATE("R",'Mapa final'!$A$21),"")</f>
        <v/>
      </c>
      <c r="O39" s="441"/>
      <c r="P39" s="441" t="str">
        <f>IF(AND('Mapa final'!$L$22="Baja",'Mapa final'!$P$22="Leve"),CONCATENATE("R",'Mapa final'!$A$22),"")</f>
        <v/>
      </c>
      <c r="Q39" s="442"/>
      <c r="R39" s="417" t="str">
        <f ca="1">IF(AND('Mapa final'!$Q$20="Baja",'Mapa final'!$U$20="Menor"),CONCATENATE("R",'Mapa final'!$A$20),"")</f>
        <v/>
      </c>
      <c r="S39" s="440"/>
      <c r="T39" s="440" t="str">
        <f ca="1">IF(AND('Mapa final'!$LR$21="Baja",'Mapa final'!$U$21="Menor"),CONCATENATE("R",'Mapa final'!$A$21),"")</f>
        <v/>
      </c>
      <c r="U39" s="440"/>
      <c r="V39" s="440" t="str">
        <f>IF(AND('Mapa final'!$Q$22="Baja",'Mapa final'!$U$22="Menor"),CONCATENATE("R",'Mapa final'!$A$22),"")</f>
        <v/>
      </c>
      <c r="W39" s="433"/>
      <c r="X39" s="417" t="str">
        <f ca="1">IF(AND('Mapa final'!$Q$20="Baja",'Mapa final'!$U$20="Moderado"),CONCATENATE("R",'Mapa final'!$A$20),"")</f>
        <v/>
      </c>
      <c r="Y39" s="440"/>
      <c r="Z39" s="440" t="str">
        <f ca="1">IF(AND('Mapa final'!$Q$21="Baja",'Mapa final'!$U$21="Moderado"),CONCATENATE("R",'Mapa final'!$A$21),"")</f>
        <v/>
      </c>
      <c r="AA39" s="440"/>
      <c r="AB39" s="440" t="str">
        <f>IF(AND('Mapa final'!$Q$22="Baja",'Mapa final'!$U$22="Moderado"),CONCATENATE("R",'Mapa final'!$A$22),"")</f>
        <v/>
      </c>
      <c r="AC39" s="433"/>
      <c r="AD39" s="409" t="str">
        <f ca="1">IF(AND('Mapa final'!$Q$20="Baja",'Mapa final'!$U$20="Mayor"),CONCATENATE("R",'Mapa final'!$A$20),"")</f>
        <v/>
      </c>
      <c r="AE39" s="422"/>
      <c r="AF39" s="422" t="str">
        <f ca="1">IF(AND('Mapa final'!$Q$21="Baja",'Mapa final'!$U$21="Mayor"),CONCATENATE("R",'Mapa final'!$A$21),"")</f>
        <v/>
      </c>
      <c r="AG39" s="422"/>
      <c r="AH39" s="422" t="str">
        <f>IF(AND('Mapa final'!$Q$22="Baja",'Mapa final'!$U$22="Mayor"),CONCATENATE("R",'Mapa final'!$A$22),"")</f>
        <v/>
      </c>
      <c r="AI39" s="406"/>
      <c r="AJ39" s="423" t="str">
        <f ca="1">IF(AND('Mapa final'!$Q$20="Baja",'Mapa final'!$U$20="Catastrófico"),CONCATENATE("R",'Mapa final'!$A$20),"")</f>
        <v/>
      </c>
      <c r="AK39" s="424"/>
      <c r="AL39" s="424" t="str">
        <f ca="1">IF(AND('Mapa final'!$Q$21="Baja",'Mapa final'!$U$21="Catastrófico"),CONCATENATE("R",'Mapa final'!$A$21),"")</f>
        <v/>
      </c>
      <c r="AM39" s="424"/>
      <c r="AN39" s="424" t="str">
        <f>IF(AND('Mapa final'!$Q$22="Baja",'Mapa final'!$U$22="Catastrófico"),CONCATENATE("R",'Mapa final'!$A$22),"")</f>
        <v/>
      </c>
      <c r="AO39" s="425"/>
      <c r="AP39" s="69"/>
      <c r="AQ39" s="392"/>
      <c r="AR39" s="393"/>
      <c r="AS39" s="393"/>
      <c r="AT39" s="393"/>
      <c r="AU39" s="393"/>
      <c r="AV39" s="394"/>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60"/>
      <c r="E40" s="360"/>
      <c r="F40" s="361"/>
      <c r="G40" s="400"/>
      <c r="H40" s="401"/>
      <c r="I40" s="401"/>
      <c r="J40" s="401"/>
      <c r="K40" s="401"/>
      <c r="L40" s="443"/>
      <c r="M40" s="441"/>
      <c r="N40" s="441"/>
      <c r="O40" s="441"/>
      <c r="P40" s="441"/>
      <c r="Q40" s="442"/>
      <c r="R40" s="417"/>
      <c r="S40" s="440"/>
      <c r="T40" s="440"/>
      <c r="U40" s="440"/>
      <c r="V40" s="440"/>
      <c r="W40" s="433"/>
      <c r="X40" s="417"/>
      <c r="Y40" s="440"/>
      <c r="Z40" s="440"/>
      <c r="AA40" s="440"/>
      <c r="AB40" s="440"/>
      <c r="AC40" s="433"/>
      <c r="AD40" s="409"/>
      <c r="AE40" s="422"/>
      <c r="AF40" s="422"/>
      <c r="AG40" s="422"/>
      <c r="AH40" s="422"/>
      <c r="AI40" s="406"/>
      <c r="AJ40" s="423"/>
      <c r="AK40" s="424"/>
      <c r="AL40" s="424"/>
      <c r="AM40" s="424"/>
      <c r="AN40" s="424"/>
      <c r="AO40" s="425"/>
      <c r="AP40" s="69"/>
      <c r="AQ40" s="392"/>
      <c r="AR40" s="393"/>
      <c r="AS40" s="393"/>
      <c r="AT40" s="393"/>
      <c r="AU40" s="393"/>
      <c r="AV40" s="394"/>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60"/>
      <c r="E41" s="360"/>
      <c r="F41" s="361"/>
      <c r="G41" s="400"/>
      <c r="H41" s="401"/>
      <c r="I41" s="401"/>
      <c r="J41" s="401"/>
      <c r="K41" s="401"/>
      <c r="L41" s="443" t="str">
        <f>IF(AND('Mapa final'!$Q$23="Baja",'Mapa final'!$U$23="Leve"),CONCATENATE("R",'Mapa final'!$A$23),"")</f>
        <v/>
      </c>
      <c r="M41" s="441"/>
      <c r="N41" s="441" t="str">
        <f>IF(AND('Mapa final'!$L$24="Baja",'Mapa final'!$P$24="Leve"),CONCATENATE("R",'Mapa final'!$A$24),"")</f>
        <v/>
      </c>
      <c r="O41" s="441"/>
      <c r="P41" s="441" t="str">
        <f>IF(AND('Mapa final'!$L$25="Baja",'Mapa final'!$P$25="Leve"),CONCATENATE("R",'Mapa final'!$A$25),"")</f>
        <v/>
      </c>
      <c r="Q41" s="442"/>
      <c r="R41" s="417" t="str">
        <f>IF(AND('Mapa final'!$Q$23="Baja",'Mapa final'!$U$23="Menor"),CONCATENATE("R",'Mapa final'!$A$23),"")</f>
        <v/>
      </c>
      <c r="S41" s="440"/>
      <c r="T41" s="440" t="str">
        <f>IF(AND('Mapa final'!$Q$24="Baja",'Mapa final'!$U$24="Menor"),CONCATENATE("R",'Mapa final'!$A$24),"")</f>
        <v/>
      </c>
      <c r="U41" s="440"/>
      <c r="V41" s="440" t="str">
        <f>IF(AND('Mapa final'!$Q$25="Baja",'Mapa final'!$U$25="Menor"),CONCATENATE("R",'Mapa final'!$A$25),"")</f>
        <v/>
      </c>
      <c r="W41" s="433"/>
      <c r="X41" s="417" t="str">
        <f>IF(AND('Mapa final'!$Q$23="Baja",'Mapa final'!$U$23="Moderado"),CONCATENATE("R",'Mapa final'!$A$23),"")</f>
        <v/>
      </c>
      <c r="Y41" s="440"/>
      <c r="Z41" s="440" t="str">
        <f>IF(AND('Mapa final'!$Q$24="Baja",'Mapa final'!$U$24="Moderado"),CONCATENATE("R",'Mapa final'!$A$24),"")</f>
        <v/>
      </c>
      <c r="AA41" s="440"/>
      <c r="AB41" s="440" t="str">
        <f>IF(AND('Mapa final'!$Q$25="Baja",'Mapa final'!$U$25="Moderado"),CONCATENATE("R",'Mapa final'!$A$25),"")</f>
        <v/>
      </c>
      <c r="AC41" s="433"/>
      <c r="AD41" s="409" t="str">
        <f>IF(AND('Mapa final'!$Q$23="Baja",'Mapa final'!$U$23="Mayor"),CONCATENATE("R",'Mapa final'!$A$23),"")</f>
        <v/>
      </c>
      <c r="AE41" s="422"/>
      <c r="AF41" s="422" t="str">
        <f>IF(AND('Mapa final'!$Q$24="Baja",'Mapa final'!$U$24="Mayor"),CONCATENATE("R",'Mapa final'!$A$24),"")</f>
        <v/>
      </c>
      <c r="AG41" s="422"/>
      <c r="AH41" s="422" t="str">
        <f>IF(AND('Mapa final'!$Q$25="Baja",'Mapa final'!$U$25="Mayor"),CONCATENATE("R",'Mapa final'!$A$25),"")</f>
        <v/>
      </c>
      <c r="AI41" s="406"/>
      <c r="AJ41" s="423" t="str">
        <f>IF(AND('Mapa final'!$Q$23="Baja",'Mapa final'!$U$23="Catastrófico"),CONCATENATE("R",'Mapa final'!$A$23),"")</f>
        <v/>
      </c>
      <c r="AK41" s="424"/>
      <c r="AL41" s="424" t="str">
        <f>IF(AND('Mapa final'!$Q$24="Baja",'Mapa final'!$U$24="Catastrófico"),CONCATENATE("R",'Mapa final'!$A$24),"")</f>
        <v/>
      </c>
      <c r="AM41" s="424"/>
      <c r="AN41" s="424" t="str">
        <f>IF(AND('Mapa final'!$Q$25="Baja",'Mapa final'!$U$25="Catastrófico"),CONCATENATE("R",'Mapa final'!$A$25),"")</f>
        <v/>
      </c>
      <c r="AO41" s="425"/>
      <c r="AP41" s="69"/>
      <c r="AQ41" s="392"/>
      <c r="AR41" s="393"/>
      <c r="AS41" s="393"/>
      <c r="AT41" s="393"/>
      <c r="AU41" s="393"/>
      <c r="AV41" s="394"/>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60"/>
      <c r="E42" s="360"/>
      <c r="F42" s="361"/>
      <c r="G42" s="403"/>
      <c r="H42" s="404"/>
      <c r="I42" s="404"/>
      <c r="J42" s="404"/>
      <c r="K42" s="404"/>
      <c r="L42" s="444"/>
      <c r="M42" s="445"/>
      <c r="N42" s="445"/>
      <c r="O42" s="445"/>
      <c r="P42" s="445"/>
      <c r="Q42" s="446"/>
      <c r="R42" s="434"/>
      <c r="S42" s="435"/>
      <c r="T42" s="435"/>
      <c r="U42" s="435"/>
      <c r="V42" s="435"/>
      <c r="W42" s="436"/>
      <c r="X42" s="434"/>
      <c r="Y42" s="435"/>
      <c r="Z42" s="435"/>
      <c r="AA42" s="435"/>
      <c r="AB42" s="435"/>
      <c r="AC42" s="436"/>
      <c r="AD42" s="420"/>
      <c r="AE42" s="415"/>
      <c r="AF42" s="415"/>
      <c r="AG42" s="415"/>
      <c r="AH42" s="415"/>
      <c r="AI42" s="415"/>
      <c r="AJ42" s="429"/>
      <c r="AK42" s="430"/>
      <c r="AL42" s="430"/>
      <c r="AM42" s="430"/>
      <c r="AN42" s="430"/>
      <c r="AO42" s="431"/>
      <c r="AP42" s="69"/>
      <c r="AQ42" s="395"/>
      <c r="AR42" s="396"/>
      <c r="AS42" s="396"/>
      <c r="AT42" s="396"/>
      <c r="AU42" s="396"/>
      <c r="AV42" s="397"/>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60"/>
      <c r="E43" s="360"/>
      <c r="F43" s="361"/>
      <c r="G43" s="398" t="s">
        <v>112</v>
      </c>
      <c r="H43" s="399"/>
      <c r="I43" s="399"/>
      <c r="J43" s="399"/>
      <c r="K43" s="399"/>
      <c r="L43" s="447" t="str">
        <f ca="1">IF(AND('Mapa final'!$Q$15="Muy Baja",'Mapa final'!$U$15="Leve"),CONCATENATE("R",'Mapa final'!$A$15),"")</f>
        <v/>
      </c>
      <c r="M43" s="448"/>
      <c r="N43" s="448"/>
      <c r="O43" s="448"/>
      <c r="P43" s="448"/>
      <c r="Q43" s="449"/>
      <c r="R43" s="447"/>
      <c r="S43" s="448"/>
      <c r="T43" s="448"/>
      <c r="U43" s="448"/>
      <c r="V43" s="448"/>
      <c r="W43" s="449"/>
      <c r="X43" s="437"/>
      <c r="Y43" s="438"/>
      <c r="Z43" s="438"/>
      <c r="AA43" s="438"/>
      <c r="AB43" s="438"/>
      <c r="AC43" s="439"/>
      <c r="AD43" s="407"/>
      <c r="AE43" s="408"/>
      <c r="AF43" s="408"/>
      <c r="AG43" s="408"/>
      <c r="AH43" s="408"/>
      <c r="AI43" s="421"/>
      <c r="AJ43" s="423"/>
      <c r="AK43" s="424"/>
      <c r="AL43" s="424"/>
      <c r="AM43" s="424"/>
      <c r="AN43" s="424" t="str">
        <f ca="1">IF(AND('Mapa final'!$Q$16="Muy Baja",'Mapa final'!$U$16="Catastrófico"),CONCATENATE("R",'Mapa final'!$A$16),"")</f>
        <v/>
      </c>
      <c r="AO43" s="425"/>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60"/>
      <c r="E44" s="360"/>
      <c r="F44" s="361"/>
      <c r="G44" s="400"/>
      <c r="H44" s="401"/>
      <c r="I44" s="401"/>
      <c r="J44" s="401"/>
      <c r="K44" s="402"/>
      <c r="L44" s="443"/>
      <c r="M44" s="441"/>
      <c r="N44" s="441"/>
      <c r="O44" s="441"/>
      <c r="P44" s="441"/>
      <c r="Q44" s="442"/>
      <c r="R44" s="443"/>
      <c r="S44" s="441"/>
      <c r="T44" s="451"/>
      <c r="U44" s="451"/>
      <c r="V44" s="451"/>
      <c r="W44" s="442"/>
      <c r="X44" s="417"/>
      <c r="Y44" s="440"/>
      <c r="Z44" s="440"/>
      <c r="AA44" s="440"/>
      <c r="AB44" s="440"/>
      <c r="AC44" s="433"/>
      <c r="AD44" s="409"/>
      <c r="AE44" s="422"/>
      <c r="AF44" s="422"/>
      <c r="AG44" s="422"/>
      <c r="AH44" s="422"/>
      <c r="AI44" s="414"/>
      <c r="AJ44" s="423"/>
      <c r="AK44" s="432"/>
      <c r="AL44" s="432"/>
      <c r="AM44" s="432"/>
      <c r="AN44" s="432"/>
      <c r="AO44" s="425"/>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60"/>
      <c r="E45" s="360"/>
      <c r="F45" s="361"/>
      <c r="G45" s="400"/>
      <c r="H45" s="401"/>
      <c r="I45" s="401"/>
      <c r="J45" s="401"/>
      <c r="K45" s="402"/>
      <c r="L45" s="443" t="str">
        <f ca="1">IF(AND('Mapa final'!$Q$17="Muy Baja",'Mapa final'!$U$17="Leve"),CONCATENATE("R",'Mapa final'!$A$17),"")</f>
        <v/>
      </c>
      <c r="M45" s="441"/>
      <c r="N45" s="441" t="str">
        <f>IF(AND('Mapa final'!$L$18="Muy Baja",'Mapa final'!$P$18="Leve"),CONCATENATE("R",'Mapa final'!$A$18),"")</f>
        <v/>
      </c>
      <c r="O45" s="441"/>
      <c r="P45" s="441" t="str">
        <f>IF(AND('Mapa final'!$L$19="Muy Baja",'Mapa final'!$P$19="Leve"),CONCATENATE("R",'Mapa final'!$A$19),"")</f>
        <v/>
      </c>
      <c r="Q45" s="442"/>
      <c r="R45" s="443" t="str">
        <f ca="1">IF(AND('Mapa final'!$Q$17="Muy Baja",'Mapa final'!$U$17="Menor"),CONCATENATE("R",'Mapa final'!$A$17),"")</f>
        <v/>
      </c>
      <c r="S45" s="441"/>
      <c r="T45" s="451" t="str">
        <f ca="1">IF(AND('Mapa final'!$Q$18="Muy Baja",'Mapa final'!$U$18="Menor"),CONCATENATE("R",'Mapa final'!$A$18),"")</f>
        <v/>
      </c>
      <c r="U45" s="451"/>
      <c r="V45" s="451" t="str">
        <f ca="1">IF(AND('Mapa final'!$Q$19="Muy Baja",'Mapa final'!$U$19="Menor"),CONCATENATE("R",'Mapa final'!$A$19),"")</f>
        <v/>
      </c>
      <c r="W45" s="442"/>
      <c r="X45" s="417" t="str">
        <f ca="1">IF(AND('Mapa final'!$Q$17="Muy Baja",'Mapa final'!$U$17="Moderado"),CONCATENATE("R",'Mapa final'!$A$17),"")</f>
        <v/>
      </c>
      <c r="Y45" s="440"/>
      <c r="Z45" s="440" t="str">
        <f ca="1">IF(AND('Mapa final'!$Q$18="Muy Baja",'Mapa final'!$U$18="Moderado"),CONCATENATE("R",'Mapa final'!$A$18),"")</f>
        <v/>
      </c>
      <c r="AA45" s="440"/>
      <c r="AB45" s="440" t="str">
        <f ca="1">IF(AND('Mapa final'!$Q$19="Muy Baja",'Mapa final'!$U$19="Moderado"),CONCATENATE("R",'Mapa final'!$A$19),"")</f>
        <v/>
      </c>
      <c r="AC45" s="433"/>
      <c r="AD45" s="409" t="str">
        <f ca="1">IF(AND('Mapa final'!$Q$17="Muy Baja",'Mapa final'!$U$17="Mayor"),CONCATENATE("R",'Mapa final'!$A$17),"")</f>
        <v/>
      </c>
      <c r="AE45" s="422"/>
      <c r="AF45" s="422" t="str">
        <f ca="1">IF(AND('Mapa final'!$Q$18="Muy Baja",'Mapa final'!$U$18="Mayor"),CONCATENATE("R",'Mapa final'!$A$18),"")</f>
        <v/>
      </c>
      <c r="AG45" s="422"/>
      <c r="AH45" s="422" t="str">
        <f ca="1">IF(AND('Mapa final'!$Q$19="Muy Baja",'Mapa final'!$U$19="Mayor"),CONCATENATE("R",'Mapa final'!$A$19),"")</f>
        <v/>
      </c>
      <c r="AI45" s="414"/>
      <c r="AJ45" s="423" t="str">
        <f ca="1">IF(AND('Mapa final'!$Q$17="Muy Baja",'Mapa final'!$U$17="Catastrófico"),CONCATENATE("R",'Mapa final'!$A$17),"")</f>
        <v/>
      </c>
      <c r="AK45" s="432"/>
      <c r="AL45" s="432" t="str">
        <f ca="1">IF(AND('Mapa final'!$Q$18="Muy Baja",'Mapa final'!$U$18="Catastrófico"),CONCATENATE("R",'Mapa final'!$A$18),"")</f>
        <v/>
      </c>
      <c r="AM45" s="432"/>
      <c r="AN45" s="432" t="str">
        <f>IF(AND('Mapa final'!$Q$19="Muy Baja",'Mapa final'!$L$19="Catastrófico"),CONCATENATE("R",'Mapa final'!$A$19),"")</f>
        <v/>
      </c>
      <c r="AO45" s="425"/>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60"/>
      <c r="E46" s="360"/>
      <c r="F46" s="361"/>
      <c r="G46" s="400"/>
      <c r="H46" s="401"/>
      <c r="I46" s="401"/>
      <c r="J46" s="401"/>
      <c r="K46" s="402"/>
      <c r="L46" s="443"/>
      <c r="M46" s="441"/>
      <c r="N46" s="441"/>
      <c r="O46" s="441"/>
      <c r="P46" s="441"/>
      <c r="Q46" s="442"/>
      <c r="R46" s="443"/>
      <c r="S46" s="441"/>
      <c r="T46" s="451"/>
      <c r="U46" s="451"/>
      <c r="V46" s="451"/>
      <c r="W46" s="442"/>
      <c r="X46" s="417"/>
      <c r="Y46" s="440"/>
      <c r="Z46" s="440"/>
      <c r="AA46" s="440"/>
      <c r="AB46" s="440"/>
      <c r="AC46" s="433"/>
      <c r="AD46" s="409"/>
      <c r="AE46" s="422"/>
      <c r="AF46" s="422"/>
      <c r="AG46" s="422"/>
      <c r="AH46" s="422"/>
      <c r="AI46" s="414"/>
      <c r="AJ46" s="423"/>
      <c r="AK46" s="432"/>
      <c r="AL46" s="432"/>
      <c r="AM46" s="432"/>
      <c r="AN46" s="432"/>
      <c r="AO46" s="425"/>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60"/>
      <c r="E47" s="360"/>
      <c r="F47" s="361"/>
      <c r="G47" s="400"/>
      <c r="H47" s="401"/>
      <c r="I47" s="401"/>
      <c r="J47" s="401"/>
      <c r="K47" s="402"/>
      <c r="L47" s="443" t="str">
        <f ca="1">IF(AND('Mapa final'!$Q$20="Muy Baja",'Mapa final'!$U$20="Leve"),CONCATENATE("R",'Mapa final'!$A$20),"")</f>
        <v/>
      </c>
      <c r="M47" s="441"/>
      <c r="N47" s="441" t="str">
        <f>IF(AND('Mapa final'!$L$21="Muy Baja",'Mapa final'!$P$21="Leve"),CONCATENATE("R",'Mapa final'!$A$21),"")</f>
        <v/>
      </c>
      <c r="O47" s="441"/>
      <c r="P47" s="441" t="str">
        <f>IF(AND('Mapa final'!$L$22="Muy Baja",'Mapa final'!$P$22="Leve"),CONCATENATE("R",'Mapa final'!$A$22),"")</f>
        <v/>
      </c>
      <c r="Q47" s="442"/>
      <c r="R47" s="443" t="str">
        <f ca="1">IF(AND('Mapa final'!$Q$20="Muy Baja",'Mapa final'!$U$20="Menor"),CONCATENATE("R",'Mapa final'!$A$20),"")</f>
        <v/>
      </c>
      <c r="S47" s="441"/>
      <c r="T47" s="451" t="str">
        <f ca="1">IF(AND('Mapa final'!$LR$21="Muy Baja",'Mapa final'!$U$21="Menor"),CONCATENATE("R",'Mapa final'!$A$21),"")</f>
        <v/>
      </c>
      <c r="U47" s="451"/>
      <c r="V47" s="451" t="str">
        <f>IF(AND('Mapa final'!$Q$22="Muy Baja",'Mapa final'!$U$22="Menor"),CONCATENATE("R",'Mapa final'!$A$22),"")</f>
        <v/>
      </c>
      <c r="W47" s="442"/>
      <c r="X47" s="417" t="str">
        <f ca="1">IF(AND('Mapa final'!$Q$20="Muy Baja",'Mapa final'!$U$20="Moderado"),CONCATENATE("R",'Mapa final'!$A$20),"")</f>
        <v/>
      </c>
      <c r="Y47" s="440"/>
      <c r="Z47" s="440" t="str">
        <f ca="1">IF(AND('Mapa final'!$Q$21="Muy Baja",'Mapa final'!$U$21="Moderado"),CONCATENATE("R",'Mapa final'!$A$21),"")</f>
        <v/>
      </c>
      <c r="AA47" s="440"/>
      <c r="AB47" s="440" t="str">
        <f>IF(AND('Mapa final'!$Q$22="Muy Baja",'Mapa final'!$U$22="Moderado"),CONCATENATE("R",'Mapa final'!$A$22),"")</f>
        <v/>
      </c>
      <c r="AC47" s="433"/>
      <c r="AD47" s="409" t="str">
        <f ca="1">IF(AND('Mapa final'!$Q$20="Muy Baja",'Mapa final'!$U$20="Mayor"),CONCATENATE("R",'Mapa final'!$A$20),"")</f>
        <v/>
      </c>
      <c r="AE47" s="422"/>
      <c r="AF47" s="422" t="str">
        <f ca="1">IF(AND('Mapa final'!$Q$21="Muy Baja",'Mapa final'!$U$21="Mayor"),CONCATENATE("R",'Mapa final'!$A$21),"")</f>
        <v/>
      </c>
      <c r="AG47" s="422"/>
      <c r="AH47" s="422" t="str">
        <f>IF(AND('Mapa final'!$Q$22="Muy Baja",'Mapa final'!$U$22="Mayor"),CONCATENATE("R",'Mapa final'!$A$22),"")</f>
        <v/>
      </c>
      <c r="AI47" s="414"/>
      <c r="AJ47" s="423" t="str">
        <f ca="1">IF(AND('Mapa final'!$Q$20="Muy Baja",'Mapa final'!$U$20="Catastrófico"),CONCATENATE("R",'Mapa final'!$A$20),"")</f>
        <v/>
      </c>
      <c r="AK47" s="432"/>
      <c r="AL47" s="432" t="str">
        <f ca="1">IF(AND('Mapa final'!$Q$21="Muy Baja",'Mapa final'!$U$21="Catastrófico"),CONCATENATE("R",'Mapa final'!$A$21),"")</f>
        <v/>
      </c>
      <c r="AM47" s="432"/>
      <c r="AN47" s="432" t="str">
        <f>IF(AND('Mapa final'!$Q$22="Muy Baja",'Mapa final'!$U$22="Catastrófico"),CONCATENATE("R",'Mapa final'!$A$22),"")</f>
        <v/>
      </c>
      <c r="AO47" s="425"/>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60"/>
      <c r="E48" s="360"/>
      <c r="F48" s="361"/>
      <c r="G48" s="400"/>
      <c r="H48" s="401"/>
      <c r="I48" s="401"/>
      <c r="J48" s="401"/>
      <c r="K48" s="402"/>
      <c r="L48" s="443"/>
      <c r="M48" s="441"/>
      <c r="N48" s="441"/>
      <c r="O48" s="441"/>
      <c r="P48" s="441"/>
      <c r="Q48" s="442"/>
      <c r="R48" s="443"/>
      <c r="S48" s="441"/>
      <c r="T48" s="451"/>
      <c r="U48" s="451"/>
      <c r="V48" s="451"/>
      <c r="W48" s="442"/>
      <c r="X48" s="417"/>
      <c r="Y48" s="440"/>
      <c r="Z48" s="440"/>
      <c r="AA48" s="440"/>
      <c r="AB48" s="440"/>
      <c r="AC48" s="433"/>
      <c r="AD48" s="409"/>
      <c r="AE48" s="422"/>
      <c r="AF48" s="422"/>
      <c r="AG48" s="422"/>
      <c r="AH48" s="422"/>
      <c r="AI48" s="414"/>
      <c r="AJ48" s="423"/>
      <c r="AK48" s="432"/>
      <c r="AL48" s="432"/>
      <c r="AM48" s="432"/>
      <c r="AN48" s="432"/>
      <c r="AO48" s="425"/>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60"/>
      <c r="E49" s="360"/>
      <c r="F49" s="361"/>
      <c r="G49" s="400"/>
      <c r="H49" s="401"/>
      <c r="I49" s="401"/>
      <c r="J49" s="401"/>
      <c r="K49" s="402"/>
      <c r="L49" s="443" t="str">
        <f>IF(AND('Mapa final'!$Q$23="Muy Baja",'Mapa final'!$U$23="Leve"),CONCATENATE("R",'Mapa final'!$A$23),"")</f>
        <v/>
      </c>
      <c r="M49" s="441"/>
      <c r="N49" s="441" t="str">
        <f>IF(AND('Mapa final'!$L$24="Muy Baja",'Mapa final'!$P$24="Leve"),CONCATENATE("R",'Mapa final'!$A$24),"")</f>
        <v/>
      </c>
      <c r="O49" s="441"/>
      <c r="P49" s="441" t="str">
        <f>IF(AND('Mapa final'!$L$25="Muy Baja",'Mapa final'!$P$25="Leve"),CONCATENATE("R",'Mapa final'!$A$25),"")</f>
        <v/>
      </c>
      <c r="Q49" s="442"/>
      <c r="R49" s="441" t="str">
        <f>IF(AND('Mapa final'!$Q$23="Muy Baja",'Mapa final'!$U$23="Menor"),CONCATENATE("R",'Mapa final'!$A$23),"")</f>
        <v/>
      </c>
      <c r="S49" s="451"/>
      <c r="T49" s="451" t="str">
        <f>IF(AND('Mapa final'!$Q$24="Muy Baja",'Mapa final'!$U$24="Menor"),CONCATENATE("R",'Mapa final'!$A$24),"")</f>
        <v/>
      </c>
      <c r="U49" s="451"/>
      <c r="V49" s="451" t="str">
        <f>IF(AND('Mapa final'!$Q$25="Muy Baja",'Mapa final'!$U$25="Menor"),CONCATENATE("R",'Mapa final'!$A$25),"")</f>
        <v/>
      </c>
      <c r="W49" s="442"/>
      <c r="X49" s="417" t="str">
        <f>IF(AND('Mapa final'!$Q$23="Muy Baja",'Mapa final'!$U$23="Moderado"),CONCATENATE("R",'Mapa final'!$A$23),"")</f>
        <v/>
      </c>
      <c r="Y49" s="440"/>
      <c r="Z49" s="440" t="str">
        <f>IF(AND('Mapa final'!$Q$24="Muy Baja",'Mapa final'!$U$24="Moderado"),CONCATENATE("R",'Mapa final'!$A$24),"")</f>
        <v/>
      </c>
      <c r="AA49" s="440"/>
      <c r="AB49" s="440" t="str">
        <f>IF(AND('Mapa final'!$Q$25="Muy Baja",'Mapa final'!$U$25="Moderado"),CONCATENATE("R",'Mapa final'!$A$25),"")</f>
        <v/>
      </c>
      <c r="AC49" s="433"/>
      <c r="AD49" s="409" t="str">
        <f>IF(AND('Mapa final'!$Q$23="Muy Baja",'Mapa final'!$U$23="Mayor"),CONCATENATE("R",'Mapa final'!$A$23),"")</f>
        <v/>
      </c>
      <c r="AE49" s="422"/>
      <c r="AF49" s="422" t="str">
        <f>IF(AND('Mapa final'!$Q$24="Muy Baja",'Mapa final'!$U$24="Mayor"),CONCATENATE("R",'Mapa final'!$A$24),"")</f>
        <v/>
      </c>
      <c r="AG49" s="422"/>
      <c r="AH49" s="422" t="str">
        <f>IF(AND('Mapa final'!$Q$25="Muy Baja",'Mapa final'!$U$25="Mayor"),CONCATENATE("R",'Mapa final'!$A$25),"")</f>
        <v/>
      </c>
      <c r="AI49" s="414"/>
      <c r="AJ49" s="423" t="str">
        <f>IF(AND('Mapa final'!$Q$23="Muy Baja",'Mapa final'!$U$23="Catastrófico"),CONCATENATE("R",'Mapa final'!$A$23),"")</f>
        <v/>
      </c>
      <c r="AK49" s="432"/>
      <c r="AL49" s="432" t="str">
        <f>IF(AND('Mapa final'!$Q$24="Muy Baja",'Mapa final'!$U$24="Catastrófico"),CONCATENATE("R",'Mapa final'!$A$24),"")</f>
        <v/>
      </c>
      <c r="AM49" s="432"/>
      <c r="AN49" s="432" t="str">
        <f>IF(AND('Mapa final'!$Q$25="Muy Baja",'Mapa final'!$U$25="Catastrófico"),CONCATENATE("R",'Mapa final'!$A$25),"")</f>
        <v/>
      </c>
      <c r="AO49" s="425"/>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60"/>
      <c r="E50" s="360"/>
      <c r="F50" s="361"/>
      <c r="G50" s="403"/>
      <c r="H50" s="404"/>
      <c r="I50" s="404"/>
      <c r="J50" s="404"/>
      <c r="K50" s="404"/>
      <c r="L50" s="444"/>
      <c r="M50" s="445"/>
      <c r="N50" s="445"/>
      <c r="O50" s="445"/>
      <c r="P50" s="445"/>
      <c r="Q50" s="446"/>
      <c r="R50" s="445"/>
      <c r="S50" s="445"/>
      <c r="T50" s="445"/>
      <c r="U50" s="445"/>
      <c r="V50" s="445"/>
      <c r="W50" s="446"/>
      <c r="X50" s="434"/>
      <c r="Y50" s="435"/>
      <c r="Z50" s="435"/>
      <c r="AA50" s="435"/>
      <c r="AB50" s="435"/>
      <c r="AC50" s="436"/>
      <c r="AD50" s="420"/>
      <c r="AE50" s="415"/>
      <c r="AF50" s="415"/>
      <c r="AG50" s="415"/>
      <c r="AH50" s="415"/>
      <c r="AI50" s="416"/>
      <c r="AJ50" s="429"/>
      <c r="AK50" s="430"/>
      <c r="AL50" s="430"/>
      <c r="AM50" s="430"/>
      <c r="AN50" s="430"/>
      <c r="AO50" s="431"/>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10" t="s">
        <v>111</v>
      </c>
      <c r="M51" s="402"/>
      <c r="N51" s="402"/>
      <c r="O51" s="402"/>
      <c r="P51" s="402"/>
      <c r="Q51" s="411"/>
      <c r="R51" s="398" t="s">
        <v>110</v>
      </c>
      <c r="S51" s="399"/>
      <c r="T51" s="399"/>
      <c r="U51" s="399"/>
      <c r="V51" s="399"/>
      <c r="W51" s="413"/>
      <c r="X51" s="398" t="s">
        <v>109</v>
      </c>
      <c r="Y51" s="399"/>
      <c r="Z51" s="399"/>
      <c r="AA51" s="399"/>
      <c r="AB51" s="399"/>
      <c r="AC51" s="413"/>
      <c r="AD51" s="398" t="s">
        <v>108</v>
      </c>
      <c r="AE51" s="419"/>
      <c r="AF51" s="399"/>
      <c r="AG51" s="399"/>
      <c r="AH51" s="399"/>
      <c r="AI51" s="413"/>
      <c r="AJ51" s="398" t="s">
        <v>107</v>
      </c>
      <c r="AK51" s="399"/>
      <c r="AL51" s="399"/>
      <c r="AM51" s="399"/>
      <c r="AN51" s="399"/>
      <c r="AO51" s="413"/>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00"/>
      <c r="M52" s="401"/>
      <c r="N52" s="401"/>
      <c r="O52" s="401"/>
      <c r="P52" s="401"/>
      <c r="Q52" s="411"/>
      <c r="R52" s="400"/>
      <c r="S52" s="401"/>
      <c r="T52" s="401"/>
      <c r="U52" s="401"/>
      <c r="V52" s="401"/>
      <c r="W52" s="411"/>
      <c r="X52" s="400"/>
      <c r="Y52" s="401"/>
      <c r="Z52" s="401"/>
      <c r="AA52" s="401"/>
      <c r="AB52" s="401"/>
      <c r="AC52" s="411"/>
      <c r="AD52" s="400"/>
      <c r="AE52" s="401"/>
      <c r="AF52" s="401"/>
      <c r="AG52" s="401"/>
      <c r="AH52" s="401"/>
      <c r="AI52" s="411"/>
      <c r="AJ52" s="400"/>
      <c r="AK52" s="401"/>
      <c r="AL52" s="401"/>
      <c r="AM52" s="401"/>
      <c r="AN52" s="401"/>
      <c r="AO52" s="411"/>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00"/>
      <c r="M53" s="401"/>
      <c r="N53" s="401"/>
      <c r="O53" s="401"/>
      <c r="P53" s="401"/>
      <c r="Q53" s="411"/>
      <c r="R53" s="400"/>
      <c r="S53" s="401"/>
      <c r="T53" s="401"/>
      <c r="U53" s="401"/>
      <c r="V53" s="401"/>
      <c r="W53" s="411"/>
      <c r="X53" s="400"/>
      <c r="Y53" s="401"/>
      <c r="Z53" s="401"/>
      <c r="AA53" s="401"/>
      <c r="AB53" s="401"/>
      <c r="AC53" s="411"/>
      <c r="AD53" s="400"/>
      <c r="AE53" s="401"/>
      <c r="AF53" s="401"/>
      <c r="AG53" s="401"/>
      <c r="AH53" s="401"/>
      <c r="AI53" s="411"/>
      <c r="AJ53" s="400"/>
      <c r="AK53" s="401"/>
      <c r="AL53" s="401"/>
      <c r="AM53" s="401"/>
      <c r="AN53" s="401"/>
      <c r="AO53" s="411"/>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00"/>
      <c r="M54" s="401"/>
      <c r="N54" s="401"/>
      <c r="O54" s="401"/>
      <c r="P54" s="401"/>
      <c r="Q54" s="411"/>
      <c r="R54" s="400"/>
      <c r="S54" s="401"/>
      <c r="T54" s="401"/>
      <c r="U54" s="401"/>
      <c r="V54" s="401"/>
      <c r="W54" s="411"/>
      <c r="X54" s="400"/>
      <c r="Y54" s="401"/>
      <c r="Z54" s="401"/>
      <c r="AA54" s="401"/>
      <c r="AB54" s="401"/>
      <c r="AC54" s="411"/>
      <c r="AD54" s="400"/>
      <c r="AE54" s="401"/>
      <c r="AF54" s="401"/>
      <c r="AG54" s="401"/>
      <c r="AH54" s="401"/>
      <c r="AI54" s="411"/>
      <c r="AJ54" s="400"/>
      <c r="AK54" s="401"/>
      <c r="AL54" s="401"/>
      <c r="AM54" s="401"/>
      <c r="AN54" s="401"/>
      <c r="AO54" s="411"/>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00"/>
      <c r="M55" s="401"/>
      <c r="N55" s="401"/>
      <c r="O55" s="401"/>
      <c r="P55" s="401"/>
      <c r="Q55" s="411"/>
      <c r="R55" s="400"/>
      <c r="S55" s="401"/>
      <c r="T55" s="401"/>
      <c r="U55" s="401"/>
      <c r="V55" s="401"/>
      <c r="W55" s="411"/>
      <c r="X55" s="400"/>
      <c r="Y55" s="401"/>
      <c r="Z55" s="401"/>
      <c r="AA55" s="401"/>
      <c r="AB55" s="401"/>
      <c r="AC55" s="411"/>
      <c r="AD55" s="400"/>
      <c r="AE55" s="401"/>
      <c r="AF55" s="401"/>
      <c r="AG55" s="401"/>
      <c r="AH55" s="401"/>
      <c r="AI55" s="411"/>
      <c r="AJ55" s="400"/>
      <c r="AK55" s="401"/>
      <c r="AL55" s="401"/>
      <c r="AM55" s="401"/>
      <c r="AN55" s="401"/>
      <c r="AO55" s="411"/>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03"/>
      <c r="M56" s="404"/>
      <c r="N56" s="404"/>
      <c r="O56" s="404"/>
      <c r="P56" s="404"/>
      <c r="Q56" s="412"/>
      <c r="R56" s="403"/>
      <c r="S56" s="404"/>
      <c r="T56" s="404"/>
      <c r="U56" s="404"/>
      <c r="V56" s="404"/>
      <c r="W56" s="412"/>
      <c r="X56" s="403"/>
      <c r="Y56" s="404"/>
      <c r="Z56" s="404"/>
      <c r="AA56" s="404"/>
      <c r="AB56" s="404"/>
      <c r="AC56" s="412"/>
      <c r="AD56" s="403"/>
      <c r="AE56" s="404"/>
      <c r="AF56" s="404"/>
      <c r="AG56" s="404"/>
      <c r="AH56" s="404"/>
      <c r="AI56" s="412"/>
      <c r="AJ56" s="403"/>
      <c r="AK56" s="404"/>
      <c r="AL56" s="404"/>
      <c r="AM56" s="404"/>
      <c r="AN56" s="404"/>
      <c r="AO56" s="412"/>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activeCell="AA42" sqref="AA42"/>
    </sheetView>
  </sheetViews>
  <sheetFormatPr baseColWidth="10" defaultRowHeight="15" x14ac:dyDescent="0.25"/>
  <cols>
    <col min="3" max="11" width="5.7109375" customWidth="1"/>
    <col min="12" max="12" width="12" customWidth="1"/>
    <col min="13" max="19" width="5.7109375" customWidth="1"/>
    <col min="20" max="20" width="6.7109375" customWidth="1"/>
    <col min="21" max="24" width="5.7109375" customWidth="1"/>
    <col min="25" max="25" width="8.42578125" customWidth="1"/>
    <col min="26" max="26" width="5.7109375" customWidth="1"/>
    <col min="27" max="27" width="8.85546875" customWidth="1"/>
    <col min="28" max="29" width="10.7109375" customWidth="1"/>
    <col min="30" max="30" width="7.42578125" customWidth="1"/>
    <col min="31" max="31" width="11" customWidth="1"/>
    <col min="32" max="32" width="10" customWidth="1"/>
    <col min="33" max="33" width="6.85546875" customWidth="1"/>
    <col min="34" max="34" width="5.7109375" customWidth="1"/>
    <col min="35" max="35" width="8.42578125" customWidth="1"/>
    <col min="36" max="40" width="5.7109375" customWidth="1"/>
    <col min="42" max="47" width="5.7109375" customWidth="1"/>
  </cols>
  <sheetData>
    <row r="1" spans="1:92" ht="15.75" thickBot="1" x14ac:dyDescent="0.3"/>
    <row r="2" spans="1:92" x14ac:dyDescent="0.25">
      <c r="C2" s="351" t="s">
        <v>251</v>
      </c>
      <c r="D2" s="352"/>
      <c r="E2" s="352"/>
      <c r="F2" s="352"/>
      <c r="G2" s="352"/>
      <c r="H2" s="352"/>
      <c r="I2" s="352"/>
      <c r="J2" s="353"/>
      <c r="K2" s="342" t="s">
        <v>205</v>
      </c>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4"/>
      <c r="AO2" s="274" t="s">
        <v>377</v>
      </c>
      <c r="AP2" s="339"/>
      <c r="AQ2" s="339"/>
      <c r="AR2" s="339"/>
      <c r="AS2" s="339"/>
      <c r="AT2" s="339"/>
      <c r="AU2" s="247"/>
    </row>
    <row r="3" spans="1:92" x14ac:dyDescent="0.25">
      <c r="C3" s="354"/>
      <c r="D3" s="355"/>
      <c r="E3" s="355"/>
      <c r="F3" s="355"/>
      <c r="G3" s="355"/>
      <c r="H3" s="355"/>
      <c r="I3" s="355"/>
      <c r="J3" s="356"/>
      <c r="K3" s="345"/>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7"/>
      <c r="AO3" s="275" t="s">
        <v>264</v>
      </c>
      <c r="AP3" s="340"/>
      <c r="AQ3" s="340"/>
      <c r="AR3" s="340"/>
      <c r="AS3" s="340"/>
      <c r="AT3" s="340"/>
      <c r="AU3" s="249"/>
    </row>
    <row r="4" spans="1:92" x14ac:dyDescent="0.25">
      <c r="C4" s="354"/>
      <c r="D4" s="355"/>
      <c r="E4" s="355"/>
      <c r="F4" s="355"/>
      <c r="G4" s="355"/>
      <c r="H4" s="355"/>
      <c r="I4" s="355"/>
      <c r="J4" s="356"/>
      <c r="K4" s="345"/>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7"/>
      <c r="AO4" s="275" t="s">
        <v>389</v>
      </c>
      <c r="AP4" s="340" t="s">
        <v>263</v>
      </c>
      <c r="AQ4" s="340"/>
      <c r="AR4" s="340"/>
      <c r="AS4" s="340"/>
      <c r="AT4" s="340"/>
      <c r="AU4" s="249"/>
    </row>
    <row r="5" spans="1:92" ht="15.75" thickBot="1" x14ac:dyDescent="0.3">
      <c r="C5" s="357"/>
      <c r="D5" s="358"/>
      <c r="E5" s="358"/>
      <c r="F5" s="358"/>
      <c r="G5" s="358"/>
      <c r="H5" s="358"/>
      <c r="I5" s="358"/>
      <c r="J5" s="359"/>
      <c r="K5" s="348"/>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50"/>
      <c r="AO5" s="276" t="s">
        <v>245</v>
      </c>
      <c r="AP5" s="341" t="s">
        <v>245</v>
      </c>
      <c r="AQ5" s="341"/>
      <c r="AR5" s="341"/>
      <c r="AS5" s="341"/>
      <c r="AT5" s="341"/>
      <c r="AU5" s="251"/>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02" t="s">
        <v>266</v>
      </c>
      <c r="B8" s="502"/>
      <c r="C8" s="480" t="s">
        <v>156</v>
      </c>
      <c r="D8" s="481"/>
      <c r="E8" s="481"/>
      <c r="F8" s="481"/>
      <c r="G8" s="481"/>
      <c r="H8" s="481"/>
      <c r="I8" s="481"/>
      <c r="J8" s="481"/>
      <c r="K8" s="482" t="s">
        <v>2</v>
      </c>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81"/>
      <c r="D9" s="481"/>
      <c r="E9" s="481"/>
      <c r="F9" s="481"/>
      <c r="G9" s="481"/>
      <c r="H9" s="481"/>
      <c r="I9" s="481"/>
      <c r="J9" s="481"/>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c r="AK9" s="482"/>
      <c r="AL9" s="482"/>
      <c r="AM9" s="482"/>
      <c r="AN9" s="482"/>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81"/>
      <c r="D10" s="481"/>
      <c r="E10" s="481"/>
      <c r="F10" s="481"/>
      <c r="G10" s="481"/>
      <c r="H10" s="481"/>
      <c r="I10" s="481"/>
      <c r="J10" s="481"/>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60" t="s">
        <v>4</v>
      </c>
      <c r="D12" s="360"/>
      <c r="E12" s="361"/>
      <c r="F12" s="452" t="s">
        <v>115</v>
      </c>
      <c r="G12" s="453"/>
      <c r="H12" s="453"/>
      <c r="I12" s="453"/>
      <c r="J12" s="453"/>
      <c r="K12" s="32" t="str">
        <f ca="1">IF(AND('Mapa final'!$AJ$15="Muy Alta",'Mapa final'!$AL$15="Leve"),CONCATENATE("R2C",'Mapa final'!$S$15),"")</f>
        <v/>
      </c>
      <c r="L12" s="33" t="e">
        <f>IF(AND('Mapa final'!#REF!="Muy Alta",'Mapa final'!#REF!="Leve"),CONCATENATE("R2C",'Mapa final'!#REF!),"")</f>
        <v>#REF!</v>
      </c>
      <c r="M12" s="33" t="str">
        <f ca="1">IF(AND('Mapa final'!$AJ$16="Muy Alta",'Mapa final'!$AL$16="Leve"),CONCATENATE("R2C",'Mapa final'!$S$16),"")</f>
        <v/>
      </c>
      <c r="N12" s="33" t="str">
        <f ca="1">IF(AND('Mapa final'!$AJ$17="Muy Alta",'Mapa final'!$AL$17="Leve"),CONCATENATE("R2C",'Mapa final'!$S$17),"")</f>
        <v/>
      </c>
      <c r="O12" s="33" t="str">
        <f ca="1">IF(AND('Mapa final'!$AJ$18="Muy Alta",'Mapa final'!$AL$18="Leve"),CONCATENATE("R2C",'Mapa final'!$S$18),"")</f>
        <v/>
      </c>
      <c r="P12" s="34" t="str">
        <f>IF(AND('Mapa final'!$AJ$19="Muy Alta",'Mapa final'!$AL$19="Leve"),CONCATENATE("R2C",'Mapa final'!$S$19),"")</f>
        <v/>
      </c>
      <c r="Q12" s="33" t="str">
        <f ca="1">IF(AND('Mapa final'!$AJ$15="Muy Alta",'Mapa final'!$AL$15="Menor"),CONCATENATE("R2C",'Mapa final'!$S$15),"")</f>
        <v/>
      </c>
      <c r="R12" s="33" t="e">
        <f>IF(AND('Mapa final'!#REF!="Muy Alta",'Mapa final'!#REF!="Menore"),CONCATENATE("R2C",'Mapa final'!#REF!),"")</f>
        <v>#REF!</v>
      </c>
      <c r="S12" s="33" t="str">
        <f ca="1">IF(AND('Mapa final'!$AJ$16="Muy Alta",'Mapa final'!$AL$16="Menor"),CONCATENATE("R2C",'Mapa final'!$S$16),"")</f>
        <v/>
      </c>
      <c r="T12" s="33" t="str">
        <f ca="1">IF(AND('Mapa final'!$AJ$17="Muy Alta",'Mapa final'!$AL$17="Menor"),CONCATENATE("R2C",'Mapa final'!$S$17),"")</f>
        <v/>
      </c>
      <c r="U12" s="33" t="str">
        <f ca="1">IF(AND('Mapa final'!$AJ$18="Muy Alta",'Mapa final'!$AL$18="Menor"),CONCATENATE("R2C",'Mapa final'!$S$18),"")</f>
        <v/>
      </c>
      <c r="V12" s="34" t="str">
        <f>IF(AND('Mapa final'!$AJ$19="Muy Alta",'Mapa final'!$AL$19="Menor"),CONCATENATE("R2C",'Mapa final'!$S$19),"")</f>
        <v/>
      </c>
      <c r="W12" s="32" t="str">
        <f ca="1">IF(AND('Mapa final'!$AJ$15="Muy Alta",'Mapa final'!$AL$15="Moderado"),CONCATENATE("R2C",'Mapa final'!$S$15),"")</f>
        <v/>
      </c>
      <c r="X12" s="33" t="e">
        <f>IF(AND('Mapa final'!#REF!="Muy Alta",'Mapa final'!#REF!="Moderado"),CONCATENATE("R2C",'Mapa final'!#REF!),"")</f>
        <v>#REF!</v>
      </c>
      <c r="Y12" s="33"/>
      <c r="Z12" s="33" t="str">
        <f ca="1">IF(AND('Mapa final'!$AJ$17="Muy Alta",'Mapa final'!$AL$17="Moderado"),CONCATENATE("R2C",'Mapa final'!$S$17),"")</f>
        <v/>
      </c>
      <c r="AA12" s="33" t="str">
        <f ca="1">IF(AND('Mapa final'!$AJ$18="Muy Alta",'Mapa final'!$AL$18="Moderado"),CONCATENATE("R2C",'Mapa final'!$S$18),"")</f>
        <v/>
      </c>
      <c r="AB12" s="34" t="str">
        <f>IF(AND('Mapa final'!$AJ$19="Muy Alta",'Mapa final'!$AL$19="Moderado"),CONCATENATE("R2C",'Mapa final'!$S$19),"")</f>
        <v/>
      </c>
      <c r="AC12" s="32" t="str">
        <f ca="1">IF(AND('Mapa final'!$AJ$15="Muy Alta",'Mapa final'!$AL$15="Mayor"),CONCATENATE("R2C",'Mapa final'!$S$15),"")</f>
        <v/>
      </c>
      <c r="AD12" s="33" t="e">
        <f>IF(AND('Mapa final'!#REF!="Muy Alta",'Mapa final'!#REF!="Mayor"),CONCATENATE("R2C",'Mapa final'!#REF!),"")</f>
        <v>#REF!</v>
      </c>
      <c r="AE12" s="33" t="str">
        <f ca="1">IF(AND('Mapa final'!$AJ$16="Muy Alta",'Mapa final'!$AL$16="Mayor"),CONCATENATE("R2C",'Mapa final'!$S$16),"")</f>
        <v/>
      </c>
      <c r="AF12" s="33" t="str">
        <f ca="1">IF(AND('Mapa final'!$AJ$17="Muy Alta",'Mapa final'!$AL$17="Mayor"),CONCATENATE("R2C",'Mapa final'!$S$17),"")</f>
        <v/>
      </c>
      <c r="AG12" s="33" t="str">
        <f ca="1">IF(AND('Mapa final'!$AJ$18="Muy Alta",'Mapa final'!$AL$18="Mayor"),CONCATENATE("R2C",'Mapa final'!$S$18),"")</f>
        <v/>
      </c>
      <c r="AH12" s="34" t="str">
        <f>IF(AND('Mapa final'!$AJ$19="Muy Alta",'Mapa final'!$AL$19="Mayor"),CONCATENATE("R2C",'Mapa final'!$S$19),"")</f>
        <v/>
      </c>
      <c r="AI12" s="35" t="str">
        <f ca="1">IF(AND('Mapa final'!$AJ$15="Muy Alta",'Mapa final'!$AL$15="Catastrófico"),CONCATENATE("R2C",'Mapa final'!$S$15),"")</f>
        <v/>
      </c>
      <c r="AJ12" s="36" t="e">
        <f>IF(AND('Mapa final'!#REF!="Muy Alta",'Mapa final'!#REF!="Catastrófico"),CONCATENATE("R2C",'Mapa final'!#REF!),"")</f>
        <v>#REF!</v>
      </c>
      <c r="AK12" s="36" t="str">
        <f ca="1">IF(AND('Mapa final'!$AJ$16="Muy Alta",'Mapa final'!$AL$16="Catastrófico"),CONCATENATE("R2C",'Mapa final'!$S$16),"")</f>
        <v/>
      </c>
      <c r="AL12" s="36" t="str">
        <f ca="1">IF(AND('Mapa final'!$AJ$17="Muy Alta",'Mapa final'!$AL$17="Catastrófico"),CONCATENATE("R2C",'Mapa final'!$S$17),"")</f>
        <v/>
      </c>
      <c r="AM12" s="36" t="str">
        <f ca="1">IF(AND('Mapa final'!$AJ$18="Muy Alta",'Mapa final'!$AL$18="Catastrófico"),CONCATENATE("R2C",'Mapa final'!$S$18),"")</f>
        <v/>
      </c>
      <c r="AN12" s="37" t="str">
        <f>IF(AND('Mapa final'!$AJ$19="Muy Alta",'Mapa final'!$AL$19="Catastrófico"),CONCATENATE("R2C",'Mapa final'!$S$19),"")</f>
        <v/>
      </c>
      <c r="AO12" s="69"/>
      <c r="AP12" s="471" t="s">
        <v>78</v>
      </c>
      <c r="AQ12" s="472"/>
      <c r="AR12" s="472"/>
      <c r="AS12" s="472"/>
      <c r="AT12" s="472"/>
      <c r="AU12" s="473"/>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60"/>
      <c r="D13" s="360"/>
      <c r="E13" s="361"/>
      <c r="F13" s="455"/>
      <c r="G13" s="456"/>
      <c r="H13" s="456"/>
      <c r="I13" s="456"/>
      <c r="J13" s="483"/>
      <c r="K13" s="38" t="str">
        <f>IF(AND('Mapa final'!$AJ$20="Muy Alta",'Mapa final'!$AL$20="Leve"),CONCATENATE("R2C",'Mapa final'!$S$20),"")</f>
        <v/>
      </c>
      <c r="L13" s="178" t="str">
        <f>IF(AND('Mapa final'!$AJ$21="Muy Alta",'Mapa final'!$AL$21="Leve"),CONCATENATE("R2C",'Mapa final'!$S$21),"")</f>
        <v/>
      </c>
      <c r="M13" s="178" t="str">
        <f>IF(AND('Mapa final'!$AJ$22="Muy Alta",'Mapa final'!$AL$22="Leve"),CONCATENATE("R2C",'Mapa final'!$S$22),"")</f>
        <v/>
      </c>
      <c r="N13" s="178" t="str">
        <f>IF(AND('Mapa final'!$AJ$23="Muy Alta",'Mapa final'!$AL$23="Leve"),CONCATENATE("R2C",'Mapa final'!$S$23),"")</f>
        <v/>
      </c>
      <c r="O13" s="178" t="str">
        <f>IF(AND('Mapa final'!$AJ$24="Muy Alta",'Mapa final'!$AL$24="Leve"),CONCATENATE("R2C",'Mapa final'!$S$24),"")</f>
        <v/>
      </c>
      <c r="P13" s="40" t="str">
        <f>IF(AND('Mapa final'!$AJ$25="Muy Alta",'Mapa final'!$AL$25="Leve"),CONCATENATE("R2C",'Mapa final'!$S$25),"")</f>
        <v/>
      </c>
      <c r="Q13" s="178" t="str">
        <f>IF(AND('Mapa final'!$AJ$20="Muy Alta",'Mapa final'!$AL$20="Menor"),CONCATENATE("R2C",'Mapa final'!$S$20),"")</f>
        <v/>
      </c>
      <c r="R13" s="39" t="str">
        <f>IF(AND('Mapa final'!$AJ$21="Muy Alta",'Mapa final'!$AL$21="Menor"),CONCATENATE("R2C",'Mapa final'!$S$21),"")</f>
        <v/>
      </c>
      <c r="S13" s="39" t="str">
        <f>IF(AND('Mapa final'!$AJ$22="Muy Alta",'Mapa final'!$AL$22="Menor"),CONCATENATE("R2C",'Mapa final'!$S$22),"")</f>
        <v/>
      </c>
      <c r="T13" s="39" t="str">
        <f>IF(AND('Mapa final'!$AJ$23="Muy Alta",'Mapa final'!$AL$23="Menor"),CONCATENATE("R2C",'Mapa final'!$S$23),"")</f>
        <v/>
      </c>
      <c r="U13" s="39" t="str">
        <f>IF(AND('Mapa final'!$AJ$24="Muy Alta",'Mapa final'!$AL$24="Menor"),CONCATENATE("R2C",'Mapa final'!$S$24),"")</f>
        <v/>
      </c>
      <c r="V13" s="40" t="str">
        <f>IF(AND('Mapa final'!$AJ$25="Muy Alta",'Mapa final'!$AL$25="Menor"),CONCATENATE("R2C",'Mapa final'!$S$25),"")</f>
        <v/>
      </c>
      <c r="W13" s="38" t="str">
        <f>IF(AND('Mapa final'!$AJ$20="Muy Alta",'Mapa final'!$AL$20="Moderado"),CONCATENATE("R2C",'Mapa final'!$S$20),"")</f>
        <v/>
      </c>
      <c r="X13" s="39" t="str">
        <f>IF(AND('Mapa final'!$AJ$21="Muy Alta",'Mapa final'!$AL$21="Moderado"),CONCATENATE("R2C",'Mapa final'!$S$21),"")</f>
        <v/>
      </c>
      <c r="Y13" s="39" t="str">
        <f>IF(AND('Mapa final'!$AJ$22="Muy Alta",'Mapa final'!$AL$22="Moderado"),CONCATENATE("R2C",'Mapa final'!$S$22),"")</f>
        <v/>
      </c>
      <c r="Z13" s="39" t="str">
        <f>IF(AND('Mapa final'!$AJ$23="Muy Alta",'Mapa final'!$AL$23="Moderado"),CONCATENATE("R2C",'Mapa final'!$S$23),"")</f>
        <v/>
      </c>
      <c r="AA13" s="39" t="str">
        <f>IF(AND('Mapa final'!$AJ$24="Muy Alta",'Mapa final'!$AL$24="Moderado"),CONCATENATE("R2C",'Mapa final'!$S$24),"")</f>
        <v/>
      </c>
      <c r="AB13" s="40" t="str">
        <f>IF(AND('Mapa final'!$AJ$25="Muy Alta",'Mapa final'!$AL$25="Moderado"),CONCATENATE("R2C",'Mapa final'!$S$25),"")</f>
        <v/>
      </c>
      <c r="AC13" s="38" t="str">
        <f>IF(AND('Mapa final'!$AJ$20="Muy Alta",'Mapa final'!$AL$20="Mayor"),CONCATENATE("R2C",'Mapa final'!$S$20),"")</f>
        <v/>
      </c>
      <c r="AD13" s="39" t="str">
        <f>IF(AND('Mapa final'!$AJ$21="Muy Alta",'Mapa final'!$AL$21="Mayor"),CONCATENATE("R2C",'Mapa final'!$S$21),"")</f>
        <v/>
      </c>
      <c r="AE13" s="39" t="str">
        <f>IF(AND('Mapa final'!$AJ$22="Muy Alta",'Mapa final'!$AL$22="Mayor"),CONCATENATE("R2C",'Mapa final'!$S$22),"")</f>
        <v/>
      </c>
      <c r="AF13" s="39" t="str">
        <f>IF(AND('Mapa final'!$AJ$23="Muy Alta",'Mapa final'!$AL$23="Mayor"),CONCATENATE("R2C",'Mapa final'!$S$23),"")</f>
        <v/>
      </c>
      <c r="AG13" s="39" t="str">
        <f>IF(AND('Mapa final'!$AJ$24="Muy Alta",'Mapa final'!$AL$24="Mayor"),CONCATENATE("R2C",'Mapa final'!$S$24),"")</f>
        <v/>
      </c>
      <c r="AH13" s="40" t="str">
        <f>IF(AND('Mapa final'!$AJ$25="Muy Alta",'Mapa final'!$AL$25="Mayor"),CONCATENATE("R2C",'Mapa final'!$S$25),"")</f>
        <v/>
      </c>
      <c r="AI13" s="41" t="str">
        <f>IF(AND('Mapa final'!$AJ$20="Muy Alta",'Mapa final'!$AL$20="Catastrófico"),CONCATENATE("R2C",'Mapa final'!$S$20),"")</f>
        <v/>
      </c>
      <c r="AJ13" s="42" t="str">
        <f>IF(AND('Mapa final'!$AJ$21="Muy Alta",'Mapa final'!$AL$21="Catastrófico"),CONCATENATE("R2C",'Mapa final'!$S$21),"")</f>
        <v/>
      </c>
      <c r="AK13" s="42" t="str">
        <f>IF(AND('Mapa final'!$AJ$22="Muy Alta",'Mapa final'!$AL$22="Catastrófico"),CONCATENATE("R2C",'Mapa final'!$S$22),"")</f>
        <v/>
      </c>
      <c r="AL13" s="42" t="str">
        <f>IF(AND('Mapa final'!$AJ$23="Muy Alta",'Mapa final'!$AL$23="Catastrófico"),CONCATENATE("R2C",'Mapa final'!$S$23),"")</f>
        <v/>
      </c>
      <c r="AM13" s="42" t="str">
        <f>IF(AND('Mapa final'!$AJ$24="Muy Alta",'Mapa final'!$AL$24="Catastrófico"),CONCATENATE("R2C",'Mapa final'!$S$24),"")</f>
        <v/>
      </c>
      <c r="AN13" s="43" t="str">
        <f>IF(AND('Mapa final'!$AJ$25="Muy Alta",'Mapa final'!$AL$25="Catastrófico"),CONCATENATE("R2C",'Mapa final'!$S$25),"")</f>
        <v/>
      </c>
      <c r="AO13" s="69"/>
      <c r="AP13" s="474"/>
      <c r="AQ13" s="475"/>
      <c r="AR13" s="475"/>
      <c r="AS13" s="475"/>
      <c r="AT13" s="475"/>
      <c r="AU13" s="476"/>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60"/>
      <c r="D14" s="360"/>
      <c r="E14" s="361"/>
      <c r="F14" s="455"/>
      <c r="G14" s="456"/>
      <c r="H14" s="456"/>
      <c r="I14" s="456"/>
      <c r="J14" s="483"/>
      <c r="K14" s="38" t="str">
        <f>IF(AND('Mapa final'!$AJ$26="Muy Alta",'Mapa final'!$AL$26="Leve"),CONCATENATE("R2C",'Mapa final'!$S$26),"")</f>
        <v/>
      </c>
      <c r="L14" s="178" t="str">
        <f>IF(AND('Mapa final'!$AJ$27="Muy Alta",'Mapa final'!$AL$27="Leve"),CONCATENATE("R2C",'Mapa final'!$S$27),"")</f>
        <v/>
      </c>
      <c r="M14" s="178" t="str">
        <f>IF(AND('Mapa final'!$AJ$28="Muy Alta",'Mapa final'!$AL$28="Leve"),CONCATENATE("R2C",'Mapa final'!$S$28),"")</f>
        <v/>
      </c>
      <c r="N14" s="178" t="str">
        <f>IF(AND('Mapa final'!$AJ$29="Muy Alta",'Mapa final'!$AL$29="Leve"),CONCATENATE("R2C",'Mapa final'!$S$29),"")</f>
        <v/>
      </c>
      <c r="O14" s="178" t="str">
        <f>IF(AND('Mapa final'!$AJ$30="Muy Alta",'Mapa final'!$AL$30="Leve"),CONCATENATE("R2C",'Mapa final'!$S$30),"")</f>
        <v/>
      </c>
      <c r="P14" s="40" t="str">
        <f>IF(AND('Mapa final'!$AJ$31="Muy Alta",'Mapa final'!$AL$31="Leve"),CONCATENATE("R2C",'Mapa final'!$S$31),"")</f>
        <v/>
      </c>
      <c r="Q14" s="178" t="str">
        <f>IF(AND('Mapa final'!$AJ$26="Muy Alta",'Mapa final'!$AL$26="Menor"),CONCATENATE("R2C",'Mapa final'!$S$26),"")</f>
        <v/>
      </c>
      <c r="R14" s="39" t="str">
        <f>IF(AND('Mapa final'!$AJ$27="Muy Alta",'Mapa final'!$AL$27="Menor"),CONCATENATE("R2C",'Mapa final'!$S$27),"")</f>
        <v/>
      </c>
      <c r="S14" s="39" t="str">
        <f>IF(AND('Mapa final'!$AJ$28="Muy Alta",'Mapa final'!$AL$28="Menor"),CONCATENATE("R2C",'Mapa final'!$S$28),"")</f>
        <v/>
      </c>
      <c r="T14" s="39" t="str">
        <f>IF(AND('Mapa final'!$AJ$29="Muy Alta",'Mapa final'!$AL$29="Menor"),CONCATENATE("R2C",'Mapa final'!$S$29),"")</f>
        <v/>
      </c>
      <c r="U14" s="39" t="str">
        <f>IF(AND('Mapa final'!$AJ$30="Muy Alta",'Mapa final'!$AL$30="Menor"),CONCATENATE("R2C",'Mapa final'!$S$30),"")</f>
        <v/>
      </c>
      <c r="V14" s="40" t="str">
        <f>IF(AND('Mapa final'!$AJ$31="Muy Alta",'Mapa final'!$AL$31="Menor"),CONCATENATE("R2C",'Mapa final'!$S$31),"")</f>
        <v/>
      </c>
      <c r="W14" s="38" t="str">
        <f>IF(AND('Mapa final'!$AJ$26="Muy Alta",'Mapa final'!$AL$26="Moderado"),CONCATENATE("R2C",'Mapa final'!$S$26),"")</f>
        <v/>
      </c>
      <c r="X14" s="39" t="str">
        <f>IF(AND('Mapa final'!$AJ$27="Muy Alta",'Mapa final'!$AL$27="Moderado"),CONCATENATE("R2C",'Mapa final'!$S$27),"")</f>
        <v/>
      </c>
      <c r="Y14" s="39" t="str">
        <f>IF(AND('Mapa final'!$AJ$28="Muy Alta",'Mapa final'!$AL$28="Moderado"),CONCATENATE("R2C",'Mapa final'!$S$28),"")</f>
        <v/>
      </c>
      <c r="Z14" s="39" t="str">
        <f>IF(AND('Mapa final'!$AJ$29="Muy Alta",'Mapa final'!$AL$29="Moderado"),CONCATENATE("R2C",'Mapa final'!$S$29),"")</f>
        <v/>
      </c>
      <c r="AA14" s="39" t="str">
        <f>IF(AND('Mapa final'!$AJ$30="Muy Alta",'Mapa final'!$AL$30="Moderado"),CONCATENATE("R2C",'Mapa final'!$S$30),"")</f>
        <v/>
      </c>
      <c r="AB14" s="40" t="str">
        <f>IF(AND('Mapa final'!$AJ$31="Muy Alta",'Mapa final'!$AL$31="Moderado"),CONCATENATE("R2C",'Mapa final'!$S$31),"")</f>
        <v/>
      </c>
      <c r="AC14" s="38" t="str">
        <f>IF(AND('Mapa final'!$AJ$26="Muy Alta",'Mapa final'!$AL$26="Mayor"),CONCATENATE("R2C",'Mapa final'!$S$26),"")</f>
        <v/>
      </c>
      <c r="AD14" s="39" t="str">
        <f>IF(AND('Mapa final'!$AJ$27="Muy Alta",'Mapa final'!$AL$27="Mayor"),CONCATENATE("R2C",'Mapa final'!$S$27),"")</f>
        <v/>
      </c>
      <c r="AE14" s="39" t="str">
        <f>IF(AND('Mapa final'!$AJ$28="Muy Alta",'Mapa final'!$AL$28="Mayor"),CONCATENATE("R2C",'Mapa final'!$S$28),"")</f>
        <v/>
      </c>
      <c r="AF14" s="39" t="str">
        <f>IF(AND('Mapa final'!$AJ$29="Muy Alta",'Mapa final'!$AL$29="Mayor"),CONCATENATE("R2C",'Mapa final'!$S$29),"")</f>
        <v/>
      </c>
      <c r="AG14" s="39" t="str">
        <f>IF(AND('Mapa final'!$AJ$30="Muy Alta",'Mapa final'!$AL$30="Mayor"),CONCATENATE("R2C",'Mapa final'!$S$30),"")</f>
        <v/>
      </c>
      <c r="AH14" s="40" t="str">
        <f>IF(AND('Mapa final'!$AJ$31="Muy Alta",'Mapa final'!$AL$31="Mayor"),CONCATENATE("R2C",'Mapa final'!$S$31),"")</f>
        <v/>
      </c>
      <c r="AI14" s="41" t="str">
        <f>IF(AND('Mapa final'!$AJ$26="Muy Alta",'Mapa final'!$AL$26="Catastrófico"),CONCATENATE("R2C",'Mapa final'!$S$26),"")</f>
        <v/>
      </c>
      <c r="AJ14" s="42" t="str">
        <f>IF(AND('Mapa final'!$AJ$27="Muy Alta",'Mapa final'!$AL$27="Catastrófico"),CONCATENATE("R2C",'Mapa final'!$S$27),"")</f>
        <v/>
      </c>
      <c r="AK14" s="42" t="str">
        <f>IF(AND('Mapa final'!$AJ$28="Muy Alta",'Mapa final'!$AL$28="Catastrófico"),CONCATENATE("R2C",'Mapa final'!$S$28),"")</f>
        <v/>
      </c>
      <c r="AL14" s="42" t="str">
        <f>IF(AND('Mapa final'!$AJ$29="Muy Alta",'Mapa final'!$AL$29="Catastrófico"),CONCATENATE("R2C",'Mapa final'!$S$29),"")</f>
        <v/>
      </c>
      <c r="AM14" s="42" t="str">
        <f>IF(AND('Mapa final'!$AJ$30="Muy Alta",'Mapa final'!$AL$30="Catastrófico"),CONCATENATE("R2C",'Mapa final'!$S$30),"")</f>
        <v/>
      </c>
      <c r="AN14" s="43" t="str">
        <f>IF(AND('Mapa final'!$AJ$31="Muy Alta",'Mapa final'!$AL$31="Catastrófico"),CONCATENATE("R2C",'Mapa final'!$S$31),"")</f>
        <v/>
      </c>
      <c r="AO14" s="69"/>
      <c r="AP14" s="474"/>
      <c r="AQ14" s="475"/>
      <c r="AR14" s="475"/>
      <c r="AS14" s="475"/>
      <c r="AT14" s="475"/>
      <c r="AU14" s="476"/>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60"/>
      <c r="D15" s="360"/>
      <c r="E15" s="361"/>
      <c r="F15" s="455"/>
      <c r="G15" s="456"/>
      <c r="H15" s="456"/>
      <c r="I15" s="456"/>
      <c r="J15" s="483"/>
      <c r="K15" s="38" t="str">
        <f>IF(AND('Mapa final'!$AJ$32="Muy Alta",'Mapa final'!$AL$32="Leve"),CONCATENATE("R2C",'Mapa final'!$S$32),"")</f>
        <v/>
      </c>
      <c r="L15" s="178" t="str">
        <f>IF(AND('Mapa final'!$AJ$33="Muy Alta",'Mapa final'!$AL$33="Leve"),CONCATENATE("R2C",'Mapa final'!$S$33),"")</f>
        <v/>
      </c>
      <c r="M15" s="178" t="str">
        <f>IF(AND('Mapa final'!$AJ$34="Muy Alta",'Mapa final'!$AL$34="Leve"),CONCATENATE("R2C",'Mapa final'!$S$34),"")</f>
        <v/>
      </c>
      <c r="N15" s="178" t="str">
        <f>IF(AND('Mapa final'!$AJ$35="Muy Alta",'Mapa final'!$AL$35="Leve"),CONCATENATE("R2C",'Mapa final'!$S$35),"")</f>
        <v/>
      </c>
      <c r="O15" s="178" t="str">
        <f>IF(AND('Mapa final'!$AJ$36="Muy Alta",'Mapa final'!$AL$36="Leve"),CONCATENATE("R2C",'Mapa final'!$S$36),"")</f>
        <v/>
      </c>
      <c r="P15" s="40" t="str">
        <f>IF(AND('Mapa final'!$AJ$37="Muy Alta",'Mapa final'!$AL$37="Leve"),CONCATENATE("R2C",'Mapa final'!$S$37),"")</f>
        <v/>
      </c>
      <c r="Q15" s="178" t="str">
        <f>IF(AND('Mapa final'!$AJ$32="Muy Alta",'Mapa final'!$AL$32="Menor"),CONCATENATE("R2C",'Mapa final'!$S$32),"")</f>
        <v/>
      </c>
      <c r="R15" s="39" t="str">
        <f>IF(AND('Mapa final'!$AJ$33="Muy Alta",'Mapa final'!$AL$33="Menor"),CONCATENATE("R2C",'Mapa final'!$S$33),"")</f>
        <v/>
      </c>
      <c r="S15" s="39" t="str">
        <f>IF(AND('Mapa final'!$AJ$34="Muy Alta",'Mapa final'!$AL$34="Menor"),CONCATENATE("R2C",'Mapa final'!$S$34),"")</f>
        <v/>
      </c>
      <c r="T15" s="39" t="str">
        <f>IF(AND('Mapa final'!$AJ$35="Muy Alta",'Mapa final'!$AL$35="Menor"),CONCATENATE("R2C",'Mapa final'!$S$35),"")</f>
        <v/>
      </c>
      <c r="U15" s="39" t="str">
        <f>IF(AND('Mapa final'!$AJ$36="Muy Alta",'Mapa final'!$AL$36="LMenor"),CONCATENATE("R2C",'Mapa final'!$S$36),"")</f>
        <v/>
      </c>
      <c r="V15" s="40" t="str">
        <f>IF(AND('Mapa final'!$AJ$37="Muy Alta",'Mapa final'!$AL$37="Menor"),CONCATENATE("R2C",'Mapa final'!$S$37),"")</f>
        <v/>
      </c>
      <c r="W15" s="38" t="str">
        <f>IF(AND('Mapa final'!$AJ$32="Muy Alta",'Mapa final'!$AL$32="Moderado"),CONCATENATE("R2C",'Mapa final'!$S$32),"")</f>
        <v/>
      </c>
      <c r="X15" s="39" t="str">
        <f>IF(AND('Mapa final'!$AJ$33="Muy Alta",'Mapa final'!$AL$33="Moderado"),CONCATENATE("R2C",'Mapa final'!$S$33),"")</f>
        <v/>
      </c>
      <c r="Y15" s="39" t="str">
        <f>IF(AND('Mapa final'!$AJ$34="Muy Alta",'Mapa final'!$AL$34="Moderado"),CONCATENATE("R2C",'Mapa final'!$S$34),"")</f>
        <v/>
      </c>
      <c r="Z15" s="39" t="str">
        <f>IF(AND('Mapa final'!$AJ$35="Muy Alta",'Mapa final'!$AL$35="Moderado"),CONCATENATE("R2C",'Mapa final'!$S$35),"")</f>
        <v/>
      </c>
      <c r="AA15" s="39" t="str">
        <f>IF(AND('Mapa final'!$AJ$36="Muy Alta",'Mapa final'!$AL$36="Moderado"),CONCATENATE("R2C",'Mapa final'!$S$36),"")</f>
        <v/>
      </c>
      <c r="AB15" s="40" t="str">
        <f>IF(AND('Mapa final'!$AJ$37="Muy Alta",'Mapa final'!$AL$37="Moderado"),CONCATENATE("R2C",'Mapa final'!$S$37),"")</f>
        <v/>
      </c>
      <c r="AC15" s="38" t="str">
        <f>IF(AND('Mapa final'!$AJ$32="Muy Alta",'Mapa final'!$AL$32="Mayor"),CONCATENATE("R2C",'Mapa final'!$S$32),"")</f>
        <v/>
      </c>
      <c r="AD15" s="39" t="str">
        <f>IF(AND('Mapa final'!$AJ$33="Muy Alta",'Mapa final'!$AL$33="Mayor"),CONCATENATE("R2C",'Mapa final'!$S$33),"")</f>
        <v/>
      </c>
      <c r="AE15" s="39" t="str">
        <f>IF(AND('Mapa final'!$AJ$34="Muy Alta",'Mapa final'!$AL$34="Mayor"),CONCATENATE("R2C",'Mapa final'!$S$34),"")</f>
        <v/>
      </c>
      <c r="AF15" s="39" t="str">
        <f>IF(AND('Mapa final'!$AJ$35="Muy Alta",'Mapa final'!$AL$35="Mayor"),CONCATENATE("R2C",'Mapa final'!$S$35),"")</f>
        <v/>
      </c>
      <c r="AG15" s="39" t="str">
        <f>IF(AND('Mapa final'!$AJ$36="Muy Alta",'Mapa final'!$AL$36="Mayor"),CONCATENATE("R2C",'Mapa final'!$S$36),"")</f>
        <v/>
      </c>
      <c r="AH15" s="40" t="str">
        <f>IF(AND('Mapa final'!$AJ$37="Muy Alta",'Mapa final'!$AL$37="Mayor"),CONCATENATE("R2C",'Mapa final'!$S$37),"")</f>
        <v/>
      </c>
      <c r="AI15" s="41" t="str">
        <f>IF(AND('Mapa final'!$AJ$32="Muy Alta",'Mapa final'!$AL$32="Catastrófico"),CONCATENATE("R2C",'Mapa final'!$S$32),"")</f>
        <v/>
      </c>
      <c r="AJ15" s="42" t="str">
        <f>IF(AND('Mapa final'!$AJ$33="Muy Alta",'Mapa final'!$AL$33="Catastrófico"),CONCATENATE("R2C",'Mapa final'!$S$33),"")</f>
        <v/>
      </c>
      <c r="AK15" s="42" t="str">
        <f>IF(AND('Mapa final'!$AJ$34="Muy Alta",'Mapa final'!$AL$34="Catastrófico"),CONCATENATE("R2C",'Mapa final'!$S$34),"")</f>
        <v/>
      </c>
      <c r="AL15" s="42" t="str">
        <f>IF(AND('Mapa final'!$AJ$35="Muy Alta",'Mapa final'!$AL$35="Catastrófico"),CONCATENATE("R2C",'Mapa final'!$S$35),"")</f>
        <v/>
      </c>
      <c r="AM15" s="42" t="str">
        <f>IF(AND('Mapa final'!$AJ$36="Muy Alta",'Mapa final'!$AL$36="LCatastrófico"),CONCATENATE("R2C",'Mapa final'!$S$36),"")</f>
        <v/>
      </c>
      <c r="AN15" s="43" t="str">
        <f>IF(AND('Mapa final'!$AJ$37="Muy Alta",'Mapa final'!$AL$37="Catastrófico"),CONCATENATE("R2C",'Mapa final'!$S$37),"")</f>
        <v/>
      </c>
      <c r="AO15" s="69"/>
      <c r="AP15" s="474"/>
      <c r="AQ15" s="475"/>
      <c r="AR15" s="475"/>
      <c r="AS15" s="475"/>
      <c r="AT15" s="475"/>
      <c r="AU15" s="476"/>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60"/>
      <c r="D16" s="360"/>
      <c r="E16" s="361"/>
      <c r="F16" s="455"/>
      <c r="G16" s="456"/>
      <c r="H16" s="456"/>
      <c r="I16" s="456"/>
      <c r="J16" s="483"/>
      <c r="K16" s="38" t="str">
        <f>IF(AND('Mapa final'!$AJ$38="Muy Alta",'Mapa final'!$AL$38="Leve"),CONCATENATE("R2C",'Mapa final'!$S$38),"")</f>
        <v/>
      </c>
      <c r="L16" s="178" t="str">
        <f>IF(AND('Mapa final'!$AJ$39="Muy Alta",'Mapa final'!$AL$39="Leve"),CONCATENATE("R2C",'Mapa final'!$S$39),"")</f>
        <v/>
      </c>
      <c r="M16" s="178" t="str">
        <f>IF(AND('Mapa final'!$AJ$40="Muy Alta",'Mapa final'!$AL$40="Leve"),CONCATENATE("R2C",'Mapa final'!$S$40),"")</f>
        <v/>
      </c>
      <c r="N16" s="178" t="str">
        <f>IF(AND('Mapa final'!$AJ$41="Muy Alta",'Mapa final'!$AL$41="Leve"),CONCATENATE("R2C",'Mapa final'!$S$41),"")</f>
        <v/>
      </c>
      <c r="O16" s="178" t="str">
        <f>IF(AND('Mapa final'!$AJ$42="Muy Alta",'Mapa final'!$AL$42="Leve"),CONCATENATE("R2C",'Mapa final'!$S$42),"")</f>
        <v/>
      </c>
      <c r="P16" s="40" t="str">
        <f>IF(AND('Mapa final'!$AJ$43="Muy Alta",'Mapa final'!$AL$43="Leve"),CONCATENATE("R2C",'Mapa final'!$S$43),"")</f>
        <v/>
      </c>
      <c r="Q16" s="178" t="str">
        <f>IF(AND('Mapa final'!$AJ$38="Muy Alta",'Mapa final'!$AL$38="Menor"),CONCATENATE("R2C",'Mapa final'!$S$38),"")</f>
        <v/>
      </c>
      <c r="R16" s="39" t="str">
        <f>IF(AND('Mapa final'!$AJ$39="Muy Alta",'Mapa final'!$AL$39="Menor"),CONCATENATE("R2C",'Mapa final'!$S$39),"")</f>
        <v/>
      </c>
      <c r="S16" s="39" t="str">
        <f>IF(AND('Mapa final'!$AJ$40="Muy Alta",'Mapa final'!$AL$40="Menor"),CONCATENATE("R2C",'Mapa final'!$S$40),"")</f>
        <v/>
      </c>
      <c r="T16" s="39" t="str">
        <f>IF(AND('Mapa final'!$AJ$41="Muy Alta",'Mapa final'!$AL$41="Menor"),CONCATENATE("R2C",'Mapa final'!$S$41),"")</f>
        <v/>
      </c>
      <c r="U16" s="39" t="str">
        <f>IF(AND('Mapa final'!$AJ$42="Muy Alta",'Mapa final'!$AL$42="Menor"),CONCATENATE("R2C",'Mapa final'!$S$42),"")</f>
        <v/>
      </c>
      <c r="V16" s="40" t="str">
        <f>IF(AND('Mapa final'!$AJ$43="Muy Alta",'Mapa final'!$AL$43="Menor"),CONCATENATE("R2C",'Mapa final'!$S$43),"")</f>
        <v/>
      </c>
      <c r="W16" s="38" t="str">
        <f>IF(AND('Mapa final'!$AJ$38="Muy Alta",'Mapa final'!$AL$38="Moderado"),CONCATENATE("R2C",'Mapa final'!$S$38),"")</f>
        <v/>
      </c>
      <c r="X16" s="39" t="str">
        <f>IF(AND('Mapa final'!$AJ$39="Muy Alta",'Mapa final'!$AL$39="Moderado"),CONCATENATE("R2C",'Mapa final'!$S$39),"")</f>
        <v/>
      </c>
      <c r="Y16" s="39" t="str">
        <f>IF(AND('Mapa final'!$AJ$40="Muy Alta",'Mapa final'!$AL$40="Moderado"),CONCATENATE("R2C",'Mapa final'!$S$40),"")</f>
        <v/>
      </c>
      <c r="Z16" s="39" t="str">
        <f>IF(AND('Mapa final'!$AJ$41="Muy Alta",'Mapa final'!$AL$41="Moderado"),CONCATENATE("R2C",'Mapa final'!$S$41),"")</f>
        <v/>
      </c>
      <c r="AA16" s="39" t="str">
        <f>IF(AND('Mapa final'!$AJ$42="Muy Alta",'Mapa final'!$AL$42="Moderado"),CONCATENATE("R2C",'Mapa final'!$S$42),"")</f>
        <v/>
      </c>
      <c r="AB16" s="40" t="str">
        <f>IF(AND('Mapa final'!$AJ$43="Muy Alta",'Mapa final'!$AL$43="Moderado"),CONCATENATE("R2C",'Mapa final'!$S$43),"")</f>
        <v/>
      </c>
      <c r="AC16" s="38" t="str">
        <f>IF(AND('Mapa final'!$AJ$38="Muy Alta",'Mapa final'!$AL$38="Mayor"),CONCATENATE("R2C",'Mapa final'!$S$38),"")</f>
        <v/>
      </c>
      <c r="AD16" s="39" t="str">
        <f>IF(AND('Mapa final'!$AJ$39="Muy Alta",'Mapa final'!$AL$39="Mayor"),CONCATENATE("R2C",'Mapa final'!$S$39),"")</f>
        <v/>
      </c>
      <c r="AE16" s="39" t="str">
        <f>IF(AND('Mapa final'!$AJ$40="Muy Alta",'Mapa final'!$AL$40="Mayor"),CONCATENATE("R2C",'Mapa final'!$S$40),"")</f>
        <v/>
      </c>
      <c r="AF16" s="39" t="str">
        <f>IF(AND('Mapa final'!$AJ$41="Muy Alta",'Mapa final'!$AL$41="Mayor"),CONCATENATE("R2C",'Mapa final'!$S$41),"")</f>
        <v/>
      </c>
      <c r="AG16" s="39" t="str">
        <f>IF(AND('Mapa final'!$AJ$42="Muy Alta",'Mapa final'!$AL$42="Mayor"),CONCATENATE("R2C",'Mapa final'!$S$42),"")</f>
        <v/>
      </c>
      <c r="AH16" s="40" t="str">
        <f>IF(AND('Mapa final'!$AJ$43="Muy Alta",'Mapa final'!$AL$43="Mayor"),CONCATENATE("R2C",'Mapa final'!$S$43),"")</f>
        <v/>
      </c>
      <c r="AI16" s="41" t="str">
        <f>IF(AND('Mapa final'!$AJ$38="Muy Alta",'Mapa final'!$AL$38="Catastrófico"),CONCATENATE("R2C",'Mapa final'!$S$38),"")</f>
        <v/>
      </c>
      <c r="AJ16" s="42" t="str">
        <f>IF(AND('Mapa final'!$AJ$39="Muy Alta",'Mapa final'!$AL$39="Catastrófico"),CONCATENATE("R2C",'Mapa final'!$S$39),"")</f>
        <v/>
      </c>
      <c r="AK16" s="42" t="str">
        <f>IF(AND('Mapa final'!$AJ$40="Muy Alta",'Mapa final'!$AL$40="Catastrófico"),CONCATENATE("R2C",'Mapa final'!$S$40),"")</f>
        <v/>
      </c>
      <c r="AL16" s="42" t="str">
        <f>IF(AND('Mapa final'!$AJ$41="Muy Alta",'Mapa final'!$AL$41="Catastrófico"),CONCATENATE("R2C",'Mapa final'!$S$41),"")</f>
        <v/>
      </c>
      <c r="AM16" s="42" t="str">
        <f>IF(AND('Mapa final'!$AJ$42="Muy Alta",'Mapa final'!$AL$42="Catastrófico"),CONCATENATE("R2C",'Mapa final'!$S$42),"")</f>
        <v/>
      </c>
      <c r="AN16" s="43" t="str">
        <f>IF(AND('Mapa final'!$AJ$43="Muy Alta",'Mapa final'!$AL$43="Catastrófico"),CONCATENATE("R2C",'Mapa final'!$S$43),"")</f>
        <v/>
      </c>
      <c r="AO16" s="69"/>
      <c r="AP16" s="474"/>
      <c r="AQ16" s="475"/>
      <c r="AR16" s="475"/>
      <c r="AS16" s="475"/>
      <c r="AT16" s="475"/>
      <c r="AU16" s="476"/>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60"/>
      <c r="D17" s="360"/>
      <c r="E17" s="361"/>
      <c r="F17" s="455"/>
      <c r="G17" s="456"/>
      <c r="H17" s="456"/>
      <c r="I17" s="456"/>
      <c r="J17" s="483"/>
      <c r="K17" s="38" t="str">
        <f>IF(AND('Mapa final'!$AJ$44="Muy Alta",'Mapa final'!$AL$44="Leve"),CONCATENATE("R2C",'Mapa final'!$S$44),"")</f>
        <v/>
      </c>
      <c r="L17" s="178" t="str">
        <f>IF(AND('Mapa final'!$AJ$45="Muy Alta",'Mapa final'!$AL$45="Leve"),CONCATENATE("R2C",'Mapa final'!$S$45),"")</f>
        <v/>
      </c>
      <c r="M17" s="178" t="str">
        <f>IF(AND('Mapa final'!$AJ$46="Muy Alta",'Mapa final'!$AL$46="Leve"),CONCATENATE("R2C",'Mapa final'!$S$46),"")</f>
        <v/>
      </c>
      <c r="N17" s="178" t="str">
        <f>IF(AND('Mapa final'!$AJ$47="Muy Alta",'Mapa final'!$AL$47="Leve"),CONCATENATE("R2C",'Mapa final'!$S$47),"")</f>
        <v/>
      </c>
      <c r="O17" s="178" t="str">
        <f>IF(AND('Mapa final'!$AJ$48="Muy Alta",'Mapa final'!$AL$48="Leve"),CONCATENATE("R2C",'Mapa final'!$S$48),"")</f>
        <v/>
      </c>
      <c r="P17" s="40" t="str">
        <f>IF(AND('Mapa final'!$AJ$59="Muy Alta",'Mapa final'!$AL$49="Leve"),CONCATENATE("R2C",'Mapa final'!$S$49),"")</f>
        <v/>
      </c>
      <c r="Q17" s="178" t="str">
        <f>IF(AND('Mapa final'!$AJ$44="Muy Alta",'Mapa final'!$AL$44="Menor"),CONCATENATE("R2C",'Mapa final'!$S$44),"")</f>
        <v/>
      </c>
      <c r="R17" s="39" t="str">
        <f>IF(AND('Mapa final'!$AJ$45="Muy Alta",'Mapa final'!$AL$45="Menor"),CONCATENATE("R2C",'Mapa final'!$S$45),"")</f>
        <v/>
      </c>
      <c r="S17" s="39" t="str">
        <f>IF(AND('Mapa final'!$AJ$46="Muy Alta",'Mapa final'!$AL$46="Menor"),CONCATENATE("R2C",'Mapa final'!$S$46),"")</f>
        <v/>
      </c>
      <c r="T17" s="39" t="str">
        <f>IF(AND('Mapa final'!$AJ$47="Muy Alta",'Mapa final'!$AL$47="Menor"),CONCATENATE("R2C",'Mapa final'!$S$47),"")</f>
        <v/>
      </c>
      <c r="U17" s="39" t="str">
        <f>IF(AND('Mapa final'!$AJ$48="Muy Alta",'Mapa final'!$AL$48="Menor"),CONCATENATE("R2C",'Mapa final'!$S$48),"")</f>
        <v/>
      </c>
      <c r="V17" s="40" t="str">
        <f>IF(AND('Mapa final'!$AJ$59="Muy Alta",'Mapa final'!$AL$49="Menor"),CONCATENATE("R2C",'Mapa final'!$S$49),"")</f>
        <v/>
      </c>
      <c r="W17" s="38" t="str">
        <f>IF(AND('Mapa final'!$AJ$44="Muy Alta",'Mapa final'!$AL$44="Moderado"),CONCATENATE("R2C",'Mapa final'!$S$44),"")</f>
        <v/>
      </c>
      <c r="X17" s="39" t="str">
        <f>IF(AND('Mapa final'!$AJ$45="Muy Alta",'Mapa final'!$AL$45="Moderado"),CONCATENATE("R2C",'Mapa final'!$S$45),"")</f>
        <v/>
      </c>
      <c r="Y17" s="39" t="str">
        <f>IF(AND('Mapa final'!$AJ$46="Muy Alta",'Mapa final'!$AL$46="Moderado"),CONCATENATE("R2C",'Mapa final'!$S$46),"")</f>
        <v/>
      </c>
      <c r="Z17" s="39" t="str">
        <f>IF(AND('Mapa final'!$AJ$47="Muy Alta",'Mapa final'!$AL$47="Moderado"),CONCATENATE("R2C",'Mapa final'!$S$47),"")</f>
        <v/>
      </c>
      <c r="AA17" s="39" t="str">
        <f>IF(AND('Mapa final'!$AJ$48="Muy Alta",'Mapa final'!$AL$48="Moderado"),CONCATENATE("R2C",'Mapa final'!$S$48),"")</f>
        <v/>
      </c>
      <c r="AB17" s="40" t="str">
        <f>IF(AND('Mapa final'!$AJ$59="Muy Alta",'Mapa final'!$AL$49="Moderado"),CONCATENATE("R2C",'Mapa final'!$S$49),"")</f>
        <v/>
      </c>
      <c r="AC17" s="38" t="str">
        <f>IF(AND('Mapa final'!$AJ$44="Muy Alta",'Mapa final'!$AL$44="Mayor"),CONCATENATE("R2C",'Mapa final'!$S$44),"")</f>
        <v/>
      </c>
      <c r="AD17" s="39" t="str">
        <f>IF(AND('Mapa final'!$AJ$45="Muy Alta",'Mapa final'!$AL$45="Mayor"),CONCATENATE("R2C",'Mapa final'!$S$45),"")</f>
        <v/>
      </c>
      <c r="AE17" s="39" t="str">
        <f>IF(AND('Mapa final'!$AJ$46="Muy Alta",'Mapa final'!$AL$46="Mayor"),CONCATENATE("R2C",'Mapa final'!$S$46),"")</f>
        <v/>
      </c>
      <c r="AF17" s="39" t="str">
        <f>IF(AND('Mapa final'!$AJ$47="Muy Alta",'Mapa final'!$AL$47="Mayor"),CONCATENATE("R2C",'Mapa final'!$S$47),"")</f>
        <v/>
      </c>
      <c r="AG17" s="39" t="str">
        <f>IF(AND('Mapa final'!$AJ$48="Muy Alta",'Mapa final'!$AL$48="Mayor"),CONCATENATE("R2C",'Mapa final'!$S$48),"")</f>
        <v/>
      </c>
      <c r="AH17" s="40" t="str">
        <f>IF(AND('Mapa final'!$AJ$59="Muy Alta",'Mapa final'!$AL$49="Mayor"),CONCATENATE("R2C",'Mapa final'!$S$49),"")</f>
        <v/>
      </c>
      <c r="AI17" s="41" t="str">
        <f>IF(AND('Mapa final'!$AJ$44="Muy Alta",'Mapa final'!$AL$44="Catastrófico"),CONCATENATE("R2C",'Mapa final'!$S$44),"")</f>
        <v/>
      </c>
      <c r="AJ17" s="42" t="str">
        <f>IF(AND('Mapa final'!$AJ$45="Muy Alta",'Mapa final'!$AL$45="Catastrófico"),CONCATENATE("R2C",'Mapa final'!$S$45),"")</f>
        <v/>
      </c>
      <c r="AK17" s="42" t="str">
        <f>IF(AND('Mapa final'!$AJ$46="Muy Alta",'Mapa final'!$AL$46="Catastrófico"),CONCATENATE("R2C",'Mapa final'!$S$46),"")</f>
        <v/>
      </c>
      <c r="AL17" s="42" t="str">
        <f>IF(AND('Mapa final'!$AJ$47="Muy Alta",'Mapa final'!$AL$47="Catastrófico"),CONCATENATE("R2C",'Mapa final'!$S$47),"")</f>
        <v/>
      </c>
      <c r="AM17" s="42" t="str">
        <f>IF(AND('Mapa final'!$AJ$48="Muy Alta",'Mapa final'!$AL$48="Catastrófico"),CONCATENATE("R2C",'Mapa final'!$S$48),"")</f>
        <v/>
      </c>
      <c r="AN17" s="43" t="str">
        <f>IF(AND('Mapa final'!$AJ$59="Muy Alta",'Mapa final'!$AL$49="Catastrófico"),CONCATENATE("R2C",'Mapa final'!$S$49),"")</f>
        <v/>
      </c>
      <c r="AO17" s="69"/>
      <c r="AP17" s="474"/>
      <c r="AQ17" s="475"/>
      <c r="AR17" s="475"/>
      <c r="AS17" s="475"/>
      <c r="AT17" s="475"/>
      <c r="AU17" s="476"/>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60"/>
      <c r="D18" s="360"/>
      <c r="E18" s="361"/>
      <c r="F18" s="455"/>
      <c r="G18" s="456"/>
      <c r="H18" s="456"/>
      <c r="I18" s="456"/>
      <c r="J18" s="483"/>
      <c r="K18" s="38" t="str">
        <f>IF(AND('Mapa final'!$AJ$50="Muy Alta",'Mapa final'!$AL$50="Leve"),CONCATENATE("R2C",'Mapa final'!$S$50),"")</f>
        <v/>
      </c>
      <c r="L18" s="178" t="str">
        <f>IF(AND('Mapa final'!$AJ$51="Muy Alta",'Mapa final'!$AL$51="Leve"),CONCATENATE("R2C",'Mapa final'!$S$51),"")</f>
        <v/>
      </c>
      <c r="M18" s="178" t="str">
        <f>IF(AND('Mapa final'!$AJ$52="Muy Alta",'Mapa final'!$AL$52="Leve"),CONCATENATE("R2C",'Mapa final'!$S$52),"")</f>
        <v/>
      </c>
      <c r="N18" s="178" t="str">
        <f>IF(AND('Mapa final'!$AJ$53="Muy Alta",'Mapa final'!$AL$53="Leve"),CONCATENATE("R2C",'Mapa final'!$S$53),"")</f>
        <v/>
      </c>
      <c r="O18" s="178" t="str">
        <f>IF(AND('Mapa final'!$AJ$54="Muy Alta",'Mapa final'!$AL$54="Leve"),CONCATENATE("R2C",'Mapa final'!$S$54),"")</f>
        <v/>
      </c>
      <c r="P18" s="40" t="str">
        <f>IF(AND('Mapa final'!$AJ$55="Muy Alta",'Mapa final'!$AL$55="Leve"),CONCATENATE("R2C",'Mapa final'!$S$55),"")</f>
        <v/>
      </c>
      <c r="Q18" s="178" t="str">
        <f>IF(AND('Mapa final'!$AJ$50="Muy Alta",'Mapa final'!$AL$50="Menor"),CONCATENATE("R2C",'Mapa final'!$S$50),"")</f>
        <v/>
      </c>
      <c r="R18" s="39" t="str">
        <f>IF(AND('Mapa final'!$AJ$51="Muy Alta",'Mapa final'!$AL$51="Menor"),CONCATENATE("R2C",'Mapa final'!$S$51),"")</f>
        <v/>
      </c>
      <c r="S18" s="39" t="str">
        <f>IF(AND('Mapa final'!$AJ$52="Muy Alta",'Mapa final'!$AL$52="Menor"),CONCATENATE("R2C",'Mapa final'!$S$52),"")</f>
        <v/>
      </c>
      <c r="T18" s="39" t="str">
        <f>IF(AND('Mapa final'!$AJ$53="Muy Alta",'Mapa final'!$AL$53="Menor"),CONCATENATE("R2C",'Mapa final'!$S$53),"")</f>
        <v/>
      </c>
      <c r="U18" s="39" t="str">
        <f>IF(AND('Mapa final'!$AJ$54="Muy Alta",'Mapa final'!$AL$54="Menor"),CONCATENATE("R2C",'Mapa final'!$S$54),"")</f>
        <v/>
      </c>
      <c r="V18" s="40" t="str">
        <f>IF(AND('Mapa final'!$AJ$55="Muy Alta",'Mapa final'!$AL$55="Menor"),CONCATENATE("R2C",'Mapa final'!$S$55),"")</f>
        <v/>
      </c>
      <c r="W18" s="38" t="str">
        <f>IF(AND('Mapa final'!$AJ$50="Muy Alta",'Mapa final'!$AL$50="Moderado"),CONCATENATE("R2C",'Mapa final'!$S$50),"")</f>
        <v/>
      </c>
      <c r="X18" s="39" t="str">
        <f>IF(AND('Mapa final'!$AJ$51="Muy Alta",'Mapa final'!$AL$51="Moderado"),CONCATENATE("R2C",'Mapa final'!$S$51),"")</f>
        <v/>
      </c>
      <c r="Y18" s="39" t="str">
        <f>IF(AND('Mapa final'!$AJ$52="Muy Alta",'Mapa final'!$AL$52="Moderado"),CONCATENATE("R2C",'Mapa final'!$S$52),"")</f>
        <v/>
      </c>
      <c r="Z18" s="39" t="str">
        <f>IF(AND('Mapa final'!$AJ$53="Muy Alta",'Mapa final'!$AL$53="Moderado"),CONCATENATE("R2C",'Mapa final'!$S$53),"")</f>
        <v/>
      </c>
      <c r="AA18" s="39" t="str">
        <f>IF(AND('Mapa final'!$AJ$54="Muy Alta",'Mapa final'!$AL$54="Moderado"),CONCATENATE("R2C",'Mapa final'!$S$54),"")</f>
        <v/>
      </c>
      <c r="AB18" s="40" t="str">
        <f>IF(AND('Mapa final'!$AJ$55="Muy Alta",'Mapa final'!$AL$55="Moderado"),CONCATENATE("R2C",'Mapa final'!$S$55),"")</f>
        <v/>
      </c>
      <c r="AC18" s="38" t="str">
        <f>IF(AND('Mapa final'!$AJ$50="Muy Alta",'Mapa final'!$AL$50="Mayor"),CONCATENATE("R2C",'Mapa final'!$S$50),"")</f>
        <v/>
      </c>
      <c r="AD18" s="39" t="str">
        <f>IF(AND('Mapa final'!$AJ$51="Muy Alta",'Mapa final'!$AL$51="Mayor"),CONCATENATE("R2C",'Mapa final'!$S$51),"")</f>
        <v/>
      </c>
      <c r="AE18" s="39" t="str">
        <f>IF(AND('Mapa final'!$AJ$52="Muy Alta",'Mapa final'!$AL$52="Mayor"),CONCATENATE("R2C",'Mapa final'!$S$52),"")</f>
        <v/>
      </c>
      <c r="AF18" s="39" t="str">
        <f>IF(AND('Mapa final'!$AJ$53="Muy Alta",'Mapa final'!$AL$53="Mayor"),CONCATENATE("R2C",'Mapa final'!$S$53),"")</f>
        <v/>
      </c>
      <c r="AG18" s="39" t="str">
        <f>IF(AND('Mapa final'!$AJ$54="Muy Alta",'Mapa final'!$AL$54="Mayor"),CONCATENATE("R2C",'Mapa final'!$S$54),"")</f>
        <v/>
      </c>
      <c r="AH18" s="40" t="str">
        <f>IF(AND('Mapa final'!$AJ$55="Muy Alta",'Mapa final'!$AL$55="Mayor"),CONCATENATE("R2C",'Mapa final'!$S$55),"")</f>
        <v/>
      </c>
      <c r="AI18" s="41" t="str">
        <f>IF(AND('Mapa final'!$AJ$50="Muy Alta",'Mapa final'!$AL$50="Catastrófico"),CONCATENATE("R2C",'Mapa final'!$S$50),"")</f>
        <v/>
      </c>
      <c r="AJ18" s="42" t="str">
        <f>IF(AND('Mapa final'!$AJ$51="Muy Alta",'Mapa final'!$AL$51="Catastrófico"),CONCATENATE("R2C",'Mapa final'!$S$51),"")</f>
        <v/>
      </c>
      <c r="AK18" s="42" t="str">
        <f>IF(AND('Mapa final'!$AJ$52="Muy Alta",'Mapa final'!$AL$52="Catastrófico"),CONCATENATE("R2C",'Mapa final'!$S$52),"")</f>
        <v/>
      </c>
      <c r="AL18" s="42" t="str">
        <f>IF(AND('Mapa final'!$AJ$53="Muy Alta",'Mapa final'!$AL$53="Catastrófico"),CONCATENATE("R2C",'Mapa final'!$S$53),"")</f>
        <v/>
      </c>
      <c r="AM18" s="42" t="str">
        <f>IF(AND('Mapa final'!$AJ$54="Muy Alta",'Mapa final'!$AL$54="Catastrófico"),CONCATENATE("R2C",'Mapa final'!$S$54),"")</f>
        <v/>
      </c>
      <c r="AN18" s="43" t="str">
        <f>IF(AND('Mapa final'!$AJ$55="Muy Alta",'Mapa final'!$AL$55="Catastrófico"),CONCATENATE("R2C",'Mapa final'!$S$55),"")</f>
        <v/>
      </c>
      <c r="AO18" s="69"/>
      <c r="AP18" s="474"/>
      <c r="AQ18" s="475"/>
      <c r="AR18" s="475"/>
      <c r="AS18" s="475"/>
      <c r="AT18" s="475"/>
      <c r="AU18" s="476"/>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60"/>
      <c r="D19" s="360"/>
      <c r="E19" s="361"/>
      <c r="F19" s="455"/>
      <c r="G19" s="456"/>
      <c r="H19" s="456"/>
      <c r="I19" s="456"/>
      <c r="J19" s="483"/>
      <c r="K19" s="38" t="str">
        <f>IF(AND('Mapa final'!$AJ$56="Muy Alta",'Mapa final'!$AL$56="Leve"),CONCATENATE("R2C",'Mapa final'!$S$56),"")</f>
        <v/>
      </c>
      <c r="L19" s="178" t="str">
        <f>IF(AND('Mapa final'!$AJ$57="Muy Alta",'Mapa final'!$AL$57="Leve"),CONCATENATE("R2C",'Mapa final'!$S$57),"")</f>
        <v/>
      </c>
      <c r="M19" s="178" t="str">
        <f>IF(AND('Mapa final'!$AJ$58="Muy Alta",'Mapa final'!$AL$58="Leve"),CONCATENATE("R2C",'Mapa final'!$S$58),"")</f>
        <v/>
      </c>
      <c r="N19" s="178" t="str">
        <f>IF(AND('Mapa final'!$AJ$59="Muy Alta",'Mapa final'!$AL$59="Leve"),CONCATENATE("R2C",'Mapa final'!$S$59),"")</f>
        <v/>
      </c>
      <c r="O19" s="178" t="str">
        <f>IF(AND('Mapa final'!$AJ$60="Muy Alta",'Mapa final'!$AL$60="Leve"),CONCATENATE("R2C",'Mapa final'!$S$60),"")</f>
        <v/>
      </c>
      <c r="P19" s="40" t="str">
        <f>IF(AND('Mapa final'!$AJ$61="Muy Alta",'Mapa final'!$AL$61="Leve"),CONCATENATE("R2C",'Mapa final'!$S$61),"")</f>
        <v/>
      </c>
      <c r="Q19" s="178" t="str">
        <f>IF(AND('Mapa final'!$AJ$56="Muy Alta",'Mapa final'!$AL$56="Menor"),CONCATENATE("R2C",'Mapa final'!$S$56),"")</f>
        <v/>
      </c>
      <c r="R19" s="39" t="str">
        <f>IF(AND('Mapa final'!$AJ$57="Muy Alta",'Mapa final'!$AL$57="Menor"),CONCATENATE("R2C",'Mapa final'!$S$57),"")</f>
        <v/>
      </c>
      <c r="S19" s="39" t="str">
        <f>IF(AND('Mapa final'!$AJ$58="Muy Alta",'Mapa final'!$AL$58="Menor"),CONCATENATE("R2C",'Mapa final'!$S$58),"")</f>
        <v/>
      </c>
      <c r="T19" s="39" t="str">
        <f>IF(AND('Mapa final'!$AJ$59="Muy Alta",'Mapa final'!$AL$59="Menor"),CONCATENATE("R2C",'Mapa final'!$S$59),"")</f>
        <v/>
      </c>
      <c r="U19" s="39" t="str">
        <f>IF(AND('Mapa final'!$AJ$60="Muy Alta",'Mapa final'!$AL$60="Menor"),CONCATENATE("R2C",'Mapa final'!$S$60),"")</f>
        <v/>
      </c>
      <c r="V19" s="40" t="str">
        <f>IF(AND('Mapa final'!$AJ$61="Muy Alta",'Mapa final'!$AL$61="Menor"),CONCATENATE("R2C",'Mapa final'!$S$61),"")</f>
        <v/>
      </c>
      <c r="W19" s="38" t="str">
        <f>IF(AND('Mapa final'!$AJ$56="Muy Alta",'Mapa final'!$AL$56="Moderado"),CONCATENATE("R2C",'Mapa final'!$S$56),"")</f>
        <v/>
      </c>
      <c r="X19" s="39" t="str">
        <f>IF(AND('Mapa final'!$AJ$57="Muy Alta",'Mapa final'!$AL$57="Moderado"),CONCATENATE("R2C",'Mapa final'!$S$57),"")</f>
        <v/>
      </c>
      <c r="Y19" s="39" t="str">
        <f>IF(AND('Mapa final'!$AJ$58="Muy Alta",'Mapa final'!$AL$58="Moderado"),CONCATENATE("R2C",'Mapa final'!$S$58),"")</f>
        <v/>
      </c>
      <c r="Z19" s="39" t="str">
        <f>IF(AND('Mapa final'!$AJ$59="Muy Alta",'Mapa final'!$AL$59="Moderado"),CONCATENATE("R2C",'Mapa final'!$S$59),"")</f>
        <v/>
      </c>
      <c r="AA19" s="39" t="str">
        <f>IF(AND('Mapa final'!$AJ$60="Muy Alta",'Mapa final'!$AL$60="Moderado"),CONCATENATE("R2C",'Mapa final'!$S$60),"")</f>
        <v/>
      </c>
      <c r="AB19" s="40" t="str">
        <f>IF(AND('Mapa final'!$AJ$61="Muy Alta",'Mapa final'!$AL$61="Moderado"),CONCATENATE("R2C",'Mapa final'!$S$61),"")</f>
        <v/>
      </c>
      <c r="AC19" s="38" t="str">
        <f>IF(AND('Mapa final'!$AJ$56="Muy Alta",'Mapa final'!$AL$56="Mayor"),CONCATENATE("R2C",'Mapa final'!$S$56),"")</f>
        <v/>
      </c>
      <c r="AD19" s="39" t="str">
        <f>IF(AND('Mapa final'!$AJ$57="Muy Alta",'Mapa final'!$AL$57="Mayor"),CONCATENATE("R2C",'Mapa final'!$S$57),"")</f>
        <v/>
      </c>
      <c r="AE19" s="39" t="str">
        <f>IF(AND('Mapa final'!$AJ$58="Muy Alta",'Mapa final'!$AL$58="Mayor"),CONCATENATE("R2C",'Mapa final'!$S$58),"")</f>
        <v/>
      </c>
      <c r="AF19" s="39" t="str">
        <f>IF(AND('Mapa final'!$AJ$59="Muy Alta",'Mapa final'!$AL$59="Mayor"),CONCATENATE("R2C",'Mapa final'!$S$59),"")</f>
        <v/>
      </c>
      <c r="AG19" s="39" t="str">
        <f>IF(AND('Mapa final'!$AJ$60="Muy Alta",'Mapa final'!$AL$60="Mayor"),CONCATENATE("R2C",'Mapa final'!$S$60),"")</f>
        <v/>
      </c>
      <c r="AH19" s="40" t="str">
        <f>IF(AND('Mapa final'!$AJ$61="Muy Alta",'Mapa final'!$AL$61="Mayor"),CONCATENATE("R2C",'Mapa final'!$S$61),"")</f>
        <v/>
      </c>
      <c r="AI19" s="41" t="str">
        <f>IF(AND('Mapa final'!$AJ$56="Muy Alta",'Mapa final'!$AL$56="Catastrófico"),CONCATENATE("R2C",'Mapa final'!$S$56),"")</f>
        <v/>
      </c>
      <c r="AJ19" s="42" t="str">
        <f>IF(AND('Mapa final'!$AJ$57="Muy Alta",'Mapa final'!$AL$57="Catastrófico"),CONCATENATE("R2C",'Mapa final'!$S$57),"")</f>
        <v/>
      </c>
      <c r="AK19" s="42" t="str">
        <f>IF(AND('Mapa final'!$AJ$58="Muy Alta",'Mapa final'!$AL$58="Catastrófico"),CONCATENATE("R2C",'Mapa final'!$S$58),"")</f>
        <v/>
      </c>
      <c r="AL19" s="42" t="str">
        <f>IF(AND('Mapa final'!$AJ$59="Muy Alta",'Mapa final'!$AL$59="Catastrófico"),CONCATENATE("R2C",'Mapa final'!$S$59),"")</f>
        <v/>
      </c>
      <c r="AM19" s="42" t="str">
        <f>IF(AND('Mapa final'!$AJ$60="Muy Alta",'Mapa final'!$AL$60="Catastrófico"),CONCATENATE("R2C",'Mapa final'!$S$60),"")</f>
        <v/>
      </c>
      <c r="AN19" s="43" t="str">
        <f>IF(AND('Mapa final'!$AJ$61="Muy Alta",'Mapa final'!$AL$61="Catastrófico"),CONCATENATE("R2C",'Mapa final'!$S$61),"")</f>
        <v/>
      </c>
      <c r="AO19" s="69"/>
      <c r="AP19" s="474"/>
      <c r="AQ19" s="475"/>
      <c r="AR19" s="475"/>
      <c r="AS19" s="475"/>
      <c r="AT19" s="475"/>
      <c r="AU19" s="476"/>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60"/>
      <c r="D20" s="360"/>
      <c r="E20" s="361"/>
      <c r="F20" s="455"/>
      <c r="G20" s="456"/>
      <c r="H20" s="456"/>
      <c r="I20" s="456"/>
      <c r="J20" s="483"/>
      <c r="K20" s="38" t="str">
        <f>IF(AND('Mapa final'!$AJ$62="Muy Alta",'Mapa final'!$AL$62="Leve"),CONCATENATE("R2C",'Mapa final'!$S$62),"")</f>
        <v/>
      </c>
      <c r="L20" s="178" t="str">
        <f>IF(AND('Mapa final'!$AJ$63="Muy Alta",'Mapa final'!$AL$63="Leve"),CONCATENATE("R2C",'Mapa final'!$S$63),"")</f>
        <v/>
      </c>
      <c r="M20" s="178" t="str">
        <f>IF(AND('Mapa final'!$AJ$64="Muy Alta",'Mapa final'!$AL$64="Leve"),CONCATENATE("R2C",'Mapa final'!$S$64),"")</f>
        <v/>
      </c>
      <c r="N20" s="178" t="str">
        <f>IF(AND('Mapa final'!$AJ$65="Muy Alta",'Mapa final'!$AL$65="Leve"),CONCATENATE("R2C",'Mapa final'!$S$65),"")</f>
        <v/>
      </c>
      <c r="O20" s="178" t="str">
        <f>IF(AND('Mapa final'!$AJ$66="Muy Alta",'Mapa final'!$AL$66="Leve"),CONCATENATE("R2C",'Mapa final'!$S$66),"")</f>
        <v/>
      </c>
      <c r="P20" s="40" t="str">
        <f>IF(AND('Mapa final'!$AJ$67="Muy Alta",'Mapa final'!$AL$67="Leve"),CONCATENATE("R2C",'Mapa final'!$S$67),"")</f>
        <v/>
      </c>
      <c r="Q20" s="178" t="str">
        <f>IF(AND('Mapa final'!$AJ$62="Muy Alta",'Mapa final'!$AL$62="Menor"),CONCATENATE("R2C",'Mapa final'!$S$62),"")</f>
        <v/>
      </c>
      <c r="R20" s="39" t="str">
        <f>IF(AND('Mapa final'!$AJ$63="Muy Alta",'Mapa final'!$AL$63="Menor"),CONCATENATE("R2C",'Mapa final'!$S$63),"")</f>
        <v/>
      </c>
      <c r="S20" s="39" t="str">
        <f>IF(AND('Mapa final'!$AJ$64="Muy Alta",'Mapa final'!$AL$64="Menor"),CONCATENATE("R2C",'Mapa final'!$S$64),"")</f>
        <v/>
      </c>
      <c r="T20" s="39" t="str">
        <f>IF(AND('Mapa final'!$AJ$65="Muy Alta",'Mapa final'!$AL$65="Menor"),CONCATENATE("R2C",'Mapa final'!$S$65),"")</f>
        <v/>
      </c>
      <c r="U20" s="39" t="str">
        <f>IF(AND('Mapa final'!$AJ$66="Muy Alta",'Mapa final'!$AL$66="Menor"),CONCATENATE("R2C",'Mapa final'!$S$66),"")</f>
        <v/>
      </c>
      <c r="V20" s="40" t="str">
        <f>IF(AND('Mapa final'!$AJ$67="Muy Alta",'Mapa final'!$AL$67="Menor"),CONCATENATE("R2C",'Mapa final'!$S$67),"")</f>
        <v/>
      </c>
      <c r="W20" s="38" t="str">
        <f>IF(AND('Mapa final'!$AJ$62="Muy Alta",'Mapa final'!$AL$62="Moderado"),CONCATENATE("R2C",'Mapa final'!$S$62),"")</f>
        <v/>
      </c>
      <c r="X20" s="39" t="str">
        <f>IF(AND('Mapa final'!$AJ$63="Muy Alta",'Mapa final'!$AL$63="Moderado"),CONCATENATE("R2C",'Mapa final'!$S$63),"")</f>
        <v/>
      </c>
      <c r="Y20" s="39" t="str">
        <f>IF(AND('Mapa final'!$AJ$64="Muy Alta",'Mapa final'!$AL$64="Moderado"),CONCATENATE("R2C",'Mapa final'!$S$64),"")</f>
        <v/>
      </c>
      <c r="Z20" s="39" t="str">
        <f>IF(AND('Mapa final'!$AJ$65="Muy Alta",'Mapa final'!$AL$65="Moderado"),CONCATENATE("R2C",'Mapa final'!$S$65),"")</f>
        <v/>
      </c>
      <c r="AA20" s="39" t="str">
        <f>IF(AND('Mapa final'!$AJ$66="Muy Alta",'Mapa final'!$AL$66="Moderado"),CONCATENATE("R2C",'Mapa final'!$S$66),"")</f>
        <v/>
      </c>
      <c r="AB20" s="40" t="str">
        <f>IF(AND('Mapa final'!$AJ$67="Muy Alta",'Mapa final'!$AL$67="Moderado"),CONCATENATE("R2C",'Mapa final'!$S$67),"")</f>
        <v/>
      </c>
      <c r="AC20" s="38" t="str">
        <f>IF(AND('Mapa final'!$AJ$62="Muy Alta",'Mapa final'!$AL$62="Mayor"),CONCATENATE("R2C",'Mapa final'!$S$62),"")</f>
        <v/>
      </c>
      <c r="AD20" s="39" t="str">
        <f>IF(AND('Mapa final'!$AJ$63="Muy Alta",'Mapa final'!$AL$63="Mayor"),CONCATENATE("R2C",'Mapa final'!$S$63),"")</f>
        <v/>
      </c>
      <c r="AE20" s="39" t="str">
        <f>IF(AND('Mapa final'!$AJ$64="Muy Alta",'Mapa final'!$AL$64="Mayor"),CONCATENATE("R2C",'Mapa final'!$S$64),"")</f>
        <v/>
      </c>
      <c r="AF20" s="39" t="str">
        <f>IF(AND('Mapa final'!$AJ$65="Muy Alta",'Mapa final'!$AL$65="Mayor"),CONCATENATE("R2C",'Mapa final'!$S$65),"")</f>
        <v/>
      </c>
      <c r="AG20" s="39" t="str">
        <f>IF(AND('Mapa final'!$AJ$66="Muy Alta",'Mapa final'!$AL$66="Mayor"),CONCATENATE("R2C",'Mapa final'!$S$66),"")</f>
        <v/>
      </c>
      <c r="AH20" s="40" t="str">
        <f>IF(AND('Mapa final'!$AJ$67="Muy Alta",'Mapa final'!$AL$67="Mayor"),CONCATENATE("R2C",'Mapa final'!$S$67),"")</f>
        <v/>
      </c>
      <c r="AI20" s="41" t="str">
        <f>IF(AND('Mapa final'!$AJ$62="Muy Alta",'Mapa final'!$AL$62="Catastrófico"),CONCATENATE("R2C",'Mapa final'!$S$62),"")</f>
        <v/>
      </c>
      <c r="AJ20" s="42" t="str">
        <f>IF(AND('Mapa final'!$AJ$63="Muy Alta",'Mapa final'!$AL$63="Catastrófico"),CONCATENATE("R2C",'Mapa final'!$S$63),"")</f>
        <v/>
      </c>
      <c r="AK20" s="42" t="str">
        <f>IF(AND('Mapa final'!$AJ$64="Muy Alta",'Mapa final'!$AL$64="Catastrófico"),CONCATENATE("R2C",'Mapa final'!$S$64),"")</f>
        <v/>
      </c>
      <c r="AL20" s="42" t="str">
        <f>IF(AND('Mapa final'!$AJ$65="Muy Alta",'Mapa final'!$AL$65="Catastrófico"),CONCATENATE("R2C",'Mapa final'!$S$65),"")</f>
        <v/>
      </c>
      <c r="AM20" s="42" t="str">
        <f>IF(AND('Mapa final'!$AJ$66="Muy Alta",'Mapa final'!$AL$66="Catastrófico"),CONCATENATE("R2C",'Mapa final'!$S$66),"")</f>
        <v/>
      </c>
      <c r="AN20" s="43" t="str">
        <f>IF(AND('Mapa final'!$AJ$67="Muy Alta",'Mapa final'!$AL$67="Catastrófico"),CONCATENATE("R2C",'Mapa final'!$S$67),"")</f>
        <v/>
      </c>
      <c r="AO20" s="69"/>
      <c r="AP20" s="474"/>
      <c r="AQ20" s="475"/>
      <c r="AR20" s="475"/>
      <c r="AS20" s="475"/>
      <c r="AT20" s="475"/>
      <c r="AU20" s="476"/>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60"/>
      <c r="D21" s="360"/>
      <c r="E21" s="361"/>
      <c r="F21" s="458"/>
      <c r="G21" s="459"/>
      <c r="H21" s="459"/>
      <c r="I21" s="459"/>
      <c r="J21" s="459"/>
      <c r="K21" s="44" t="str">
        <f>IF(AND('Mapa final'!$AJ$68="Muy Alta",'Mapa final'!$AL$68="Leve"),CONCATENATE("R2C",'Mapa final'!$S$68),"")</f>
        <v/>
      </c>
      <c r="L21" s="45" t="str">
        <f>IF(AND('Mapa final'!$AJ$69="Muy Alta",'Mapa final'!$AL$69="Leve"),CONCATENATE("R2C",'Mapa final'!$S$69),"")</f>
        <v/>
      </c>
      <c r="M21" s="45" t="str">
        <f>IF(AND('Mapa final'!$AJ$70="Muy Alta",'Mapa final'!$AL$70="Leve"),CONCATENATE("R2C",'Mapa final'!$S$70),"")</f>
        <v/>
      </c>
      <c r="N21" s="45" t="str">
        <f>IF(AND('Mapa final'!$AJ$71="Muy Alta",'Mapa final'!$AL$71="Leve"),CONCATENATE("R2C",'Mapa final'!$S$71),"")</f>
        <v/>
      </c>
      <c r="O21" s="45" t="str">
        <f>IF(AND('Mapa final'!$AJ$73="Muy Alta",'Mapa final'!$AL$73="Leve"),CONCATENATE("R2C",'Mapa final'!$S$73),"")</f>
        <v/>
      </c>
      <c r="P21" s="46" t="str">
        <f>IF(AND('Mapa final'!$AJ$74="Muy Alta",'Mapa final'!$AL$74="Leve"),CONCATENATE("R2C",'Mapa final'!$S$74),"")</f>
        <v/>
      </c>
      <c r="Q21" s="178" t="str">
        <f>IF(AND('Mapa final'!$AJ$68="Muy Alta",'Mapa final'!$AL$68="Menor"),CONCATENATE("R2C",'Mapa final'!$S$68),"")</f>
        <v/>
      </c>
      <c r="R21" s="39" t="str">
        <f>IF(AND('Mapa final'!$AJ$69="Muy Alta",'Mapa final'!$AL$69="Menor"),CONCATENATE("R2C",'Mapa final'!$S$69),"")</f>
        <v/>
      </c>
      <c r="S21" s="39" t="str">
        <f>IF(AND('Mapa final'!$AJ$70="Muy Alta",'Mapa final'!$AL$70="Menor"),CONCATENATE("R2C",'Mapa final'!$S$70),"")</f>
        <v/>
      </c>
      <c r="T21" s="39" t="str">
        <f>IF(AND('Mapa final'!$AJ$71="Muy Alta",'Mapa final'!$AL$71="Menor"),CONCATENATE("R2C",'Mapa final'!$S$71),"")</f>
        <v/>
      </c>
      <c r="U21" s="39" t="str">
        <f>IF(AND('Mapa final'!$AJ$73="Muy Alta",'Mapa final'!$AL$73="Menor"),CONCATENATE("R2C",'Mapa final'!$S$73),"")</f>
        <v/>
      </c>
      <c r="V21" s="40" t="str">
        <f>IF(AND('Mapa final'!$AJ$74="Muy Alta",'Mapa final'!$AL$74="Menor"),CONCATENATE("R2C",'Mapa final'!$S$74),"")</f>
        <v/>
      </c>
      <c r="W21" s="44" t="str">
        <f>IF(AND('Mapa final'!$AJ$68="Muy Alta",'Mapa final'!$AL$68="Moderado"),CONCATENATE("R2C",'Mapa final'!$S$68),"")</f>
        <v/>
      </c>
      <c r="X21" s="45" t="str">
        <f>IF(AND('Mapa final'!$AJ$69="Muy Alta",'Mapa final'!$AL$69="Moderado"),CONCATENATE("R2C",'Mapa final'!$S$69),"")</f>
        <v/>
      </c>
      <c r="Y21" s="45" t="str">
        <f>IF(AND('Mapa final'!$AJ$70="Muy Alta",'Mapa final'!$AL$70="Moderado"),CONCATENATE("R2C",'Mapa final'!$S$70),"")</f>
        <v/>
      </c>
      <c r="Z21" s="45" t="str">
        <f>IF(AND('Mapa final'!$AJ$71="Muy Alta",'Mapa final'!$AL$71="Moderado"),CONCATENATE("R2C",'Mapa final'!$S$71),"")</f>
        <v/>
      </c>
      <c r="AA21" s="45" t="str">
        <f>IF(AND('Mapa final'!$AJ$73="Muy Alta",'Mapa final'!$AL$73="Moderado"),CONCATENATE("R2C",'Mapa final'!$S$73),"")</f>
        <v/>
      </c>
      <c r="AB21" s="46" t="str">
        <f>IF(AND('Mapa final'!$AJ$74="Muy Alta",'Mapa final'!$AL$74="Moderado"),CONCATENATE("R2C",'Mapa final'!$S$74),"")</f>
        <v/>
      </c>
      <c r="AC21" s="38" t="str">
        <f>IF(AND('Mapa final'!$AJ$68="Muy Alta",'Mapa final'!$AL$68="Mayor"),CONCATENATE("R2C",'Mapa final'!$S$68),"")</f>
        <v/>
      </c>
      <c r="AD21" s="39" t="str">
        <f>IF(AND('Mapa final'!$AJ$69="Muy Alta",'Mapa final'!$AL$69="Mayor"),CONCATENATE("R2C",'Mapa final'!$S$69),"")</f>
        <v/>
      </c>
      <c r="AE21" s="39" t="str">
        <f>IF(AND('Mapa final'!$AJ$70="Muy Alta",'Mapa final'!$AL$70="Mayor"),CONCATENATE("R2C",'Mapa final'!$S$70),"")</f>
        <v/>
      </c>
      <c r="AF21" s="39" t="str">
        <f>IF(AND('Mapa final'!$AJ$71="Muy Alta",'Mapa final'!$AL$71="Mayor"),CONCATENATE("R2C",'Mapa final'!$S$71),"")</f>
        <v/>
      </c>
      <c r="AG21" s="39" t="str">
        <f>IF(AND('Mapa final'!$AJ$73="Muy Alta",'Mapa final'!$AL$73="Mayor"),CONCATENATE("R2C",'Mapa final'!$S$73),"")</f>
        <v/>
      </c>
      <c r="AH21" s="40" t="str">
        <f>IF(AND('Mapa final'!$AJ$74="Muy Alta",'Mapa final'!$AL$74="Mayor"),CONCATENATE("R2C",'Mapa final'!$S$74),"")</f>
        <v/>
      </c>
      <c r="AI21" s="47" t="str">
        <f>IF(AND('Mapa final'!$AJ$68="Muy Alta",'Mapa final'!$AL$68="Catastrófico"),CONCATENATE("R2C",'Mapa final'!$S$68),"")</f>
        <v/>
      </c>
      <c r="AJ21" s="48" t="str">
        <f>IF(AND('Mapa final'!$AJ$69="Muy Alta",'Mapa final'!$AL$69="Catastrófico"),CONCATENATE("R2C",'Mapa final'!$S$69),"")</f>
        <v/>
      </c>
      <c r="AK21" s="48" t="str">
        <f>IF(AND('Mapa final'!$AJ$70="Muy Alta",'Mapa final'!$AL$70="Catastrófico"),CONCATENATE("R2C",'Mapa final'!$S$70),"")</f>
        <v/>
      </c>
      <c r="AL21" s="48" t="str">
        <f>IF(AND('Mapa final'!$AJ$71="Muy Alta",'Mapa final'!$AL$71="Catastrófico"),CONCATENATE("R2C",'Mapa final'!$S$71),"")</f>
        <v/>
      </c>
      <c r="AM21" s="48" t="str">
        <f>IF(AND('Mapa final'!$AJ$73="Muy Alta",'Mapa final'!$AL$73="Catastrófico"),CONCATENATE("R2C",'Mapa final'!$S$73),"")</f>
        <v/>
      </c>
      <c r="AN21" s="49" t="str">
        <f>IF(AND('Mapa final'!$AJ$74="Muy Alta",'Mapa final'!$AL$74="Catastrófico"),CONCATENATE("R2C",'Mapa final'!$S$74),"")</f>
        <v/>
      </c>
      <c r="AO21" s="69"/>
      <c r="AP21" s="477"/>
      <c r="AQ21" s="478"/>
      <c r="AR21" s="478"/>
      <c r="AS21" s="478"/>
      <c r="AT21" s="478"/>
      <c r="AU21" s="47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60"/>
      <c r="D22" s="360"/>
      <c r="E22" s="361"/>
      <c r="F22" s="452" t="s">
        <v>114</v>
      </c>
      <c r="G22" s="453"/>
      <c r="H22" s="453"/>
      <c r="I22" s="453"/>
      <c r="J22" s="453"/>
      <c r="K22" s="53" t="str">
        <f ca="1">IF(AND('Mapa final'!$AJ$15="Alta",'Mapa final'!$AL$15="Leve"),CONCATENATE("R2C",'Mapa final'!$S$15),"")</f>
        <v/>
      </c>
      <c r="L22" s="179"/>
      <c r="M22" s="179"/>
      <c r="N22" s="179"/>
      <c r="O22" s="179"/>
      <c r="P22" s="55"/>
      <c r="Q22" s="50"/>
      <c r="R22" s="51"/>
      <c r="S22" s="51"/>
      <c r="T22" s="51"/>
      <c r="U22" s="51"/>
      <c r="V22" s="52"/>
      <c r="W22" s="32"/>
      <c r="X22" s="33"/>
      <c r="Y22" s="33"/>
      <c r="Z22" s="33"/>
      <c r="AA22" s="33"/>
      <c r="AB22" s="34"/>
      <c r="AC22" s="32"/>
      <c r="AD22" s="33"/>
      <c r="AE22" s="33"/>
      <c r="AF22" s="33"/>
      <c r="AG22" s="33"/>
      <c r="AH22" s="34"/>
      <c r="AI22" s="35"/>
      <c r="AJ22" s="36"/>
      <c r="AK22" s="36" t="str">
        <f ca="1">IF(AND('Mapa final'!$AJ$16="Alta",'Mapa final'!$AL$16="Catastrófico"),CONCATENATE("R2C",'Mapa final'!$S$16),"")</f>
        <v/>
      </c>
      <c r="AL22" s="36" t="str">
        <f ca="1">IF(AND('Mapa final'!$AJ$17="Alta",'Mapa final'!$AL$17="Catastrófico"),CONCATENATE("R2C",'Mapa final'!$S$17),"")</f>
        <v/>
      </c>
      <c r="AM22" s="36" t="str">
        <f ca="1">IF(AND('Mapa final'!$AJ$18="Alta",'Mapa final'!$AL$18="Catastrófico"),CONCATENATE("R2C",'Mapa final'!$S$18),"")</f>
        <v/>
      </c>
      <c r="AN22" s="37" t="str">
        <f>IF(AND('Mapa final'!$AJ$19="Alta",'Mapa final'!$AL$19="Catastrófico"),CONCATENATE("R2C",'Mapa final'!$S$19),"")</f>
        <v/>
      </c>
      <c r="AO22" s="69"/>
      <c r="AP22" s="461" t="s">
        <v>79</v>
      </c>
      <c r="AQ22" s="462"/>
      <c r="AR22" s="462"/>
      <c r="AS22" s="462"/>
      <c r="AT22" s="462"/>
      <c r="AU22" s="463"/>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60"/>
      <c r="D23" s="360"/>
      <c r="E23" s="361"/>
      <c r="F23" s="470"/>
      <c r="G23" s="456"/>
      <c r="H23" s="456"/>
      <c r="I23" s="456"/>
      <c r="J23" s="456"/>
      <c r="K23" s="53" t="str">
        <f>IF(AND('Mapa final'!$AJ$20="Alta",'Mapa final'!$AL$20="Leve"),CONCATENATE("R2C",'Mapa final'!$S$20),"")</f>
        <v/>
      </c>
      <c r="L23" s="54"/>
      <c r="M23" s="54"/>
      <c r="N23" s="54"/>
      <c r="O23" s="54"/>
      <c r="P23" s="55"/>
      <c r="Q23" s="53"/>
      <c r="R23" s="54"/>
      <c r="S23" s="54"/>
      <c r="T23" s="54"/>
      <c r="U23" s="54"/>
      <c r="V23" s="55"/>
      <c r="W23" s="38"/>
      <c r="X23" s="39"/>
      <c r="Y23" s="39"/>
      <c r="Z23" s="39"/>
      <c r="AA23" s="39"/>
      <c r="AB23" s="40"/>
      <c r="AC23" s="38"/>
      <c r="AD23" s="39"/>
      <c r="AE23" s="39"/>
      <c r="AF23" s="39"/>
      <c r="AG23" s="39"/>
      <c r="AH23" s="40"/>
      <c r="AI23" s="41"/>
      <c r="AJ23" s="42"/>
      <c r="AK23" s="42" t="str">
        <f>IF(AND('Mapa final'!$AJ$22="Alta",'Mapa final'!$AL$22="Catastrófico"),CONCATENATE("R2C",'Mapa final'!$S$22),"")</f>
        <v/>
      </c>
      <c r="AL23" s="42" t="str">
        <f>IF(AND('Mapa final'!$AJ$23="Alta",'Mapa final'!$AL$23="Catastrófico"),CONCATENATE("R2C",'Mapa final'!$S$23),"")</f>
        <v/>
      </c>
      <c r="AM23" s="42" t="str">
        <f>IF(AND('Mapa final'!$AJ$24="Alta",'Mapa final'!$AL$24="Catastrófico"),CONCATENATE("R2C",'Mapa final'!$S$24),"")</f>
        <v/>
      </c>
      <c r="AN23" s="43" t="str">
        <f>IF(AND('Mapa final'!$AJ$25="Alta",'Mapa final'!$AL$25="Catastrófico"),CONCATENATE("R2C",'Mapa final'!$S$25),"")</f>
        <v/>
      </c>
      <c r="AO23" s="69"/>
      <c r="AP23" s="464"/>
      <c r="AQ23" s="465"/>
      <c r="AR23" s="465"/>
      <c r="AS23" s="465"/>
      <c r="AT23" s="465"/>
      <c r="AU23" s="466"/>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60"/>
      <c r="D24" s="360"/>
      <c r="E24" s="361"/>
      <c r="F24" s="455"/>
      <c r="G24" s="456"/>
      <c r="H24" s="456"/>
      <c r="I24" s="456"/>
      <c r="J24" s="456"/>
      <c r="K24" s="53" t="str">
        <f>IF(AND('Mapa final'!$AJ$26="Alta",'Mapa final'!$AL$26="Leve"),CONCATENATE("R2C",'Mapa final'!$S$26),"")</f>
        <v/>
      </c>
      <c r="L24" s="54" t="str">
        <f>IF(AND('Mapa final'!$AJ$27="Alta",'Mapa final'!$AL$27="Leve"),CONCATENATE("R2C",'Mapa final'!$S$27),"")</f>
        <v/>
      </c>
      <c r="M24" s="54" t="str">
        <f>IF(AND('Mapa final'!$AJ$28="Alta",'Mapa final'!$AL$28="Leve"),CONCATENATE("R2C",'Mapa final'!$S$28),"")</f>
        <v/>
      </c>
      <c r="N24" s="54" t="str">
        <f>IF(AND('Mapa final'!$AJ$29="Alta",'Mapa final'!$AL$29="Leve"),CONCATENATE("R2C",'Mapa final'!$S$29),"")</f>
        <v/>
      </c>
      <c r="O24" s="54" t="str">
        <f>IF(AND('Mapa final'!$AJ$30="Alta",'Mapa final'!$AL$30="Leve"),CONCATENATE("R2C",'Mapa final'!$S$30),"")</f>
        <v/>
      </c>
      <c r="P24" s="55" t="str">
        <f>IF(AND('Mapa final'!$AJ$31="Alta",'Mapa final'!$AL$31="Leve"),CONCATENATE("R2C",'Mapa final'!$S$31),"")</f>
        <v/>
      </c>
      <c r="Q24" s="53" t="str">
        <f>IF(AND('Mapa final'!$AJ$26="Alta",'Mapa final'!$AL$26="Menor"),CONCATENATE("R2C",'Mapa final'!$S$26),"")</f>
        <v/>
      </c>
      <c r="R24" s="54" t="str">
        <f>IF(AND('Mapa final'!$AJ$27="Alta",'Mapa final'!$AL$27="Menor"),CONCATENATE("R2C",'Mapa final'!$S$27),"")</f>
        <v/>
      </c>
      <c r="S24" s="54" t="str">
        <f>IF(AND('Mapa final'!$AJ$28="Alta",'Mapa final'!$AL$28="Menor"),CONCATENATE("R2C",'Mapa final'!$S$28),"")</f>
        <v/>
      </c>
      <c r="T24" s="54" t="str">
        <f>IF(AND('Mapa final'!$AJ$29="Alta",'Mapa final'!$AL$29="Menor"),CONCATENATE("R2C",'Mapa final'!$S$29),"")</f>
        <v/>
      </c>
      <c r="U24" s="54" t="str">
        <f>IF(AND('Mapa final'!$AJ$30="Alta",'Mapa final'!$AL$30="Menor"),CONCATENATE("R2C",'Mapa final'!$S$30),"")</f>
        <v/>
      </c>
      <c r="V24" s="55" t="str">
        <f>IF(AND('Mapa final'!$AJ$31="Alta",'Mapa final'!$AL$31="Menor"),CONCATENATE("R2C",'Mapa final'!$S$31),"")</f>
        <v/>
      </c>
      <c r="W24" s="38" t="str">
        <f>IF(AND('Mapa final'!$AJ$26="Alta",'Mapa final'!$AL$26="Moderado"),CONCATENATE("R2C",'Mapa final'!$S$26),"")</f>
        <v/>
      </c>
      <c r="X24" s="39" t="str">
        <f>IF(AND('Mapa final'!$AJ$27="Alta",'Mapa final'!$AL$27="Moderado"),CONCATENATE("R2C",'Mapa final'!$S$27),"")</f>
        <v/>
      </c>
      <c r="Y24" s="39" t="str">
        <f>IF(AND('Mapa final'!$AJ$28="Alta",'Mapa final'!$AL$28="Moderado"),CONCATENATE("R2C",'Mapa final'!$S$28),"")</f>
        <v/>
      </c>
      <c r="Z24" s="39" t="str">
        <f>IF(AND('Mapa final'!$AJ$29="Alta",'Mapa final'!$AL$29="Moderado"),CONCATENATE("R2C",'Mapa final'!$S$29),"")</f>
        <v/>
      </c>
      <c r="AA24" s="39" t="str">
        <f>IF(AND('Mapa final'!$AJ$30="Alta",'Mapa final'!$AL$30="Moderado"),CONCATENATE("R2C",'Mapa final'!$S$30),"")</f>
        <v/>
      </c>
      <c r="AB24" s="40" t="str">
        <f>IF(AND('Mapa final'!$AJ$31="Alta",'Mapa final'!$AL$31="Moderado"),CONCATENATE("R2C",'Mapa final'!$S$31),"")</f>
        <v/>
      </c>
      <c r="AC24" s="38" t="str">
        <f>IF(AND('Mapa final'!$AJ$26="Alta",'Mapa final'!$AL$26="Mayor"),CONCATENATE("R2C",'Mapa final'!$S$26),"")</f>
        <v/>
      </c>
      <c r="AD24" s="39" t="str">
        <f>IF(AND('Mapa final'!$AJ$27="Alta",'Mapa final'!$AL$27="Mayor"),CONCATENATE("R2C",'Mapa final'!$S$27),"")</f>
        <v/>
      </c>
      <c r="AE24" s="39" t="str">
        <f>IF(AND('Mapa final'!$AJ$28="Alta",'Mapa final'!$AL$28="Mayor"),CONCATENATE("R2C",'Mapa final'!$S$28),"")</f>
        <v/>
      </c>
      <c r="AF24" s="39" t="str">
        <f>IF(AND('Mapa final'!$AJ$29="Alta",'Mapa final'!$AL$29="Mayor"),CONCATENATE("R2C",'Mapa final'!$S$29),"")</f>
        <v/>
      </c>
      <c r="AG24" s="39" t="str">
        <f>IF(AND('Mapa final'!$AJ$30="Alta",'Mapa final'!$AL$30="Mayor"),CONCATENATE("R2C",'Mapa final'!$S$30),"")</f>
        <v/>
      </c>
      <c r="AH24" s="40" t="str">
        <f>IF(AND('Mapa final'!$AJ$31="Alta",'Mapa final'!$AL$31="Mayor"),CONCATENATE("R2C",'Mapa final'!$S$31),"")</f>
        <v/>
      </c>
      <c r="AI24" s="41" t="str">
        <f>IF(AND('Mapa final'!$AJ$26="Alta",'Mapa final'!$AL$26="Catastrófico"),CONCATENATE("R2C",'Mapa final'!$S$26),"")</f>
        <v/>
      </c>
      <c r="AJ24" s="42" t="str">
        <f>IF(AND('Mapa final'!$AJ$27="Alta",'Mapa final'!$AL$27="Catastrófico"),CONCATENATE("R2C",'Mapa final'!$S$27),"")</f>
        <v/>
      </c>
      <c r="AK24" s="42" t="str">
        <f>IF(AND('Mapa final'!$AJ$28="Alta",'Mapa final'!$AL$28="Catastrófico"),CONCATENATE("R2C",'Mapa final'!$S$28),"")</f>
        <v/>
      </c>
      <c r="AL24" s="42" t="str">
        <f>IF(AND('Mapa final'!$AJ$29="Alta",'Mapa final'!$AL$29="Catastrófico"),CONCATENATE("R2C",'Mapa final'!$S$29),"")</f>
        <v/>
      </c>
      <c r="AM24" s="42" t="str">
        <f>IF(AND('Mapa final'!$AJ$30="Alta",'Mapa final'!$AL$30="Catastrófico"),CONCATENATE("R2C",'Mapa final'!$S$30),"")</f>
        <v/>
      </c>
      <c r="AN24" s="43" t="str">
        <f>IF(AND('Mapa final'!$AJ$31="Alta",'Mapa final'!$AL$31="Catastrófico"),CONCATENATE("R2C",'Mapa final'!$S$31),"")</f>
        <v/>
      </c>
      <c r="AO24" s="69"/>
      <c r="AP24" s="464"/>
      <c r="AQ24" s="465"/>
      <c r="AR24" s="465"/>
      <c r="AS24" s="465"/>
      <c r="AT24" s="465"/>
      <c r="AU24" s="466"/>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60"/>
      <c r="D25" s="360"/>
      <c r="E25" s="361"/>
      <c r="F25" s="455"/>
      <c r="G25" s="456"/>
      <c r="H25" s="456"/>
      <c r="I25" s="456"/>
      <c r="J25" s="456"/>
      <c r="K25" s="53" t="str">
        <f>IF(AND('Mapa final'!$AJ$32="Alta",'Mapa final'!$AL$32="Leve"),CONCATENATE("R2C",'Mapa final'!$S$32),"")</f>
        <v/>
      </c>
      <c r="L25" s="54" t="str">
        <f>IF(AND('Mapa final'!$AJ$33="Alta",'Mapa final'!$AL$33="Leve"),CONCATENATE("R2C",'Mapa final'!$S$33),"")</f>
        <v/>
      </c>
      <c r="M25" s="54" t="str">
        <f>IF(AND('Mapa final'!$AJ$34="Alta",'Mapa final'!$AL$34="Leve"),CONCATENATE("R2C",'Mapa final'!$S$34),"")</f>
        <v/>
      </c>
      <c r="N25" s="54" t="str">
        <f>IF(AND('Mapa final'!$AJ$35="Alta",'Mapa final'!$AL$35="Leve"),CONCATENATE("R2C",'Mapa final'!$S$35),"")</f>
        <v/>
      </c>
      <c r="O25" s="54" t="str">
        <f>IF(AND('Mapa final'!$AJ$36="Alta",'Mapa final'!$AL$36="Leve"),CONCATENATE("R2C",'Mapa final'!$S$36),"")</f>
        <v/>
      </c>
      <c r="P25" s="55" t="str">
        <f>IF(AND('Mapa final'!$AJ$37="Alta",'Mapa final'!$AL$37="Leve"),CONCATENATE("R2C",'Mapa final'!$S$37),"")</f>
        <v/>
      </c>
      <c r="Q25" s="53" t="str">
        <f>IF(AND('Mapa final'!$AJ$32="Alta",'Mapa final'!$AL$32="Menor"),CONCATENATE("R2C",'Mapa final'!$S$32),"")</f>
        <v/>
      </c>
      <c r="R25" s="54" t="str">
        <f>IF(AND('Mapa final'!$AJ$33="Alta",'Mapa final'!$AL$33="Menor"),CONCATENATE("R2C",'Mapa final'!$S$33),"")</f>
        <v/>
      </c>
      <c r="S25" s="54" t="str">
        <f>IF(AND('Mapa final'!$AJ$34="Alta",'Mapa final'!$AL$34="Menor"),CONCATENATE("R2C",'Mapa final'!$S$34),"")</f>
        <v/>
      </c>
      <c r="T25" s="54" t="str">
        <f>IF(AND('Mapa final'!$AJ$35="Alta",'Mapa final'!$AL$35="Menor"),CONCATENATE("R2C",'Mapa final'!$S$35),"")</f>
        <v/>
      </c>
      <c r="U25" s="54" t="str">
        <f>IF(AND('Mapa final'!$AJ$36="Alta",'Mapa final'!$AL$36="LMenor"),CONCATENATE("R2C",'Mapa final'!$S$36),"")</f>
        <v/>
      </c>
      <c r="V25" s="55" t="str">
        <f>IF(AND('Mapa final'!$AJ$37="Alta",'Mapa final'!$AL$37="Menor"),CONCATENATE("R2C",'Mapa final'!$S$37),"")</f>
        <v/>
      </c>
      <c r="W25" s="38" t="str">
        <f>IF(AND('Mapa final'!$AJ$32="Alta",'Mapa final'!$AL$32="Moderado"),CONCATENATE("R2C",'Mapa final'!$S$32),"")</f>
        <v/>
      </c>
      <c r="X25" s="39" t="str">
        <f>IF(AND('Mapa final'!$AJ$33="Alta",'Mapa final'!$AL$33="Moderado"),CONCATENATE("R2C",'Mapa final'!$S$33),"")</f>
        <v/>
      </c>
      <c r="Y25" s="39" t="str">
        <f>IF(AND('Mapa final'!$AJ$34="Alta",'Mapa final'!$AL$34="Moderado"),CONCATENATE("R2C",'Mapa final'!$S$34),"")</f>
        <v/>
      </c>
      <c r="Z25" s="39" t="str">
        <f>IF(AND('Mapa final'!$AJ$35="Alta",'Mapa final'!$AL$35="Moderado"),CONCATENATE("R2C",'Mapa final'!$S$35),"")</f>
        <v/>
      </c>
      <c r="AA25" s="39" t="str">
        <f>IF(AND('Mapa final'!$AJ$36="Alta",'Mapa final'!$AL$36="Moderado"),CONCATENATE("R2C",'Mapa final'!$S$36),"")</f>
        <v/>
      </c>
      <c r="AB25" s="40" t="str">
        <f>IF(AND('Mapa final'!$AJ$37="Alta",'Mapa final'!$AL$37="Moderado"),CONCATENATE("R2C",'Mapa final'!$S$37),"")</f>
        <v/>
      </c>
      <c r="AC25" s="38" t="str">
        <f>IF(AND('Mapa final'!$AJ$32="Alta",'Mapa final'!$AL$32="Mayor"),CONCATENATE("R2C",'Mapa final'!$S$32),"")</f>
        <v/>
      </c>
      <c r="AD25" s="39" t="str">
        <f>IF(AND('Mapa final'!$AJ$33="Alta",'Mapa final'!$AL$33="Mayor"),CONCATENATE("R2C",'Mapa final'!$S$33),"")</f>
        <v/>
      </c>
      <c r="AE25" s="39" t="str">
        <f>IF(AND('Mapa final'!$AJ$34="Alta",'Mapa final'!$AL$34="Mayor"),CONCATENATE("R2C",'Mapa final'!$S$34),"")</f>
        <v/>
      </c>
      <c r="AF25" s="39" t="str">
        <f>IF(AND('Mapa final'!$AJ$35="Alta",'Mapa final'!$AL$35="Mayor"),CONCATENATE("R2C",'Mapa final'!$S$35),"")</f>
        <v/>
      </c>
      <c r="AG25" s="39" t="str">
        <f>IF(AND('Mapa final'!$AJ$36="Alta",'Mapa final'!$AL$36="Mayor"),CONCATENATE("R2C",'Mapa final'!$S$36),"")</f>
        <v/>
      </c>
      <c r="AH25" s="40" t="str">
        <f>IF(AND('Mapa final'!$AJ$37="Alta",'Mapa final'!$AL$37="Mayor"),CONCATENATE("R2C",'Mapa final'!$S$37),"")</f>
        <v/>
      </c>
      <c r="AI25" s="41" t="str">
        <f>IF(AND('Mapa final'!$AJ$32="Alta",'Mapa final'!$AL$32="Catastrófico"),CONCATENATE("R2C",'Mapa final'!$S$32),"")</f>
        <v/>
      </c>
      <c r="AJ25" s="42" t="str">
        <f>IF(AND('Mapa final'!$AJ$33="Alta",'Mapa final'!$AL$33="Catastrófico"),CONCATENATE("R2C",'Mapa final'!$S$33),"")</f>
        <v/>
      </c>
      <c r="AK25" s="42" t="str">
        <f>IF(AND('Mapa final'!$AJ$34="Alta",'Mapa final'!$AL$34="Catastrófico"),CONCATENATE("R2C",'Mapa final'!$S$34),"")</f>
        <v/>
      </c>
      <c r="AL25" s="42" t="str">
        <f>IF(AND('Mapa final'!$AJ$35="Alta",'Mapa final'!$AL$35="Catastrófico"),CONCATENATE("R2C",'Mapa final'!$S$35),"")</f>
        <v/>
      </c>
      <c r="AM25" s="42" t="str">
        <f>IF(AND('Mapa final'!$AJ$36="Alta",'Mapa final'!$AL$36="LCatastrófico"),CONCATENATE("R2C",'Mapa final'!$S$36),"")</f>
        <v/>
      </c>
      <c r="AN25" s="43" t="str">
        <f>IF(AND('Mapa final'!$AJ$37="Alta",'Mapa final'!$AL$37="Catastrófico"),CONCATENATE("R2C",'Mapa final'!$S$37),"")</f>
        <v/>
      </c>
      <c r="AO25" s="69"/>
      <c r="AP25" s="464"/>
      <c r="AQ25" s="465"/>
      <c r="AR25" s="465"/>
      <c r="AS25" s="465"/>
      <c r="AT25" s="465"/>
      <c r="AU25" s="466"/>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60"/>
      <c r="D26" s="360"/>
      <c r="E26" s="361"/>
      <c r="F26" s="455"/>
      <c r="G26" s="456"/>
      <c r="H26" s="456"/>
      <c r="I26" s="456"/>
      <c r="J26" s="456"/>
      <c r="K26" s="53" t="str">
        <f>IF(AND('Mapa final'!$AJ$38="Alta",'Mapa final'!$AL$38="Leve"),CONCATENATE("R2C",'Mapa final'!$S$38),"")</f>
        <v/>
      </c>
      <c r="L26" s="54" t="str">
        <f>IF(AND('Mapa final'!$AJ$39="Alta",'Mapa final'!$AL$39="Leve"),CONCATENATE("R2C",'Mapa final'!$S$39),"")</f>
        <v/>
      </c>
      <c r="M26" s="54" t="str">
        <f>IF(AND('Mapa final'!$AJ$40="Alta",'Mapa final'!$AL$40="Leve"),CONCATENATE("R2C",'Mapa final'!$S$40),"")</f>
        <v/>
      </c>
      <c r="N26" s="54" t="str">
        <f>IF(AND('Mapa final'!$AJ$41="Alta",'Mapa final'!$AL$41="Leve"),CONCATENATE("R2C",'Mapa final'!$S$41),"")</f>
        <v/>
      </c>
      <c r="O26" s="54" t="str">
        <f>IF(AND('Mapa final'!$AJ$42="Alta",'Mapa final'!$AL$42="Leve"),CONCATENATE("R2C",'Mapa final'!$S$42),"")</f>
        <v/>
      </c>
      <c r="P26" s="55" t="str">
        <f>IF(AND('Mapa final'!$AJ$43="Alta",'Mapa final'!$AL$43="Leve"),CONCATENATE("R2C",'Mapa final'!$S$43),"")</f>
        <v/>
      </c>
      <c r="Q26" s="53" t="str">
        <f>IF(AND('Mapa final'!$AJ$38="Alta",'Mapa final'!$AL$38="Menor"),CONCATENATE("R2C",'Mapa final'!$S$38),"")</f>
        <v/>
      </c>
      <c r="R26" s="54" t="str">
        <f>IF(AND('Mapa final'!$AJ$39="Alta",'Mapa final'!$AL$39="Menor"),CONCATENATE("R2C",'Mapa final'!$S$39),"")</f>
        <v/>
      </c>
      <c r="S26" s="54" t="str">
        <f>IF(AND('Mapa final'!$AJ$40="Alta",'Mapa final'!$AL$40="Menor"),CONCATENATE("R2C",'Mapa final'!$S$40),"")</f>
        <v/>
      </c>
      <c r="T26" s="54" t="str">
        <f>IF(AND('Mapa final'!$AJ$41="Alta",'Mapa final'!$AL$41="Menor"),CONCATENATE("R2C",'Mapa final'!$S$41),"")</f>
        <v/>
      </c>
      <c r="U26" s="54" t="str">
        <f>IF(AND('Mapa final'!$AJ$42="Alta",'Mapa final'!$AL$42="Menor"),CONCATENATE("R2C",'Mapa final'!$S$42),"")</f>
        <v/>
      </c>
      <c r="V26" s="55" t="str">
        <f>IF(AND('Mapa final'!$AJ$43="Alta",'Mapa final'!$AL$43="Menor"),CONCATENATE("R2C",'Mapa final'!$S$43),"")</f>
        <v/>
      </c>
      <c r="W26" s="38" t="str">
        <f>IF(AND('Mapa final'!$AJ$38="Alta",'Mapa final'!$AL$38="Moderado"),CONCATENATE("R2C",'Mapa final'!$S$38),"")</f>
        <v/>
      </c>
      <c r="X26" s="39" t="str">
        <f>IF(AND('Mapa final'!$AJ$39="Alta",'Mapa final'!$AL$39="Moderado"),CONCATENATE("R2C",'Mapa final'!$S$39),"")</f>
        <v/>
      </c>
      <c r="Y26" s="39" t="str">
        <f>IF(AND('Mapa final'!$AJ$40="Alta",'Mapa final'!$AL$40="Moderado"),CONCATENATE("R2C",'Mapa final'!$S$40),"")</f>
        <v/>
      </c>
      <c r="Z26" s="39" t="str">
        <f>IF(AND('Mapa final'!$AJ$41="Alta",'Mapa final'!$AL$41="Moderado"),CONCATENATE("R2C",'Mapa final'!$S$41),"")</f>
        <v/>
      </c>
      <c r="AA26" s="39" t="str">
        <f>IF(AND('Mapa final'!$AJ$42="Alta",'Mapa final'!$AL$42="Moderado"),CONCATENATE("R2C",'Mapa final'!$S$42),"")</f>
        <v/>
      </c>
      <c r="AB26" s="40" t="str">
        <f>IF(AND('Mapa final'!$AJ$43="Alta",'Mapa final'!$AL$43="Moderado"),CONCATENATE("R2C",'Mapa final'!$S$43),"")</f>
        <v/>
      </c>
      <c r="AC26" s="38" t="str">
        <f>IF(AND('Mapa final'!$AJ$38="Alta",'Mapa final'!$AL$38="Mayor"),CONCATENATE("R2C",'Mapa final'!$S$38),"")</f>
        <v/>
      </c>
      <c r="AD26" s="39" t="str">
        <f>IF(AND('Mapa final'!$AJ$39="Alta",'Mapa final'!$AL$39="Mayor"),CONCATENATE("R2C",'Mapa final'!$S$39),"")</f>
        <v/>
      </c>
      <c r="AE26" s="39" t="str">
        <f>IF(AND('Mapa final'!$AJ$40="Alta",'Mapa final'!$AL$40="Mayor"),CONCATENATE("R2C",'Mapa final'!$S$40),"")</f>
        <v/>
      </c>
      <c r="AF26" s="39" t="str">
        <f>IF(AND('Mapa final'!$AJ$41="Alta",'Mapa final'!$AL$41="Mayor"),CONCATENATE("R2C",'Mapa final'!$S$41),"")</f>
        <v/>
      </c>
      <c r="AG26" s="39" t="str">
        <f>IF(AND('Mapa final'!$AJ$42="Alta",'Mapa final'!$AL$42="Mayor"),CONCATENATE("R2C",'Mapa final'!$S$42),"")</f>
        <v/>
      </c>
      <c r="AH26" s="40" t="str">
        <f>IF(AND('Mapa final'!$AJ$43="Alta",'Mapa final'!$AL$43="Mayor"),CONCATENATE("R2C",'Mapa final'!$S$43),"")</f>
        <v/>
      </c>
      <c r="AI26" s="41" t="str">
        <f>IF(AND('Mapa final'!$AJ$38="Alta",'Mapa final'!$AL$38="Catastrófico"),CONCATENATE("R2C",'Mapa final'!$S$38),"")</f>
        <v/>
      </c>
      <c r="AJ26" s="42" t="str">
        <f>IF(AND('Mapa final'!$AJ$39="Alta",'Mapa final'!$AL$39="Catastrófico"),CONCATENATE("R2C",'Mapa final'!$S$39),"")</f>
        <v/>
      </c>
      <c r="AK26" s="42" t="str">
        <f>IF(AND('Mapa final'!$AJ$40="Alta",'Mapa final'!$AL$40="Catastrófico"),CONCATENATE("R2C",'Mapa final'!$S$40),"")</f>
        <v/>
      </c>
      <c r="AL26" s="42" t="str">
        <f>IF(AND('Mapa final'!$AJ$41="Alta",'Mapa final'!$AL$41="Catastrófico"),CONCATENATE("R2C",'Mapa final'!$S$41),"")</f>
        <v/>
      </c>
      <c r="AM26" s="42" t="str">
        <f>IF(AND('Mapa final'!$AJ$42="Alta",'Mapa final'!$AL$42="Catastrófico"),CONCATENATE("R2C",'Mapa final'!$S$42),"")</f>
        <v/>
      </c>
      <c r="AN26" s="43" t="str">
        <f>IF(AND('Mapa final'!$AJ$43="Alta",'Mapa final'!$AL$43="Catastrófico"),CONCATENATE("R2C",'Mapa final'!$S$43),"")</f>
        <v/>
      </c>
      <c r="AO26" s="69"/>
      <c r="AP26" s="464"/>
      <c r="AQ26" s="465"/>
      <c r="AR26" s="465"/>
      <c r="AS26" s="465"/>
      <c r="AT26" s="465"/>
      <c r="AU26" s="466"/>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60"/>
      <c r="D27" s="360"/>
      <c r="E27" s="361"/>
      <c r="F27" s="455"/>
      <c r="G27" s="456"/>
      <c r="H27" s="456"/>
      <c r="I27" s="456"/>
      <c r="J27" s="456"/>
      <c r="K27" s="53" t="str">
        <f>IF(AND('Mapa final'!$AJ$44="Alta",'Mapa final'!$AL$44="Leve"),CONCATENATE("R2C",'Mapa final'!$S$44),"")</f>
        <v/>
      </c>
      <c r="L27" s="54" t="str">
        <f>IF(AND('Mapa final'!$AJ$45="Alta",'Mapa final'!$AL$45="Leve"),CONCATENATE("R2C",'Mapa final'!$S$45),"")</f>
        <v/>
      </c>
      <c r="M27" s="54" t="str">
        <f>IF(AND('Mapa final'!$AJ$46="Alta",'Mapa final'!$AL$46="Leve"),CONCATENATE("R2C",'Mapa final'!$S$46),"")</f>
        <v/>
      </c>
      <c r="N27" s="54" t="str">
        <f>IF(AND('Mapa final'!$AJ$47="Alta",'Mapa final'!$AL$47="Leve"),CONCATENATE("R2C",'Mapa final'!$S$47),"")</f>
        <v/>
      </c>
      <c r="O27" s="54" t="str">
        <f>IF(AND('Mapa final'!$AJ$48="Alta",'Mapa final'!$AL$48="Leve"),CONCATENATE("R2C",'Mapa final'!$S$48),"")</f>
        <v/>
      </c>
      <c r="P27" s="55" t="str">
        <f>IF(AND('Mapa final'!$AJ$59="Alta",'Mapa final'!$AL$49="Leve"),CONCATENATE("R2C",'Mapa final'!$S$49),"")</f>
        <v/>
      </c>
      <c r="Q27" s="53" t="str">
        <f>IF(AND('Mapa final'!$AJ$44="Alta",'Mapa final'!$AL$44="Menor"),CONCATENATE("R2C",'Mapa final'!$S$44),"")</f>
        <v/>
      </c>
      <c r="R27" s="54" t="str">
        <f>IF(AND('Mapa final'!$AJ$45="Alta",'Mapa final'!$AL$45="Menor"),CONCATENATE("R2C",'Mapa final'!$S$45),"")</f>
        <v/>
      </c>
      <c r="S27" s="54" t="str">
        <f>IF(AND('Mapa final'!$AJ$46="Alta",'Mapa final'!$AL$46="Menor"),CONCATENATE("R2C",'Mapa final'!$S$46),"")</f>
        <v/>
      </c>
      <c r="T27" s="54" t="str">
        <f>IF(AND('Mapa final'!$AJ$47="Alta",'Mapa final'!$AL$47="Menor"),CONCATENATE("R2C",'Mapa final'!$S$47),"")</f>
        <v/>
      </c>
      <c r="U27" s="54" t="str">
        <f>IF(AND('Mapa final'!$AJ$48="Alta",'Mapa final'!$AL$48="Menor"),CONCATENATE("R2C",'Mapa final'!$S$48),"")</f>
        <v/>
      </c>
      <c r="V27" s="55" t="str">
        <f>IF(AND('Mapa final'!$AJ$59="Alta",'Mapa final'!$AL$49="Menor"),CONCATENATE("R2C",'Mapa final'!$S$49),"")</f>
        <v/>
      </c>
      <c r="W27" s="38" t="str">
        <f>IF(AND('Mapa final'!$AJ$44="Alta",'Mapa final'!$AL$44="Moderado"),CONCATENATE("R2C",'Mapa final'!$S$44),"")</f>
        <v/>
      </c>
      <c r="X27" s="39" t="str">
        <f>IF(AND('Mapa final'!$AJ$45="Alta",'Mapa final'!$AL$45="Moderado"),CONCATENATE("R2C",'Mapa final'!$S$45),"")</f>
        <v/>
      </c>
      <c r="Y27" s="39" t="str">
        <f>IF(AND('Mapa final'!$AJ$46="Alta",'Mapa final'!$AL$46="Moderado"),CONCATENATE("R2C",'Mapa final'!$S$46),"")</f>
        <v/>
      </c>
      <c r="Z27" s="39" t="str">
        <f>IF(AND('Mapa final'!$AJ$47="Alta",'Mapa final'!$AL$47="Moderado"),CONCATENATE("R2C",'Mapa final'!$S$47),"")</f>
        <v/>
      </c>
      <c r="AA27" s="39" t="str">
        <f>IF(AND('Mapa final'!$AJ$48="Alta",'Mapa final'!$AL$48="Moderado"),CONCATENATE("R2C",'Mapa final'!$S$48),"")</f>
        <v/>
      </c>
      <c r="AB27" s="40" t="str">
        <f>IF(AND('Mapa final'!$AJ$59="Alta",'Mapa final'!$AL$49="Moderado"),CONCATENATE("R2C",'Mapa final'!$S$49),"")</f>
        <v/>
      </c>
      <c r="AC27" s="38" t="str">
        <f>IF(AND('Mapa final'!$AJ$44="Alta",'Mapa final'!$AL$44="Mayor"),CONCATENATE("R2C",'Mapa final'!$S$44),"")</f>
        <v/>
      </c>
      <c r="AD27" s="39" t="str">
        <f>IF(AND('Mapa final'!$AJ$45="Alta",'Mapa final'!$AL$45="Mayor"),CONCATENATE("R2C",'Mapa final'!$S$45),"")</f>
        <v/>
      </c>
      <c r="AE27" s="39" t="str">
        <f>IF(AND('Mapa final'!$AJ$46="Alta",'Mapa final'!$AL$46="Mayor"),CONCATENATE("R2C",'Mapa final'!$S$46),"")</f>
        <v/>
      </c>
      <c r="AF27" s="39" t="str">
        <f>IF(AND('Mapa final'!$AJ$47="Alta",'Mapa final'!$AL$47="Mayor"),CONCATENATE("R2C",'Mapa final'!$S$47),"")</f>
        <v/>
      </c>
      <c r="AG27" s="39" t="str">
        <f>IF(AND('Mapa final'!$AJ$48="Alta",'Mapa final'!$AL$48="Mayor"),CONCATENATE("R2C",'Mapa final'!$S$48),"")</f>
        <v/>
      </c>
      <c r="AH27" s="40" t="str">
        <f>IF(AND('Mapa final'!$AJ$59="Alta",'Mapa final'!$AL$49="Mayor"),CONCATENATE("R2C",'Mapa final'!$S$49),"")</f>
        <v/>
      </c>
      <c r="AI27" s="41" t="str">
        <f>IF(AND('Mapa final'!$AJ$44="Alta",'Mapa final'!$AL$44="Catastrófico"),CONCATENATE("R2C",'Mapa final'!$S$44),"")</f>
        <v/>
      </c>
      <c r="AJ27" s="42" t="str">
        <f>IF(AND('Mapa final'!$AJ$45="Alta",'Mapa final'!$AL$45="Catastrófico"),CONCATENATE("R2C",'Mapa final'!$S$45),"")</f>
        <v/>
      </c>
      <c r="AK27" s="42" t="str">
        <f>IF(AND('Mapa final'!$AJ$46="Alta",'Mapa final'!$AL$46="Catastrófico"),CONCATENATE("R2C",'Mapa final'!$S$46),"")</f>
        <v/>
      </c>
      <c r="AL27" s="42" t="str">
        <f>IF(AND('Mapa final'!$AJ$47="Alta",'Mapa final'!$AL$47="Catastrófico"),CONCATENATE("R2C",'Mapa final'!$S$47),"")</f>
        <v/>
      </c>
      <c r="AM27" s="42" t="str">
        <f>IF(AND('Mapa final'!$AJ$48="Alta",'Mapa final'!$AL$48="Catastrófico"),CONCATENATE("R2C",'Mapa final'!$S$48),"")</f>
        <v/>
      </c>
      <c r="AN27" s="43" t="str">
        <f>IF(AND('Mapa final'!$AJ$59="Alta",'Mapa final'!$AL$49="Catastrófico"),CONCATENATE("R2C",'Mapa final'!$S$49),"")</f>
        <v/>
      </c>
      <c r="AO27" s="69"/>
      <c r="AP27" s="464"/>
      <c r="AQ27" s="465"/>
      <c r="AR27" s="465"/>
      <c r="AS27" s="465"/>
      <c r="AT27" s="465"/>
      <c r="AU27" s="466"/>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60"/>
      <c r="D28" s="360"/>
      <c r="E28" s="361"/>
      <c r="F28" s="455"/>
      <c r="G28" s="456"/>
      <c r="H28" s="456"/>
      <c r="I28" s="456"/>
      <c r="J28" s="456"/>
      <c r="K28" s="53" t="str">
        <f>IF(AND('Mapa final'!$AJ$50="Alta",'Mapa final'!$AL$50="Leve"),CONCATENATE("R2C",'Mapa final'!$S$50),"")</f>
        <v/>
      </c>
      <c r="L28" s="54" t="str">
        <f>IF(AND('Mapa final'!$AJ$51="Alta",'Mapa final'!$AL$51="Leve"),CONCATENATE("R2C",'Mapa final'!$S$51),"")</f>
        <v/>
      </c>
      <c r="M28" s="54" t="str">
        <f>IF(AND('Mapa final'!$AJ$52="Alta",'Mapa final'!$AL$52="Leve"),CONCATENATE("R2C",'Mapa final'!$S$52),"")</f>
        <v/>
      </c>
      <c r="N28" s="54" t="str">
        <f>IF(AND('Mapa final'!$AJ$53="Alta",'Mapa final'!$AL$53="Leve"),CONCATENATE("R2C",'Mapa final'!$S$53),"")</f>
        <v/>
      </c>
      <c r="O28" s="54" t="str">
        <f>IF(AND('Mapa final'!$AJ$54="Alta",'Mapa final'!$AL$54="Leve"),CONCATENATE("R2C",'Mapa final'!$S$54),"")</f>
        <v/>
      </c>
      <c r="P28" s="55" t="str">
        <f>IF(AND('Mapa final'!$AJ$55="Alta",'Mapa final'!$AL$55="Leve"),CONCATENATE("R2C",'Mapa final'!$S$55),"")</f>
        <v/>
      </c>
      <c r="Q28" s="53" t="str">
        <f>IF(AND('Mapa final'!$AJ$50="Alta",'Mapa final'!$AL$50="Menor"),CONCATENATE("R2C",'Mapa final'!$S$50),"")</f>
        <v/>
      </c>
      <c r="R28" s="54" t="str">
        <f>IF(AND('Mapa final'!$AJ$51="Alta",'Mapa final'!$AL$51="Menor"),CONCATENATE("R2C",'Mapa final'!$S$51),"")</f>
        <v/>
      </c>
      <c r="S28" s="54" t="str">
        <f>IF(AND('Mapa final'!$AJ$52="Alta",'Mapa final'!$AL$52="Menor"),CONCATENATE("R2C",'Mapa final'!$S$52),"")</f>
        <v/>
      </c>
      <c r="T28" s="54" t="str">
        <f>IF(AND('Mapa final'!$AJ$53="Alta",'Mapa final'!$AL$53="Menor"),CONCATENATE("R2C",'Mapa final'!$S$53),"")</f>
        <v/>
      </c>
      <c r="U28" s="54" t="str">
        <f>IF(AND('Mapa final'!$AJ$54="Alta",'Mapa final'!$AL$54="Menor"),CONCATENATE("R2C",'Mapa final'!$S$54),"")</f>
        <v/>
      </c>
      <c r="V28" s="55" t="str">
        <f>IF(AND('Mapa final'!$AJ$55="Alta",'Mapa final'!$AL$55="Menor"),CONCATENATE("R2C",'Mapa final'!$S$55),"")</f>
        <v/>
      </c>
      <c r="W28" s="38" t="str">
        <f>IF(AND('Mapa final'!$AJ$50="Alta",'Mapa final'!$AL$50="Moderado"),CONCATENATE("R2C",'Mapa final'!$S$50),"")</f>
        <v/>
      </c>
      <c r="X28" s="39" t="str">
        <f>IF(AND('Mapa final'!$AJ$51="Alta",'Mapa final'!$AL$51="Moderado"),CONCATENATE("R2C",'Mapa final'!$S$51),"")</f>
        <v/>
      </c>
      <c r="Y28" s="39" t="str">
        <f>IF(AND('Mapa final'!$AJ$52="Alta",'Mapa final'!$AL$52="Moderado"),CONCATENATE("R2C",'Mapa final'!$S$52),"")</f>
        <v/>
      </c>
      <c r="Z28" s="39" t="str">
        <f>IF(AND('Mapa final'!$AJ$53="Alta",'Mapa final'!$AL$53="Moderado"),CONCATENATE("R2C",'Mapa final'!$S$53),"")</f>
        <v/>
      </c>
      <c r="AA28" s="39" t="str">
        <f>IF(AND('Mapa final'!$AJ$54="Alta",'Mapa final'!$AL$54="Moderado"),CONCATENATE("R2C",'Mapa final'!$S$54),"")</f>
        <v/>
      </c>
      <c r="AB28" s="40" t="str">
        <f>IF(AND('Mapa final'!$AJ$55="Alta",'Mapa final'!$AL$55="Moderado"),CONCATENATE("R2C",'Mapa final'!$S$55),"")</f>
        <v/>
      </c>
      <c r="AC28" s="38" t="str">
        <f>IF(AND('Mapa final'!$AJ$50="Alta",'Mapa final'!$AL$50="Mayor"),CONCATENATE("R2C",'Mapa final'!$S$50),"")</f>
        <v/>
      </c>
      <c r="AD28" s="39" t="str">
        <f>IF(AND('Mapa final'!$AJ$51="Alta",'Mapa final'!$AL$51="Mayor"),CONCATENATE("R2C",'Mapa final'!$S$51),"")</f>
        <v/>
      </c>
      <c r="AE28" s="39" t="str">
        <f>IF(AND('Mapa final'!$AJ$52="Alta",'Mapa final'!$AL$52="Mayor"),CONCATENATE("R2C",'Mapa final'!$S$52),"")</f>
        <v/>
      </c>
      <c r="AF28" s="39" t="str">
        <f>IF(AND('Mapa final'!$AJ$53="Alta",'Mapa final'!$AL$53="Mayor"),CONCATENATE("R2C",'Mapa final'!$S$53),"")</f>
        <v/>
      </c>
      <c r="AG28" s="39" t="str">
        <f>IF(AND('Mapa final'!$AJ$54="Alta",'Mapa final'!$AL$54="Mayor"),CONCATENATE("R2C",'Mapa final'!$S$54),"")</f>
        <v/>
      </c>
      <c r="AH28" s="40" t="str">
        <f>IF(AND('Mapa final'!$AJ$55="Alta",'Mapa final'!$AL$55="Mayor"),CONCATENATE("R2C",'Mapa final'!$S$55),"")</f>
        <v/>
      </c>
      <c r="AI28" s="41" t="str">
        <f>IF(AND('Mapa final'!$AJ$50="Alta",'Mapa final'!$AL$50="Catastrófico"),CONCATENATE("R2C",'Mapa final'!$S$50),"")</f>
        <v/>
      </c>
      <c r="AJ28" s="42" t="str">
        <f>IF(AND('Mapa final'!$AJ$51="Alta",'Mapa final'!$AL$51="Catastrófico"),CONCATENATE("R2C",'Mapa final'!$S$51),"")</f>
        <v/>
      </c>
      <c r="AK28" s="42" t="str">
        <f>IF(AND('Mapa final'!$AJ$52="Alta",'Mapa final'!$AL$52="Catastrófico"),CONCATENATE("R2C",'Mapa final'!$S$52),"")</f>
        <v/>
      </c>
      <c r="AL28" s="42" t="str">
        <f>IF(AND('Mapa final'!$AJ$53="Alta",'Mapa final'!$AL$53="Catastrófico"),CONCATENATE("R2C",'Mapa final'!$S$53),"")</f>
        <v/>
      </c>
      <c r="AM28" s="42" t="str">
        <f>IF(AND('Mapa final'!$AJ$54="Alta",'Mapa final'!$AL$54="Catastrófico"),CONCATENATE("R2C",'Mapa final'!$S$54),"")</f>
        <v/>
      </c>
      <c r="AN28" s="43" t="str">
        <f>IF(AND('Mapa final'!$AJ$55="Alta",'Mapa final'!$AL$55="Catastrófico"),CONCATENATE("R2C",'Mapa final'!$S$55),"")</f>
        <v/>
      </c>
      <c r="AO28" s="69"/>
      <c r="AP28" s="464"/>
      <c r="AQ28" s="465"/>
      <c r="AR28" s="465"/>
      <c r="AS28" s="465"/>
      <c r="AT28" s="465"/>
      <c r="AU28" s="466"/>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60"/>
      <c r="D29" s="360"/>
      <c r="E29" s="361"/>
      <c r="F29" s="455"/>
      <c r="G29" s="456"/>
      <c r="H29" s="456"/>
      <c r="I29" s="456"/>
      <c r="J29" s="456"/>
      <c r="K29" s="53" t="str">
        <f>IF(AND('Mapa final'!$AJ$56="Alta",'Mapa final'!$AL$56="Leve"),CONCATENATE("R2C",'Mapa final'!$S$56),"")</f>
        <v/>
      </c>
      <c r="L29" s="54" t="str">
        <f>IF(AND('Mapa final'!$AJ$57="Alta",'Mapa final'!$AL$57="Leve"),CONCATENATE("R2C",'Mapa final'!$S$57),"")</f>
        <v/>
      </c>
      <c r="M29" s="54" t="str">
        <f>IF(AND('Mapa final'!$AJ$58="Alta",'Mapa final'!$AL$58="Leve"),CONCATENATE("R2C",'Mapa final'!$S$58),"")</f>
        <v/>
      </c>
      <c r="N29" s="54" t="str">
        <f>IF(AND('Mapa final'!$AJ$59="Alta",'Mapa final'!$AL$59="Leve"),CONCATENATE("R2C",'Mapa final'!$S$59),"")</f>
        <v/>
      </c>
      <c r="O29" s="54" t="str">
        <f>IF(AND('Mapa final'!$AJ$60="Alta",'Mapa final'!$AL$60="Leve"),CONCATENATE("R2C",'Mapa final'!$S$60),"")</f>
        <v/>
      </c>
      <c r="P29" s="55" t="str">
        <f>IF(AND('Mapa final'!$AJ$61="Alta",'Mapa final'!$AL$61="Leve"),CONCATENATE("R2C",'Mapa final'!$S$61),"")</f>
        <v/>
      </c>
      <c r="Q29" s="53" t="str">
        <f>IF(AND('Mapa final'!$AJ$56="Alta",'Mapa final'!$AL$56="Menor"),CONCATENATE("R2C",'Mapa final'!$S$56),"")</f>
        <v/>
      </c>
      <c r="R29" s="54" t="str">
        <f>IF(AND('Mapa final'!$AJ$57="Alta",'Mapa final'!$AL$57="Menor"),CONCATENATE("R2C",'Mapa final'!$S$57),"")</f>
        <v/>
      </c>
      <c r="S29" s="54" t="str">
        <f>IF(AND('Mapa final'!$AJ$58="Alta",'Mapa final'!$AL$58="Menor"),CONCATENATE("R2C",'Mapa final'!$S$58),"")</f>
        <v/>
      </c>
      <c r="T29" s="54" t="str">
        <f>IF(AND('Mapa final'!$AJ$59="Alta",'Mapa final'!$AL$59="Menor"),CONCATENATE("R2C",'Mapa final'!$S$59),"")</f>
        <v/>
      </c>
      <c r="U29" s="54" t="str">
        <f>IF(AND('Mapa final'!$AJ$60="Alta",'Mapa final'!$AL$60="Menor"),CONCATENATE("R2C",'Mapa final'!$S$60),"")</f>
        <v/>
      </c>
      <c r="V29" s="55" t="str">
        <f>IF(AND('Mapa final'!$AJ$61="Alta",'Mapa final'!$AL$61="Menor"),CONCATENATE("R2C",'Mapa final'!$S$61),"")</f>
        <v/>
      </c>
      <c r="W29" s="38" t="str">
        <f>IF(AND('Mapa final'!$AJ$56="Alta",'Mapa final'!$AL$56="Moderado"),CONCATENATE("R2C",'Mapa final'!$S$56),"")</f>
        <v/>
      </c>
      <c r="X29" s="39" t="str">
        <f>IF(AND('Mapa final'!$AJ$57="Alta",'Mapa final'!$AL$57="Moderado"),CONCATENATE("R2C",'Mapa final'!$S$57),"")</f>
        <v/>
      </c>
      <c r="Y29" s="39" t="str">
        <f>IF(AND('Mapa final'!$AJ$58="Alta",'Mapa final'!$AL$58="Moderado"),CONCATENATE("R2C",'Mapa final'!$S$58),"")</f>
        <v/>
      </c>
      <c r="Z29" s="39" t="str">
        <f>IF(AND('Mapa final'!$AJ$59="Alta",'Mapa final'!$AL$59="Moderado"),CONCATENATE("R2C",'Mapa final'!$S$59),"")</f>
        <v/>
      </c>
      <c r="AA29" s="39" t="str">
        <f>IF(AND('Mapa final'!$AJ$60="Alta",'Mapa final'!$AL$60="Moderado"),CONCATENATE("R2C",'Mapa final'!$S$60),"")</f>
        <v/>
      </c>
      <c r="AB29" s="40" t="str">
        <f>IF(AND('Mapa final'!$AJ$61="Alta",'Mapa final'!$AL$61="Moderado"),CONCATENATE("R2C",'Mapa final'!$S$61),"")</f>
        <v/>
      </c>
      <c r="AC29" s="38" t="str">
        <f>IF(AND('Mapa final'!$AJ$56="Alta",'Mapa final'!$AL$56="Mayor"),CONCATENATE("R2C",'Mapa final'!$S$56),"")</f>
        <v/>
      </c>
      <c r="AD29" s="39" t="str">
        <f>IF(AND('Mapa final'!$AJ$57="Alta",'Mapa final'!$AL$57="Mayor"),CONCATENATE("R2C",'Mapa final'!$S$57),"")</f>
        <v/>
      </c>
      <c r="AE29" s="39" t="str">
        <f>IF(AND('Mapa final'!$AJ$58="Alta",'Mapa final'!$AL$58="Mayor"),CONCATENATE("R2C",'Mapa final'!$S$58),"")</f>
        <v/>
      </c>
      <c r="AF29" s="39" t="str">
        <f>IF(AND('Mapa final'!$AJ$59="Alta",'Mapa final'!$AL$59="Mayor"),CONCATENATE("R2C",'Mapa final'!$S$59),"")</f>
        <v/>
      </c>
      <c r="AG29" s="39" t="str">
        <f>IF(AND('Mapa final'!$AJ$60="Alta",'Mapa final'!$AL$60="Mayor"),CONCATENATE("R2C",'Mapa final'!$S$60),"")</f>
        <v/>
      </c>
      <c r="AH29" s="40" t="str">
        <f>IF(AND('Mapa final'!$AJ$61="Alta",'Mapa final'!$AL$61="Mayor"),CONCATENATE("R2C",'Mapa final'!$S$61),"")</f>
        <v/>
      </c>
      <c r="AI29" s="41" t="str">
        <f>IF(AND('Mapa final'!$AJ$56="Alta",'Mapa final'!$AL$56="Catastrófico"),CONCATENATE("R2C",'Mapa final'!$S$56),"")</f>
        <v/>
      </c>
      <c r="AJ29" s="42" t="str">
        <f>IF(AND('Mapa final'!$AJ$57="Alta",'Mapa final'!$AL$57="Catastrófico"),CONCATENATE("R2C",'Mapa final'!$S$57),"")</f>
        <v/>
      </c>
      <c r="AK29" s="42" t="str">
        <f>IF(AND('Mapa final'!$AJ$58="Alta",'Mapa final'!$AL$58="Catastrófico"),CONCATENATE("R2C",'Mapa final'!$S$58),"")</f>
        <v/>
      </c>
      <c r="AL29" s="42" t="str">
        <f>IF(AND('Mapa final'!$AJ$59="Alta",'Mapa final'!$AL$59="Catastrófico"),CONCATENATE("R2C",'Mapa final'!$S$59),"")</f>
        <v/>
      </c>
      <c r="AM29" s="42" t="str">
        <f>IF(AND('Mapa final'!$AJ$60="Alta",'Mapa final'!$AL$60="Catastrófico"),CONCATENATE("R2C",'Mapa final'!$S$60),"")</f>
        <v/>
      </c>
      <c r="AN29" s="43" t="str">
        <f>IF(AND('Mapa final'!$AJ$61="Alta",'Mapa final'!$AL$61="Catastrófico"),CONCATENATE("R2C",'Mapa final'!$S$61),"")</f>
        <v/>
      </c>
      <c r="AO29" s="69"/>
      <c r="AP29" s="464"/>
      <c r="AQ29" s="465"/>
      <c r="AR29" s="465"/>
      <c r="AS29" s="465"/>
      <c r="AT29" s="465"/>
      <c r="AU29" s="466"/>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60"/>
      <c r="D30" s="360"/>
      <c r="E30" s="361"/>
      <c r="F30" s="455"/>
      <c r="G30" s="456"/>
      <c r="H30" s="456"/>
      <c r="I30" s="456"/>
      <c r="J30" s="456"/>
      <c r="K30" s="53" t="str">
        <f>IF(AND('Mapa final'!$AJ$62="Alta",'Mapa final'!$AL$62="Leve"),CONCATENATE("R2C",'Mapa final'!$S$62),"")</f>
        <v/>
      </c>
      <c r="L30" s="54" t="str">
        <f>IF(AND('Mapa final'!$AJ$63="Alta",'Mapa final'!$AL$63="Leve"),CONCATENATE("R2C",'Mapa final'!$S$63),"")</f>
        <v/>
      </c>
      <c r="M30" s="54" t="str">
        <f>IF(AND('Mapa final'!$AJ$64="Alta",'Mapa final'!$AL$64="Leve"),CONCATENATE("R2C",'Mapa final'!$S$64),"")</f>
        <v/>
      </c>
      <c r="N30" s="54" t="str">
        <f>IF(AND('Mapa final'!$AJ$65="Alta",'Mapa final'!$AL$65="Leve"),CONCATENATE("R2C",'Mapa final'!$S$65),"")</f>
        <v/>
      </c>
      <c r="O30" s="54" t="str">
        <f>IF(AND('Mapa final'!$AJ$66="Alta",'Mapa final'!$AL$66="Leve"),CONCATENATE("R2C",'Mapa final'!$S$66),"")</f>
        <v/>
      </c>
      <c r="P30" s="55" t="str">
        <f>IF(AND('Mapa final'!$AJ$67="Alta",'Mapa final'!$AL$67="Leve"),CONCATENATE("R2C",'Mapa final'!$S$67),"")</f>
        <v/>
      </c>
      <c r="Q30" s="53" t="str">
        <f>IF(AND('Mapa final'!$AJ$62="Alta",'Mapa final'!$AL$62="Menor"),CONCATENATE("R2C",'Mapa final'!$S$62),"")</f>
        <v/>
      </c>
      <c r="R30" s="54" t="str">
        <f>IF(AND('Mapa final'!$AJ$63="Alta",'Mapa final'!$AL$63="Menor"),CONCATENATE("R2C",'Mapa final'!$S$63),"")</f>
        <v/>
      </c>
      <c r="S30" s="54" t="str">
        <f>IF(AND('Mapa final'!$AJ$64="Alta",'Mapa final'!$AL$64="Menor"),CONCATENATE("R2C",'Mapa final'!$S$64),"")</f>
        <v/>
      </c>
      <c r="T30" s="54" t="str">
        <f>IF(AND('Mapa final'!$AJ$65="Alta",'Mapa final'!$AL$65="Menor"),CONCATENATE("R2C",'Mapa final'!$S$65),"")</f>
        <v/>
      </c>
      <c r="U30" s="54" t="str">
        <f>IF(AND('Mapa final'!$AJ$66="Alta",'Mapa final'!$AL$66="Menor"),CONCATENATE("R2C",'Mapa final'!$S$66),"")</f>
        <v/>
      </c>
      <c r="V30" s="55" t="str">
        <f>IF(AND('Mapa final'!$AJ$67="Alta",'Mapa final'!$AL$67="Menor"),CONCATENATE("R2C",'Mapa final'!$S$67),"")</f>
        <v/>
      </c>
      <c r="W30" s="38" t="str">
        <f>IF(AND('Mapa final'!$AJ$62="Alta",'Mapa final'!$AL$62="Moderado"),CONCATENATE("R2C",'Mapa final'!$S$62),"")</f>
        <v/>
      </c>
      <c r="X30" s="39" t="str">
        <f>IF(AND('Mapa final'!$AJ$63="Alta",'Mapa final'!$AL$63="Moderado"),CONCATENATE("R2C",'Mapa final'!$S$63),"")</f>
        <v/>
      </c>
      <c r="Y30" s="39" t="str">
        <f>IF(AND('Mapa final'!$AJ$64="Alta",'Mapa final'!$AL$64="Moderado"),CONCATENATE("R2C",'Mapa final'!$S$64),"")</f>
        <v/>
      </c>
      <c r="Z30" s="39" t="str">
        <f>IF(AND('Mapa final'!$AJ$65="Alta",'Mapa final'!$AL$65="Moderado"),CONCATENATE("R2C",'Mapa final'!$S$65),"")</f>
        <v/>
      </c>
      <c r="AA30" s="39" t="str">
        <f>IF(AND('Mapa final'!$AJ$66="Alta",'Mapa final'!$AL$66="Moderado"),CONCATENATE("R2C",'Mapa final'!$S$66),"")</f>
        <v/>
      </c>
      <c r="AB30" s="40" t="str">
        <f>IF(AND('Mapa final'!$AJ$67="Alta",'Mapa final'!$AL$67="Moderado"),CONCATENATE("R2C",'Mapa final'!$S$67),"")</f>
        <v/>
      </c>
      <c r="AC30" s="38" t="str">
        <f>IF(AND('Mapa final'!$AJ$62="Alta",'Mapa final'!$AL$62="Mayor"),CONCATENATE("R2C",'Mapa final'!$S$62),"")</f>
        <v/>
      </c>
      <c r="AD30" s="39" t="str">
        <f>IF(AND('Mapa final'!$AJ$63="Alta",'Mapa final'!$AL$63="Mayor"),CONCATENATE("R2C",'Mapa final'!$S$63),"")</f>
        <v/>
      </c>
      <c r="AE30" s="39" t="str">
        <f>IF(AND('Mapa final'!$AJ$64="Alta",'Mapa final'!$AL$64="Mayor"),CONCATENATE("R2C",'Mapa final'!$S$64),"")</f>
        <v/>
      </c>
      <c r="AF30" s="39" t="str">
        <f>IF(AND('Mapa final'!$AJ$65="Alta",'Mapa final'!$AL$65="Mayor"),CONCATENATE("R2C",'Mapa final'!$S$65),"")</f>
        <v/>
      </c>
      <c r="AG30" s="39" t="str">
        <f>IF(AND('Mapa final'!$AJ$66="Alta",'Mapa final'!$AL$66="Mayor"),CONCATENATE("R2C",'Mapa final'!$S$66),"")</f>
        <v/>
      </c>
      <c r="AH30" s="40" t="str">
        <f>IF(AND('Mapa final'!$AJ$67="Alta",'Mapa final'!$AL$67="Mayor"),CONCATENATE("R2C",'Mapa final'!$S$67),"")</f>
        <v/>
      </c>
      <c r="AI30" s="41" t="str">
        <f>IF(AND('Mapa final'!$AJ$62="Alta",'Mapa final'!$AL$62="Catastrófico"),CONCATENATE("R2C",'Mapa final'!$S$62),"")</f>
        <v/>
      </c>
      <c r="AJ30" s="42" t="str">
        <f>IF(AND('Mapa final'!$AJ$63="Alta",'Mapa final'!$AL$63="Catastrófico"),CONCATENATE("R2C",'Mapa final'!$S$63),"")</f>
        <v/>
      </c>
      <c r="AK30" s="42" t="str">
        <f>IF(AND('Mapa final'!$AJ$64="Alta",'Mapa final'!$AL$64="Catastrófico"),CONCATENATE("R2C",'Mapa final'!$S$64),"")</f>
        <v/>
      </c>
      <c r="AL30" s="42" t="str">
        <f>IF(AND('Mapa final'!$AJ$65="Alta",'Mapa final'!$AL$65="Catastrófico"),CONCATENATE("R2C",'Mapa final'!$S$65),"")</f>
        <v/>
      </c>
      <c r="AM30" s="42" t="str">
        <f>IF(AND('Mapa final'!$AJ$66="Alta",'Mapa final'!$AL$66="Catastrófico"),CONCATENATE("R2C",'Mapa final'!$S$66),"")</f>
        <v/>
      </c>
      <c r="AN30" s="43" t="str">
        <f>IF(AND('Mapa final'!$AJ$67="Alta",'Mapa final'!$AL$67="Catastrófico"),CONCATENATE("R2C",'Mapa final'!$S$67),"")</f>
        <v/>
      </c>
      <c r="AO30" s="69"/>
      <c r="AP30" s="464"/>
      <c r="AQ30" s="465"/>
      <c r="AR30" s="465"/>
      <c r="AS30" s="465"/>
      <c r="AT30" s="465"/>
      <c r="AU30" s="466"/>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60"/>
      <c r="D31" s="360"/>
      <c r="E31" s="361"/>
      <c r="F31" s="458"/>
      <c r="G31" s="459"/>
      <c r="H31" s="459"/>
      <c r="I31" s="459"/>
      <c r="J31" s="459"/>
      <c r="K31" s="56" t="str">
        <f>IF(AND('Mapa final'!$AJ$68="Alta",'Mapa final'!$AL$68="Leve"),CONCATENATE("R2C",'Mapa final'!$S$68),"")</f>
        <v/>
      </c>
      <c r="L31" s="57" t="str">
        <f>IF(AND('Mapa final'!$AJ$69="Alta",'Mapa final'!$AL$69="Leve"),CONCATENATE("R2C",'Mapa final'!$S$69),"")</f>
        <v/>
      </c>
      <c r="M31" s="57" t="str">
        <f>IF(AND('Mapa final'!$AJ$70="Alta",'Mapa final'!$AL$70="Leve"),CONCATENATE("R2C",'Mapa final'!$S$70),"")</f>
        <v/>
      </c>
      <c r="N31" s="57" t="str">
        <f>IF(AND('Mapa final'!$AJ$71="Alta",'Mapa final'!$AL$71="Leve"),CONCATENATE("R2C",'Mapa final'!$S$71),"")</f>
        <v/>
      </c>
      <c r="O31" s="57" t="str">
        <f>IF(AND('Mapa final'!$AJ$73="Alta",'Mapa final'!$AL$73="Leve"),CONCATENATE("R2C",'Mapa final'!$S$73),"")</f>
        <v/>
      </c>
      <c r="P31" s="58" t="str">
        <f>IF(AND('Mapa final'!$AJ$74="Alta",'Mapa final'!$AL$74="Leve"),CONCATENATE("R2C",'Mapa final'!$S$74),"")</f>
        <v/>
      </c>
      <c r="Q31" s="56" t="str">
        <f>IF(AND('Mapa final'!$AJ$68="Alta",'Mapa final'!$AL$68="Menor"),CONCATENATE("R2C",'Mapa final'!$S$68),"")</f>
        <v/>
      </c>
      <c r="R31" s="57" t="str">
        <f>IF(AND('Mapa final'!$AJ$69="Alta",'Mapa final'!$AL$69="Menor"),CONCATENATE("R2C",'Mapa final'!$S$69),"")</f>
        <v/>
      </c>
      <c r="S31" s="57" t="str">
        <f>IF(AND('Mapa final'!$AJ$70="Alta",'Mapa final'!$AL$70="Menor"),CONCATENATE("R2C",'Mapa final'!$S$70),"")</f>
        <v/>
      </c>
      <c r="T31" s="57" t="str">
        <f>IF(AND('Mapa final'!$AJ$71="Alta",'Mapa final'!$AL$71="Menor"),CONCATENATE("R2C",'Mapa final'!$S$71),"")</f>
        <v/>
      </c>
      <c r="U31" s="57" t="str">
        <f>IF(AND('Mapa final'!$AJ$73="Alta",'Mapa final'!$AL$73="Menor"),CONCATENATE("R2C",'Mapa final'!$S$73),"")</f>
        <v/>
      </c>
      <c r="V31" s="58" t="str">
        <f>IF(AND('Mapa final'!$AJ$74="Alta",'Mapa final'!$AL$74="Menor"),CONCATENATE("R2C",'Mapa final'!$S$74),"")</f>
        <v/>
      </c>
      <c r="W31" s="44" t="str">
        <f>IF(AND('Mapa final'!$AJ$68="Alta",'Mapa final'!$AL$68="Moderado"),CONCATENATE("R2C",'Mapa final'!$S$68),"")</f>
        <v/>
      </c>
      <c r="X31" s="45" t="str">
        <f>IF(AND('Mapa final'!$AJ$69="Alta",'Mapa final'!$AL$69="Moderado"),CONCATENATE("R2C",'Mapa final'!$S$69),"")</f>
        <v/>
      </c>
      <c r="Y31" s="45" t="str">
        <f>IF(AND('Mapa final'!$AJ$70="Alta",'Mapa final'!$AL$70="Moderado"),CONCATENATE("R2C",'Mapa final'!$S$70),"")</f>
        <v/>
      </c>
      <c r="Z31" s="45" t="str">
        <f>IF(AND('Mapa final'!$AJ$71="Alta",'Mapa final'!$AL$71="Moderado"),CONCATENATE("R2C",'Mapa final'!$S$71),"")</f>
        <v/>
      </c>
      <c r="AA31" s="45" t="str">
        <f>IF(AND('Mapa final'!$AJ$73="Alta",'Mapa final'!$AL$73="Moderado"),CONCATENATE("R2C",'Mapa final'!$S$73),"")</f>
        <v/>
      </c>
      <c r="AB31" s="46" t="str">
        <f>IF(AND('Mapa final'!$AJ$74="Alta",'Mapa final'!$AL$74="Moderado"),CONCATENATE("R2C",'Mapa final'!$S$74),"")</f>
        <v/>
      </c>
      <c r="AC31" s="44" t="str">
        <f>IF(AND('Mapa final'!$AJ$68="Alta",'Mapa final'!$AL$68="Mayor"),CONCATENATE("R2C",'Mapa final'!$S$68),"")</f>
        <v/>
      </c>
      <c r="AD31" s="45" t="str">
        <f>IF(AND('Mapa final'!$AJ$69="Alta",'Mapa final'!$AL$69="Mayor"),CONCATENATE("R2C",'Mapa final'!$S$69),"")</f>
        <v/>
      </c>
      <c r="AE31" s="45" t="str">
        <f>IF(AND('Mapa final'!$AJ$70="Alta",'Mapa final'!$AL$70="Mayor"),CONCATENATE("R2C",'Mapa final'!$S$70),"")</f>
        <v/>
      </c>
      <c r="AF31" s="45" t="str">
        <f>IF(AND('Mapa final'!$AJ$71="Alta",'Mapa final'!$AL$71="Mayor"),CONCATENATE("R2C",'Mapa final'!$S$71),"")</f>
        <v/>
      </c>
      <c r="AG31" s="45" t="str">
        <f>IF(AND('Mapa final'!$AJ$73="Alta",'Mapa final'!$AL$73="Mayor"),CONCATENATE("R2C",'Mapa final'!$S$73),"")</f>
        <v/>
      </c>
      <c r="AH31" s="46" t="str">
        <f>IF(AND('Mapa final'!$AJ$74="Alta",'Mapa final'!$AL$74="Mayor"),CONCATENATE("R2C",'Mapa final'!$S$74),"")</f>
        <v/>
      </c>
      <c r="AI31" s="47" t="str">
        <f>IF(AND('Mapa final'!$AJ$68="Alta",'Mapa final'!$AL$68="Catastrófico"),CONCATENATE("R2C",'Mapa final'!$S$68),"")</f>
        <v/>
      </c>
      <c r="AJ31" s="48" t="str">
        <f>IF(AND('Mapa final'!$AJ$69="Alta",'Mapa final'!$AL$69="Catastrófico"),CONCATENATE("R2C",'Mapa final'!$S$69),"")</f>
        <v/>
      </c>
      <c r="AK31" s="48" t="str">
        <f>IF(AND('Mapa final'!$AJ$70="Alta",'Mapa final'!$AL$70="Catastrófico"),CONCATENATE("R2C",'Mapa final'!$S$70),"")</f>
        <v/>
      </c>
      <c r="AL31" s="48" t="str">
        <f>IF(AND('Mapa final'!$AJ$71="Alta",'Mapa final'!$AL$71="Catastrófico"),CONCATENATE("R2C",'Mapa final'!$S$71),"")</f>
        <v/>
      </c>
      <c r="AM31" s="48" t="str">
        <f>IF(AND('Mapa final'!$AJ$73="Alta",'Mapa final'!$AL$73="Catastrófico"),CONCATENATE("R2C",'Mapa final'!$S$73),"")</f>
        <v/>
      </c>
      <c r="AN31" s="49" t="str">
        <f>IF(AND('Mapa final'!$AJ$74="Muy Alta",'Mapa final'!$AL$74="Catastrófico"),CONCATENATE("R2C",'Mapa final'!$S$74),"")</f>
        <v/>
      </c>
      <c r="AO31" s="69"/>
      <c r="AP31" s="467"/>
      <c r="AQ31" s="468"/>
      <c r="AR31" s="468"/>
      <c r="AS31" s="468"/>
      <c r="AT31" s="468"/>
      <c r="AU31" s="4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60"/>
      <c r="D32" s="360"/>
      <c r="E32" s="361"/>
      <c r="F32" s="452" t="s">
        <v>116</v>
      </c>
      <c r="G32" s="453"/>
      <c r="H32" s="453"/>
      <c r="I32" s="453"/>
      <c r="J32" s="454"/>
      <c r="K32" s="50" t="str">
        <f ca="1">IF(AND('Mapa final'!$AJ$15="Media",'Mapa final'!$AL$15="Leve"),CONCATENATE("R2C",'Mapa final'!$S$15),"")</f>
        <v/>
      </c>
      <c r="L32" s="51"/>
      <c r="M32" s="51"/>
      <c r="N32" s="51"/>
      <c r="O32" s="51"/>
      <c r="P32" s="52"/>
      <c r="Q32" s="50"/>
      <c r="R32" s="51"/>
      <c r="S32" s="51"/>
      <c r="T32" s="51"/>
      <c r="U32" s="51"/>
      <c r="V32" s="52"/>
      <c r="W32" s="50"/>
      <c r="X32" s="51"/>
      <c r="Y32" s="51"/>
      <c r="Z32" s="51"/>
      <c r="AA32" s="51"/>
      <c r="AB32" s="52"/>
      <c r="AC32" s="32"/>
      <c r="AD32" s="33"/>
      <c r="AE32" s="33"/>
      <c r="AF32" s="33"/>
      <c r="AG32" s="33"/>
      <c r="AH32" s="34"/>
      <c r="AI32" s="35"/>
      <c r="AJ32" s="36"/>
      <c r="AK32" s="36"/>
      <c r="AL32" s="36"/>
      <c r="AM32" s="36" t="str">
        <f ca="1">IF(AND('Mapa final'!$AJ$18="Media",'Mapa final'!$AL$18="Catastrófico"),CONCATENATE("R2C",'Mapa final'!$S$18),"")</f>
        <v/>
      </c>
      <c r="AN32" s="37" t="str">
        <f>IF(AND('Mapa final'!$AJ$19="Media",'Mapa final'!$AL$19="Catastrófico"),CONCATENATE("R2C",'Mapa final'!$S$19),"")</f>
        <v/>
      </c>
      <c r="AO32" s="69"/>
      <c r="AP32" s="493" t="s">
        <v>80</v>
      </c>
      <c r="AQ32" s="494"/>
      <c r="AR32" s="494"/>
      <c r="AS32" s="494"/>
      <c r="AT32" s="494"/>
      <c r="AU32" s="495"/>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60"/>
      <c r="D33" s="360"/>
      <c r="E33" s="361"/>
      <c r="F33" s="470"/>
      <c r="G33" s="456"/>
      <c r="H33" s="456"/>
      <c r="I33" s="456"/>
      <c r="J33" s="457"/>
      <c r="K33" s="53" t="str">
        <f>IF(AND('Mapa final'!$AJ$20="Media",'Mapa final'!$AL$20="Leve"),CONCATENATE("R2C",'Mapa final'!$S$20),"")</f>
        <v/>
      </c>
      <c r="L33" s="54" t="str">
        <f>IF(AND('Mapa final'!$AJ$21="Media",'Mapa final'!$AL$21="Leve"),CONCATENATE("R2C",'Mapa final'!$S$21),"")</f>
        <v/>
      </c>
      <c r="M33" s="54" t="str">
        <f>IF(AND('Mapa final'!$AJ$22="Media",'Mapa final'!$AL$22="Leve"),CONCATENATE("R2C",'Mapa final'!$S$22),"")</f>
        <v/>
      </c>
      <c r="N33" s="54" t="str">
        <f>IF(AND('Mapa final'!$AJ$23="Media",'Mapa final'!$AL$23="Leve"),CONCATENATE("R2C",'Mapa final'!$S$23),"")</f>
        <v/>
      </c>
      <c r="O33" s="54" t="str">
        <f>IF(AND('Mapa final'!$AJ$24="Media",'Mapa final'!$AL$24="Leve"),CONCATENATE("R2C",'Mapa final'!$S$24),"")</f>
        <v/>
      </c>
      <c r="P33" s="55" t="str">
        <f>IF(AND('Mapa final'!$AJ$25="Media",'Mapa final'!$AL$25="Leve"),CONCATENATE("R2C",'Mapa final'!$S$25),"")</f>
        <v/>
      </c>
      <c r="Q33" s="53" t="str">
        <f>IF(AND('Mapa final'!$AJ$20="Media",'Mapa final'!$AL$20="Menor"),CONCATENATE("R2C",'Mapa final'!$S$20),"")</f>
        <v/>
      </c>
      <c r="R33" s="54" t="str">
        <f>IF(AND('Mapa final'!$AJ$21="Media",'Mapa final'!$AL$21="Menor"),CONCATENATE("R2C",'Mapa final'!$S$21),"")</f>
        <v/>
      </c>
      <c r="S33" s="54" t="str">
        <f>IF(AND('Mapa final'!$AJ$22="Media",'Mapa final'!$AL$22="Menor"),CONCATENATE("R2C",'Mapa final'!$S$22),"")</f>
        <v/>
      </c>
      <c r="T33" s="54" t="str">
        <f>IF(AND('Mapa final'!$AJ$23="Media",'Mapa final'!$AL$23="Menor"),CONCATENATE("R2C",'Mapa final'!$S$23),"")</f>
        <v/>
      </c>
      <c r="U33" s="54" t="str">
        <f>IF(AND('Mapa final'!$AJ$24="Media",'Mapa final'!$AL$24="Menor"),CONCATENATE("R2C",'Mapa final'!$S$24),"")</f>
        <v/>
      </c>
      <c r="V33" s="55" t="str">
        <f>IF(AND('Mapa final'!$AJ$25="Media",'Mapa final'!$AL$25="Menor"),CONCATENATE("R2C",'Mapa final'!$S$25),"")</f>
        <v/>
      </c>
      <c r="W33" s="53" t="str">
        <f>IF(AND('Mapa final'!$AJ$20="Media",'Mapa final'!$AL$20="Moderado"),CONCATENATE("R2C",'Mapa final'!$S$20),"")</f>
        <v/>
      </c>
      <c r="X33" s="54" t="str">
        <f>IF(AND('Mapa final'!$AJ$21="Media",'Mapa final'!$AL$21="Moderado"),CONCATENATE("R2C",'Mapa final'!$S$21),"")</f>
        <v/>
      </c>
      <c r="Y33" s="54" t="str">
        <f>IF(AND('Mapa final'!$AJ$22="Media",'Mapa final'!$AL$22="Moderado"),CONCATENATE("R2C",'Mapa final'!$S$22),"")</f>
        <v/>
      </c>
      <c r="Z33" s="54" t="str">
        <f>IF(AND('Mapa final'!$AJ$23="Media",'Mapa final'!$AL$23="Moderado"),CONCATENATE("R2C",'Mapa final'!$S$23),"")</f>
        <v/>
      </c>
      <c r="AA33" s="54" t="str">
        <f>IF(AND('Mapa final'!$AJ$24="Media",'Mapa final'!$AL$24="Moderado"),CONCATENATE("R2C",'Mapa final'!$S$24),"")</f>
        <v/>
      </c>
      <c r="AB33" s="55" t="str">
        <f>IF(AND('Mapa final'!$AJ$25="Media",'Mapa final'!$AL$25="Moderado"),CONCATENATE("R2C",'Mapa final'!$S$25),"")</f>
        <v/>
      </c>
      <c r="AC33" s="38" t="str">
        <f>IF(AND('Mapa final'!$AJ$20="Media",'Mapa final'!$AL$20="Mayor"),CONCATENATE("R2C",'Mapa final'!$S$20),"")</f>
        <v/>
      </c>
      <c r="AD33" s="39" t="str">
        <f>IF(AND('Mapa final'!$AJ$21="Muy Alta",'Mapa final'!$AL$21="Mayor"),CONCATENATE("R2C",'Mapa final'!$S$21),"")</f>
        <v/>
      </c>
      <c r="AE33" s="39" t="str">
        <f>IF(AND('Mapa final'!$AJ$22="Media",'Mapa final'!$AL$22="Mayor"),CONCATENATE("R2C",'Mapa final'!$S$22),"")</f>
        <v/>
      </c>
      <c r="AF33" s="39" t="str">
        <f>IF(AND('Mapa final'!$AJ$23="Media",'Mapa final'!$AL$23="Mayor"),CONCATENATE("R2C",'Mapa final'!$S$23),"")</f>
        <v/>
      </c>
      <c r="AG33" s="39" t="str">
        <f>IF(AND('Mapa final'!$AJ$24="Media",'Mapa final'!$AL$24="Mayor"),CONCATENATE("R2C",'Mapa final'!$S$24),"")</f>
        <v/>
      </c>
      <c r="AH33" s="40" t="str">
        <f>IF(AND('Mapa final'!$AJ$25="Media",'Mapa final'!$AL$25="Mayor"),CONCATENATE("R2C",'Mapa final'!$S$25),"")</f>
        <v/>
      </c>
      <c r="AI33" s="41" t="str">
        <f>IF(AND('Mapa final'!$AJ$20="Media",'Mapa final'!$AL$20="Catastrófico"),CONCATENATE("R2C",'Mapa final'!$S$20),"")</f>
        <v/>
      </c>
      <c r="AJ33" s="42" t="str">
        <f>IF(AND('Mapa final'!$AJ$21="Media",'Mapa final'!$AL$21="Catastrófico"),CONCATENATE("R2C",'Mapa final'!$S$21),"")</f>
        <v/>
      </c>
      <c r="AK33" s="42" t="str">
        <f>IF(AND('Mapa final'!$AJ$22="Media",'Mapa final'!$AL$22="Catastrófico"),CONCATENATE("R2C",'Mapa final'!$S$22),"")</f>
        <v/>
      </c>
      <c r="AL33" s="42" t="str">
        <f>IF(AND('Mapa final'!$AJ$23="Media",'Mapa final'!$AL$23="Catastrófico"),CONCATENATE("R2C",'Mapa final'!$S$23),"")</f>
        <v/>
      </c>
      <c r="AM33" s="42" t="str">
        <f>IF(AND('Mapa final'!$AJ$24="Media",'Mapa final'!$AL$24="Catastrófico"),CONCATENATE("R2C",'Mapa final'!$S$24),"")</f>
        <v/>
      </c>
      <c r="AN33" s="43" t="str">
        <f>IF(AND('Mapa final'!$AJ$25="Media",'Mapa final'!$AL$25="Catastrófico"),CONCATENATE("R2C",'Mapa final'!$S$25),"")</f>
        <v/>
      </c>
      <c r="AO33" s="69"/>
      <c r="AP33" s="496"/>
      <c r="AQ33" s="497"/>
      <c r="AR33" s="497"/>
      <c r="AS33" s="497"/>
      <c r="AT33" s="497"/>
      <c r="AU33" s="498"/>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60"/>
      <c r="D34" s="360"/>
      <c r="E34" s="361"/>
      <c r="F34" s="455"/>
      <c r="G34" s="456"/>
      <c r="H34" s="456"/>
      <c r="I34" s="456"/>
      <c r="J34" s="457"/>
      <c r="K34" s="53" t="str">
        <f>IF(AND('Mapa final'!$AJ$26="Media",'Mapa final'!$AL$26="Leve"),CONCATENATE("R2C",'Mapa final'!$S$26),"")</f>
        <v/>
      </c>
      <c r="L34" s="54" t="str">
        <f>IF(AND('Mapa final'!$AJ$27="Media",'Mapa final'!$AL$27="Leve"),CONCATENATE("R2C",'Mapa final'!$S$27),"")</f>
        <v/>
      </c>
      <c r="M34" s="54" t="str">
        <f>IF(AND('Mapa final'!$AJ$28="Media",'Mapa final'!$AL$28="Leve"),CONCATENATE("R2C",'Mapa final'!$S$28),"")</f>
        <v/>
      </c>
      <c r="N34" s="54" t="str">
        <f>IF(AND('Mapa final'!$AJ$29="Media",'Mapa final'!$AL$29="Leve"),CONCATENATE("R2C",'Mapa final'!$S$29),"")</f>
        <v/>
      </c>
      <c r="O34" s="54" t="str">
        <f>IF(AND('Mapa final'!$AJ$30="Media",'Mapa final'!$AL$30="Leve"),CONCATENATE("R2C",'Mapa final'!$S$30),"")</f>
        <v/>
      </c>
      <c r="P34" s="55" t="str">
        <f>IF(AND('Mapa final'!$AJ$31="Media",'Mapa final'!$AL$31="Leve"),CONCATENATE("R2C",'Mapa final'!$S$31),"")</f>
        <v/>
      </c>
      <c r="Q34" s="53" t="str">
        <f>IF(AND('Mapa final'!$AJ$26="Media",'Mapa final'!$AL$26="Menor"),CONCATENATE("R2C",'Mapa final'!$S$26),"")</f>
        <v/>
      </c>
      <c r="R34" s="54" t="str">
        <f>IF(AND('Mapa final'!$AJ$27="Media",'Mapa final'!$AL$27="Menor"),CONCATENATE("R2C",'Mapa final'!$S$27),"")</f>
        <v/>
      </c>
      <c r="S34" s="54" t="str">
        <f>IF(AND('Mapa final'!$AJ$28="Media",'Mapa final'!$AL$28="Menor"),CONCATENATE("R2C",'Mapa final'!$S$28),"")</f>
        <v/>
      </c>
      <c r="T34" s="54" t="str">
        <f>IF(AND('Mapa final'!$AJ$29="Media",'Mapa final'!$AL$29="Menor"),CONCATENATE("R2C",'Mapa final'!$S$29),"")</f>
        <v/>
      </c>
      <c r="U34" s="54" t="str">
        <f>IF(AND('Mapa final'!$AJ$30="Media",'Mapa final'!$AL$30="Menor"),CONCATENATE("R2C",'Mapa final'!$S$30),"")</f>
        <v/>
      </c>
      <c r="V34" s="55" t="str">
        <f>IF(AND('Mapa final'!$AJ$31="Media",'Mapa final'!$AL$31="Menor"),CONCATENATE("R2C",'Mapa final'!$S$31),"")</f>
        <v/>
      </c>
      <c r="W34" s="53" t="str">
        <f>IF(AND('Mapa final'!$AJ$26="Media",'Mapa final'!$AL$26="Moderado"),CONCATENATE("R2C",'Mapa final'!$S$26),"")</f>
        <v/>
      </c>
      <c r="X34" s="54" t="str">
        <f>IF(AND('Mapa final'!$AJ$27="Media",'Mapa final'!$AL$27="Moderado"),CONCATENATE("R2C",'Mapa final'!$S$27),"")</f>
        <v/>
      </c>
      <c r="Y34" s="54" t="str">
        <f>IF(AND('Mapa final'!$AJ$28="Media",'Mapa final'!$AL$28="Moderado"),CONCATENATE("R2C",'Mapa final'!$S$28),"")</f>
        <v/>
      </c>
      <c r="Z34" s="54" t="str">
        <f>IF(AND('Mapa final'!$AJ$29="Media",'Mapa final'!$AL$29="Moderado"),CONCATENATE("R2C",'Mapa final'!$S$29),"")</f>
        <v/>
      </c>
      <c r="AA34" s="54" t="str">
        <f>IF(AND('Mapa final'!$AJ$30="Media",'Mapa final'!$AL$30="Moderado"),CONCATENATE("R2C",'Mapa final'!$S$30),"")</f>
        <v/>
      </c>
      <c r="AB34" s="55" t="str">
        <f>IF(AND('Mapa final'!$AJ$31="Media",'Mapa final'!$AL$31="Moderado"),CONCATENATE("R2C",'Mapa final'!$S$31),"")</f>
        <v/>
      </c>
      <c r="AC34" s="38" t="str">
        <f>IF(AND('Mapa final'!$AJ$26="Media",'Mapa final'!$AL$26="Mayor"),CONCATENATE("R2C",'Mapa final'!$S$26),"")</f>
        <v/>
      </c>
      <c r="AD34" s="39" t="str">
        <f>IF(AND('Mapa final'!$AJ$27="Media",'Mapa final'!$AL$27="Mayor"),CONCATENATE("R2C",'Mapa final'!$S$27),"")</f>
        <v/>
      </c>
      <c r="AE34" s="39" t="str">
        <f>IF(AND('Mapa final'!$AJ$28="Media",'Mapa final'!$AL$28="Mayor"),CONCATENATE("R2C",'Mapa final'!$S$28),"")</f>
        <v/>
      </c>
      <c r="AF34" s="39" t="str">
        <f>IF(AND('Mapa final'!$AJ$29="Media",'Mapa final'!$AL$29="Mayor"),CONCATENATE("R2C",'Mapa final'!$S$29),"")</f>
        <v/>
      </c>
      <c r="AG34" s="39" t="str">
        <f>IF(AND('Mapa final'!$AJ$30="Media",'Mapa final'!$AL$30="Mayor"),CONCATENATE("R2C",'Mapa final'!$S$30),"")</f>
        <v/>
      </c>
      <c r="AH34" s="40" t="str">
        <f>IF(AND('Mapa final'!$AJ$31="Media",'Mapa final'!$AL$31="Mayor"),CONCATENATE("R2C",'Mapa final'!$S$31),"")</f>
        <v/>
      </c>
      <c r="AI34" s="41" t="str">
        <f>IF(AND('Mapa final'!$AJ$26="Media",'Mapa final'!$AL$26="Catastrófico"),CONCATENATE("R2C",'Mapa final'!$S$26),"")</f>
        <v/>
      </c>
      <c r="AJ34" s="42" t="str">
        <f>IF(AND('Mapa final'!$AJ$27="Media",'Mapa final'!$AL$27="Catastrófico"),CONCATENATE("R2C",'Mapa final'!$S$27),"")</f>
        <v/>
      </c>
      <c r="AK34" s="42" t="str">
        <f>IF(AND('Mapa final'!$AJ$28="Media",'Mapa final'!$AL$28="Catastrófico"),CONCATENATE("R2C",'Mapa final'!$S$28),"")</f>
        <v/>
      </c>
      <c r="AL34" s="42" t="str">
        <f>IF(AND('Mapa final'!$AJ$29="Media",'Mapa final'!$AL$29="Catastrófico"),CONCATENATE("R2C",'Mapa final'!$S$29),"")</f>
        <v/>
      </c>
      <c r="AM34" s="42" t="str">
        <f>IF(AND('Mapa final'!$AJ$30="Media",'Mapa final'!$AL$30="Catastrófico"),CONCATENATE("R2C",'Mapa final'!$S$30),"")</f>
        <v/>
      </c>
      <c r="AN34" s="43" t="str">
        <f>IF(AND('Mapa final'!$AJ$31="Media",'Mapa final'!$AL$31="Catastrófico"),CONCATENATE("R2C",'Mapa final'!$S$31),"")</f>
        <v/>
      </c>
      <c r="AO34" s="69"/>
      <c r="AP34" s="496"/>
      <c r="AQ34" s="497"/>
      <c r="AR34" s="497"/>
      <c r="AS34" s="497"/>
      <c r="AT34" s="497"/>
      <c r="AU34" s="498"/>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60"/>
      <c r="D35" s="360"/>
      <c r="E35" s="361"/>
      <c r="F35" s="455"/>
      <c r="G35" s="456"/>
      <c r="H35" s="456"/>
      <c r="I35" s="456"/>
      <c r="J35" s="457"/>
      <c r="K35" s="53" t="str">
        <f>IF(AND('Mapa final'!$AJ$32="Media",'Mapa final'!$AL$32="Leve"),CONCATENATE("R2C",'Mapa final'!$S$32),"")</f>
        <v/>
      </c>
      <c r="L35" s="54" t="str">
        <f>IF(AND('Mapa final'!$AJ$33="Media",'Mapa final'!$AL$33="Leve"),CONCATENATE("R2C",'Mapa final'!$S$33),"")</f>
        <v/>
      </c>
      <c r="M35" s="54" t="str">
        <f>IF(AND('Mapa final'!$AJ$34="Media",'Mapa final'!$AL$34="Leve"),CONCATENATE("R2C",'Mapa final'!$S$34),"")</f>
        <v/>
      </c>
      <c r="N35" s="54" t="str">
        <f>IF(AND('Mapa final'!$AJ$35="Media",'Mapa final'!$AL$35="Leve"),CONCATENATE("R2C",'Mapa final'!$S$35),"")</f>
        <v/>
      </c>
      <c r="O35" s="54" t="str">
        <f>IF(AND('Mapa final'!$AJ$36="Media",'Mapa final'!$AL$36="Leve"),CONCATENATE("R2C",'Mapa final'!$S$36),"")</f>
        <v/>
      </c>
      <c r="P35" s="55" t="str">
        <f>IF(AND('Mapa final'!$AJ$37="Media",'Mapa final'!$AL$37="Leve"),CONCATENATE("R2C",'Mapa final'!$S$37),"")</f>
        <v/>
      </c>
      <c r="Q35" s="53" t="str">
        <f>IF(AND('Mapa final'!$AJ$32="Media",'Mapa final'!$AL$32="Menor"),CONCATENATE("R2C",'Mapa final'!$S$32),"")</f>
        <v/>
      </c>
      <c r="R35" s="54" t="str">
        <f>IF(AND('Mapa final'!$AJ$33="Media",'Mapa final'!$AL$33="Menor"),CONCATENATE("R2C",'Mapa final'!$S$33),"")</f>
        <v/>
      </c>
      <c r="S35" s="54" t="str">
        <f>IF(AND('Mapa final'!$AJ$34="Media",'Mapa final'!$AL$34="Menor"),CONCATENATE("R2C",'Mapa final'!$S$34),"")</f>
        <v/>
      </c>
      <c r="T35" s="54" t="str">
        <f>IF(AND('Mapa final'!$AJ$35="Media",'Mapa final'!$AL$35="Menor"),CONCATENATE("R2C",'Mapa final'!$S$35),"")</f>
        <v/>
      </c>
      <c r="U35" s="54" t="str">
        <f>IF(AND('Mapa final'!$AJ$36="Media",'Mapa final'!$AL$36="LMenor"),CONCATENATE("R2C",'Mapa final'!$S$36),"")</f>
        <v/>
      </c>
      <c r="V35" s="55" t="str">
        <f>IF(AND('Mapa final'!$AJ$37="Media",'Mapa final'!$AL$37="Menor"),CONCATENATE("R2C",'Mapa final'!$S$37),"")</f>
        <v/>
      </c>
      <c r="W35" s="53" t="str">
        <f>IF(AND('Mapa final'!$AJ$32="Media",'Mapa final'!$AL$32="Moderado"),CONCATENATE("R2C",'Mapa final'!$S$32),"")</f>
        <v/>
      </c>
      <c r="X35" s="54" t="str">
        <f>IF(AND('Mapa final'!$AJ$33="Media",'Mapa final'!$AL$33="Moderado"),CONCATENATE("R2C",'Mapa final'!$S$33),"")</f>
        <v/>
      </c>
      <c r="Y35" s="54" t="str">
        <f>IF(AND('Mapa final'!$AJ$34="Media",'Mapa final'!$AL$34="Moderado"),CONCATENATE("R2C",'Mapa final'!$S$34),"")</f>
        <v/>
      </c>
      <c r="Z35" s="54" t="str">
        <f>IF(AND('Mapa final'!$AJ$35="Media",'Mapa final'!$AL$35="Moderado"),CONCATENATE("R2C",'Mapa final'!$S$35),"")</f>
        <v/>
      </c>
      <c r="AA35" s="54" t="str">
        <f>IF(AND('Mapa final'!$AJ$36="Media",'Mapa final'!$AL$36="Moderado"),CONCATENATE("R2C",'Mapa final'!$S$36),"")</f>
        <v/>
      </c>
      <c r="AB35" s="55" t="str">
        <f>IF(AND('Mapa final'!$AJ$37="Media",'Mapa final'!$AL$37="Moderado"),CONCATENATE("R2C",'Mapa final'!$S$37),"")</f>
        <v/>
      </c>
      <c r="AC35" s="38" t="str">
        <f>IF(AND('Mapa final'!$AJ$32="Media",'Mapa final'!$AL$32="Mayor"),CONCATENATE("R2C",'Mapa final'!$S$32),"")</f>
        <v/>
      </c>
      <c r="AD35" s="39" t="str">
        <f>IF(AND('Mapa final'!$AJ$33="Media",'Mapa final'!$AL$33="Mayor"),CONCATENATE("R2C",'Mapa final'!$S$33),"")</f>
        <v/>
      </c>
      <c r="AE35" s="39" t="str">
        <f>IF(AND('Mapa final'!$AJ$34="Media",'Mapa final'!$AL$34="Mayor"),CONCATENATE("R2C",'Mapa final'!$S$34),"")</f>
        <v/>
      </c>
      <c r="AF35" s="39" t="str">
        <f>IF(AND('Mapa final'!$AJ$35="Media",'Mapa final'!$AL$35="Mayor"),CONCATENATE("R2C",'Mapa final'!$S$35),"")</f>
        <v/>
      </c>
      <c r="AG35" s="39" t="str">
        <f>IF(AND('Mapa final'!$AJ$36="Media",'Mapa final'!$AL$36="Mayor"),CONCATENATE("R2C",'Mapa final'!$S$36),"")</f>
        <v/>
      </c>
      <c r="AH35" s="40" t="str">
        <f>IF(AND('Mapa final'!$AJ$37="Media",'Mapa final'!$AL$37="Mayor"),CONCATENATE("R2C",'Mapa final'!$S$37),"")</f>
        <v/>
      </c>
      <c r="AI35" s="41" t="str">
        <f>IF(AND('Mapa final'!$AJ$32="Media",'Mapa final'!$AL$32="Catastrófico"),CONCATENATE("R2C",'Mapa final'!$S$32),"")</f>
        <v/>
      </c>
      <c r="AJ35" s="42" t="str">
        <f>IF(AND('Mapa final'!$AJ$33="Media",'Mapa final'!$AL$33="Catastrófico"),CONCATENATE("R2C",'Mapa final'!$S$33),"")</f>
        <v/>
      </c>
      <c r="AK35" s="42" t="str">
        <f>IF(AND('Mapa final'!$AJ$34="Media",'Mapa final'!$AL$34="Catastrófico"),CONCATENATE("R2C",'Mapa final'!$S$34),"")</f>
        <v/>
      </c>
      <c r="AL35" s="42" t="str">
        <f>IF(AND('Mapa final'!$AJ$35="Media",'Mapa final'!$AL$35="Catastrófico"),CONCATENATE("R2C",'Mapa final'!$S$35),"")</f>
        <v/>
      </c>
      <c r="AM35" s="42" t="str">
        <f>IF(AND('Mapa final'!$AJ$36="Media",'Mapa final'!$AL$36="LCatastrófico"),CONCATENATE("R2C",'Mapa final'!$S$36),"")</f>
        <v/>
      </c>
      <c r="AN35" s="43" t="str">
        <f>IF(AND('Mapa final'!$AJ$37="Media",'Mapa final'!$AL$37="Catastrófico"),CONCATENATE("R2C",'Mapa final'!$S$37),"")</f>
        <v/>
      </c>
      <c r="AO35" s="69"/>
      <c r="AP35" s="496"/>
      <c r="AQ35" s="497"/>
      <c r="AR35" s="497"/>
      <c r="AS35" s="497"/>
      <c r="AT35" s="497"/>
      <c r="AU35" s="498"/>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60"/>
      <c r="D36" s="360"/>
      <c r="E36" s="361"/>
      <c r="F36" s="455"/>
      <c r="G36" s="456"/>
      <c r="H36" s="456"/>
      <c r="I36" s="456"/>
      <c r="J36" s="457"/>
      <c r="K36" s="53" t="str">
        <f>IF(AND('Mapa final'!$AJ$38="Media",'Mapa final'!$AL$38="Leve"),CONCATENATE("R2C",'Mapa final'!$S$38),"")</f>
        <v/>
      </c>
      <c r="L36" s="54" t="str">
        <f>IF(AND('Mapa final'!$AJ$39="Media",'Mapa final'!$AL$39="Leve"),CONCATENATE("R2C",'Mapa final'!$S$39),"")</f>
        <v/>
      </c>
      <c r="M36" s="54" t="str">
        <f>IF(AND('Mapa final'!$AJ$40="Media",'Mapa final'!$AL$40="Leve"),CONCATENATE("R2C",'Mapa final'!$S$40),"")</f>
        <v/>
      </c>
      <c r="N36" s="54" t="str">
        <f>IF(AND('Mapa final'!$AJ$41="Media",'Mapa final'!$AL$41="Leve"),CONCATENATE("R2C",'Mapa final'!$S$41),"")</f>
        <v/>
      </c>
      <c r="O36" s="54" t="str">
        <f>IF(AND('Mapa final'!$AJ$42="Media",'Mapa final'!$AL$42="Leve"),CONCATENATE("R2C",'Mapa final'!$S$42),"")</f>
        <v/>
      </c>
      <c r="P36" s="55" t="str">
        <f>IF(AND('Mapa final'!$AJ$43="Media",'Mapa final'!$AL$43="Leve"),CONCATENATE("R2C",'Mapa final'!$S$43),"")</f>
        <v/>
      </c>
      <c r="Q36" s="53" t="str">
        <f>IF(AND('Mapa final'!$AJ$38="Media",'Mapa final'!$AL$38="Menor"),CONCATENATE("R2C",'Mapa final'!$S$38),"")</f>
        <v/>
      </c>
      <c r="R36" s="54" t="str">
        <f>IF(AND('Mapa final'!$AJ$39="Media",'Mapa final'!$AL$39="Menor"),CONCATENATE("R2C",'Mapa final'!$S$39),"")</f>
        <v/>
      </c>
      <c r="S36" s="54" t="str">
        <f>IF(AND('Mapa final'!$AJ$40="Media",'Mapa final'!$AL$40="Menor"),CONCATENATE("R2C",'Mapa final'!$S$40),"")</f>
        <v/>
      </c>
      <c r="T36" s="54" t="str">
        <f>IF(AND('Mapa final'!$AJ$41="Media",'Mapa final'!$AL$41="Menor"),CONCATENATE("R2C",'Mapa final'!$S$41),"")</f>
        <v/>
      </c>
      <c r="U36" s="54" t="str">
        <f>IF(AND('Mapa final'!$AJ$42="Media",'Mapa final'!$AL$42="Menor"),CONCATENATE("R2C",'Mapa final'!$S$42),"")</f>
        <v/>
      </c>
      <c r="V36" s="55" t="str">
        <f>IF(AND('Mapa final'!$AJ$43="Media",'Mapa final'!$AL$43="Menor"),CONCATENATE("R2C",'Mapa final'!$S$43),"")</f>
        <v/>
      </c>
      <c r="W36" s="53" t="str">
        <f>IF(AND('Mapa final'!$AJ$38="Media",'Mapa final'!$AL$38="Moderado"),CONCATENATE("R2C",'Mapa final'!$S$38),"")</f>
        <v/>
      </c>
      <c r="X36" s="54" t="str">
        <f>IF(AND('Mapa final'!$AJ$39="Media",'Mapa final'!$AL$39="Moderado"),CONCATENATE("R2C",'Mapa final'!$S$39),"")</f>
        <v/>
      </c>
      <c r="Y36" s="54" t="str">
        <f>IF(AND('Mapa final'!$AJ$40="Media",'Mapa final'!$AL$40="Moderado"),CONCATENATE("R2C",'Mapa final'!$S$40),"")</f>
        <v/>
      </c>
      <c r="Z36" s="54" t="str">
        <f>IF(AND('Mapa final'!$AJ$41="Media",'Mapa final'!$AL$41="Moderado"),CONCATENATE("R2C",'Mapa final'!$S$41),"")</f>
        <v/>
      </c>
      <c r="AA36" s="54" t="str">
        <f>IF(AND('Mapa final'!$AJ$42="Media",'Mapa final'!$AL$42="Moderado"),CONCATENATE("R2C",'Mapa final'!$S$42),"")</f>
        <v/>
      </c>
      <c r="AB36" s="55" t="str">
        <f>IF(AND('Mapa final'!$AJ$43="Media",'Mapa final'!$AL$43="Moderado"),CONCATENATE("R2C",'Mapa final'!$S$43),"")</f>
        <v/>
      </c>
      <c r="AC36" s="38" t="str">
        <f>IF(AND('Mapa final'!$AJ$38="Media",'Mapa final'!$AL$38="Mayor"),CONCATENATE("R2C",'Mapa final'!$S$38),"")</f>
        <v/>
      </c>
      <c r="AD36" s="39" t="str">
        <f>IF(AND('Mapa final'!$AJ$39="Media",'Mapa final'!$AL$39="Mayor"),CONCATENATE("R2C",'Mapa final'!$S$39),"")</f>
        <v/>
      </c>
      <c r="AE36" s="39" t="str">
        <f>IF(AND('Mapa final'!$AJ$40="Media",'Mapa final'!$AL$40="Mayor"),CONCATENATE("R2C",'Mapa final'!$S$40),"")</f>
        <v/>
      </c>
      <c r="AF36" s="39" t="str">
        <f>IF(AND('Mapa final'!$AJ$41="Media",'Mapa final'!$AL$41="Mayor"),CONCATENATE("R2C",'Mapa final'!$S$41),"")</f>
        <v/>
      </c>
      <c r="AG36" s="39" t="str">
        <f>IF(AND('Mapa final'!$AJ$42="Media",'Mapa final'!$AL$42="Mayor"),CONCATENATE("R2C",'Mapa final'!$S$42),"")</f>
        <v/>
      </c>
      <c r="AH36" s="40" t="str">
        <f>IF(AND('Mapa final'!$AJ$43="Media",'Mapa final'!$AL$43="Mayor"),CONCATENATE("R2C",'Mapa final'!$S$43),"")</f>
        <v/>
      </c>
      <c r="AI36" s="41" t="str">
        <f>IF(AND('Mapa final'!$AJ$38="Media",'Mapa final'!$AL$38="Catastrófico"),CONCATENATE("R2C",'Mapa final'!$S$38),"")</f>
        <v/>
      </c>
      <c r="AJ36" s="42" t="str">
        <f>IF(AND('Mapa final'!$AJ$39="Media",'Mapa final'!$AL$39="Catastrófico"),CONCATENATE("R2C",'Mapa final'!$S$39),"")</f>
        <v/>
      </c>
      <c r="AK36" s="42" t="str">
        <f>IF(AND('Mapa final'!$AJ$40="Media",'Mapa final'!$AL$40="Catastrófico"),CONCATENATE("R2C",'Mapa final'!$S$40),"")</f>
        <v/>
      </c>
      <c r="AL36" s="42" t="str">
        <f>IF(AND('Mapa final'!$AJ$41="Media",'Mapa final'!$AL$41="Catastrófico"),CONCATENATE("R2C",'Mapa final'!$S$41),"")</f>
        <v/>
      </c>
      <c r="AM36" s="42" t="str">
        <f>IF(AND('Mapa final'!$AJ$42="Media",'Mapa final'!$AL$42="Catastrófico"),CONCATENATE("R2C",'Mapa final'!$S$42),"")</f>
        <v/>
      </c>
      <c r="AN36" s="43" t="str">
        <f>IF(AND('Mapa final'!$AJ$43="Media",'Mapa final'!$AL$43="Catastrófico"),CONCATENATE("R2C",'Mapa final'!$S$43),"")</f>
        <v/>
      </c>
      <c r="AO36" s="69"/>
      <c r="AP36" s="496"/>
      <c r="AQ36" s="497"/>
      <c r="AR36" s="497"/>
      <c r="AS36" s="497"/>
      <c r="AT36" s="497"/>
      <c r="AU36" s="498"/>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60"/>
      <c r="D37" s="360"/>
      <c r="E37" s="361"/>
      <c r="F37" s="455"/>
      <c r="G37" s="456"/>
      <c r="H37" s="456"/>
      <c r="I37" s="456"/>
      <c r="J37" s="457"/>
      <c r="K37" s="53" t="str">
        <f>IF(AND('Mapa final'!$AJ$44="Media",'Mapa final'!$AL$44="Leve"),CONCATENATE("R2C",'Mapa final'!$S$44),"")</f>
        <v/>
      </c>
      <c r="L37" s="54" t="str">
        <f>IF(AND('Mapa final'!$AJ$45="Media",'Mapa final'!$AL$45="Leve"),CONCATENATE("R2C",'Mapa final'!$S$45),"")</f>
        <v/>
      </c>
      <c r="M37" s="54" t="str">
        <f>IF(AND('Mapa final'!$AJ$46="Media",'Mapa final'!$AL$46="Leve"),CONCATENATE("R2C",'Mapa final'!$S$46),"")</f>
        <v/>
      </c>
      <c r="N37" s="54" t="str">
        <f>IF(AND('Mapa final'!$AJ$47="Media",'Mapa final'!$AL$47="Leve"),CONCATENATE("R2C",'Mapa final'!$S$47),"")</f>
        <v/>
      </c>
      <c r="O37" s="54" t="str">
        <f>IF(AND('Mapa final'!$AJ$48="Media",'Mapa final'!$AL$48="Leve"),CONCATENATE("R2C",'Mapa final'!$S$48),"")</f>
        <v/>
      </c>
      <c r="P37" s="55" t="str">
        <f>IF(AND('Mapa final'!$AJ$59="Media",'Mapa final'!$AL$49="Leve"),CONCATENATE("R2C",'Mapa final'!$S$49),"")</f>
        <v/>
      </c>
      <c r="Q37" s="53" t="str">
        <f>IF(AND('Mapa final'!$AJ$44="Media",'Mapa final'!$AL$44="Menor"),CONCATENATE("R2C",'Mapa final'!$S$44),"")</f>
        <v/>
      </c>
      <c r="R37" s="54" t="str">
        <f>IF(AND('Mapa final'!$AJ$45="Media",'Mapa final'!$AL$45="Menor"),CONCATENATE("R2C",'Mapa final'!$S$45),"")</f>
        <v/>
      </c>
      <c r="S37" s="54" t="str">
        <f>IF(AND('Mapa final'!$AJ$46="Media",'Mapa final'!$AL$46="Menor"),CONCATENATE("R2C",'Mapa final'!$S$46),"")</f>
        <v/>
      </c>
      <c r="T37" s="54" t="str">
        <f>IF(AND('Mapa final'!$AJ$47="Media",'Mapa final'!$AL$47="Menor"),CONCATENATE("R2C",'Mapa final'!$S$47),"")</f>
        <v/>
      </c>
      <c r="U37" s="54" t="str">
        <f>IF(AND('Mapa final'!$AJ$48="Media",'Mapa final'!$AL$48="Menor"),CONCATENATE("R2C",'Mapa final'!$S$48),"")</f>
        <v/>
      </c>
      <c r="V37" s="55" t="str">
        <f>IF(AND('Mapa final'!$AJ$59="Media",'Mapa final'!$AL$49="Menor"),CONCATENATE("R2C",'Mapa final'!$S$49),"")</f>
        <v/>
      </c>
      <c r="W37" s="53" t="str">
        <f>IF(AND('Mapa final'!$AJ$44="Media",'Mapa final'!$AL$44="Moderado"),CONCATENATE("R2C",'Mapa final'!$S$44),"")</f>
        <v/>
      </c>
      <c r="X37" s="54" t="str">
        <f>IF(AND('Mapa final'!$AJ$45="Media",'Mapa final'!$AL$45="Moderado"),CONCATENATE("R2C",'Mapa final'!$S$45),"")</f>
        <v/>
      </c>
      <c r="Y37" s="54" t="str">
        <f>IF(AND('Mapa final'!$AJ$46="Media",'Mapa final'!$AL$46="Moderado"),CONCATENATE("R2C",'Mapa final'!$S$46),"")</f>
        <v/>
      </c>
      <c r="Z37" s="54" t="str">
        <f>IF(AND('Mapa final'!$AJ$47="Media",'Mapa final'!$AL$47="Moderado"),CONCATENATE("R2C",'Mapa final'!$S$47),"")</f>
        <v/>
      </c>
      <c r="AA37" s="54" t="str">
        <f>IF(AND('Mapa final'!$AJ$48="Media",'Mapa final'!$AL$48="Moderado"),CONCATENATE("R2C",'Mapa final'!$S$48),"")</f>
        <v/>
      </c>
      <c r="AB37" s="55" t="str">
        <f>IF(AND('Mapa final'!$AJ$59="Media",'Mapa final'!$AL$49="Moderado"),CONCATENATE("R2C",'Mapa final'!$S$49),"")</f>
        <v/>
      </c>
      <c r="AC37" s="38" t="str">
        <f>IF(AND('Mapa final'!$AJ$44="Media",'Mapa final'!$AL$44="Mayor"),CONCATENATE("R2C",'Mapa final'!$S$44),"")</f>
        <v/>
      </c>
      <c r="AD37" s="39" t="str">
        <f>IF(AND('Mapa final'!$AJ$45="Media",'Mapa final'!$AL$45="Mayor"),CONCATENATE("R2C",'Mapa final'!$S$45),"")</f>
        <v/>
      </c>
      <c r="AE37" s="39" t="str">
        <f>IF(AND('Mapa final'!$AJ$46="Media",'Mapa final'!$AL$46="Mayor"),CONCATENATE("R2C",'Mapa final'!$S$46),"")</f>
        <v/>
      </c>
      <c r="AF37" s="39" t="str">
        <f>IF(AND('Mapa final'!$AJ$47="Media",'Mapa final'!$AL$47="Mayor"),CONCATENATE("R2C",'Mapa final'!$S$47),"")</f>
        <v/>
      </c>
      <c r="AG37" s="39" t="str">
        <f>IF(AND('Mapa final'!$AJ$48="Media",'Mapa final'!$AL$48="Mayor"),CONCATENATE("R2C",'Mapa final'!$S$48),"")</f>
        <v/>
      </c>
      <c r="AH37" s="40" t="str">
        <f>IF(AND('Mapa final'!$AJ$59="Media",'Mapa final'!$AL$49="Mayor"),CONCATENATE("R2C",'Mapa final'!$S$49),"")</f>
        <v/>
      </c>
      <c r="AI37" s="41" t="str">
        <f>IF(AND('Mapa final'!$AJ$44="Media",'Mapa final'!$AL$44="Catastrófico"),CONCATENATE("R2C",'Mapa final'!$S$44),"")</f>
        <v/>
      </c>
      <c r="AJ37" s="42" t="str">
        <f>IF(AND('Mapa final'!$AJ$45="Media",'Mapa final'!$AL$45="Catastrófico"),CONCATENATE("R2C",'Mapa final'!$S$45),"")</f>
        <v/>
      </c>
      <c r="AK37" s="42" t="str">
        <f>IF(AND('Mapa final'!$AJ$46="Media",'Mapa final'!$AL$46="Catastrófico"),CONCATENATE("R2C",'Mapa final'!$S$46),"")</f>
        <v/>
      </c>
      <c r="AL37" s="42" t="str">
        <f>IF(AND('Mapa final'!$AJ$47="Media",'Mapa final'!$AL$47="Catastrófico"),CONCATENATE("R2C",'Mapa final'!$S$47),"")</f>
        <v/>
      </c>
      <c r="AM37" s="42" t="str">
        <f>IF(AND('Mapa final'!$AJ$48="Media",'Mapa final'!$AL$48="Catastrófico"),CONCATENATE("R2C",'Mapa final'!$S$48),"")</f>
        <v/>
      </c>
      <c r="AN37" s="43" t="str">
        <f>IF(AND('Mapa final'!$AJ$59="Media",'Mapa final'!$AL$49="Catastrófico"),CONCATENATE("R2C",'Mapa final'!$S$49),"")</f>
        <v/>
      </c>
      <c r="AO37" s="69"/>
      <c r="AP37" s="496"/>
      <c r="AQ37" s="497"/>
      <c r="AR37" s="497"/>
      <c r="AS37" s="497"/>
      <c r="AT37" s="497"/>
      <c r="AU37" s="498"/>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60"/>
      <c r="D38" s="360"/>
      <c r="E38" s="361"/>
      <c r="F38" s="455"/>
      <c r="G38" s="456"/>
      <c r="H38" s="456"/>
      <c r="I38" s="456"/>
      <c r="J38" s="457"/>
      <c r="K38" s="53" t="str">
        <f>IF(AND('Mapa final'!$AJ$50="Media",'Mapa final'!$AL$50="Leve"),CONCATENATE("R2C",'Mapa final'!$S$50),"")</f>
        <v/>
      </c>
      <c r="L38" s="54" t="str">
        <f>IF(AND('Mapa final'!$AJ$51="Media",'Mapa final'!$AL$51="Leve"),CONCATENATE("R2C",'Mapa final'!$S$51),"")</f>
        <v/>
      </c>
      <c r="M38" s="54" t="str">
        <f>IF(AND('Mapa final'!$AJ$52="Media",'Mapa final'!$AL$52="Leve"),CONCATENATE("R2C",'Mapa final'!$S$52),"")</f>
        <v/>
      </c>
      <c r="N38" s="54" t="str">
        <f>IF(AND('Mapa final'!$AJ$53="Media",'Mapa final'!$AL$53="Leve"),CONCATENATE("R2C",'Mapa final'!$S$53),"")</f>
        <v/>
      </c>
      <c r="O38" s="54" t="str">
        <f>IF(AND('Mapa final'!$AJ$54="Media",'Mapa final'!$AL$54="Leve"),CONCATENATE("R2C",'Mapa final'!$S$54),"")</f>
        <v/>
      </c>
      <c r="P38" s="55" t="str">
        <f>IF(AND('Mapa final'!$AJ$55="Media",'Mapa final'!$AL$55="Leve"),CONCATENATE("R2C",'Mapa final'!$S$55),"")</f>
        <v/>
      </c>
      <c r="Q38" s="53" t="str">
        <f>IF(AND('Mapa final'!$AJ$50="Media",'Mapa final'!$AL$50="Menor"),CONCATENATE("R2C",'Mapa final'!$S$50),"")</f>
        <v/>
      </c>
      <c r="R38" s="54" t="str">
        <f>IF(AND('Mapa final'!$AJ$51="Media",'Mapa final'!$AL$51="Menor"),CONCATENATE("R2C",'Mapa final'!$S$51),"")</f>
        <v/>
      </c>
      <c r="S38" s="54" t="str">
        <f>IF(AND('Mapa final'!$AJ$52="Media",'Mapa final'!$AL$52="Menor"),CONCATENATE("R2C",'Mapa final'!$S$52),"")</f>
        <v/>
      </c>
      <c r="T38" s="54" t="str">
        <f>IF(AND('Mapa final'!$AJ$53="Media",'Mapa final'!$AL$53="Menor"),CONCATENATE("R2C",'Mapa final'!$S$53),"")</f>
        <v/>
      </c>
      <c r="U38" s="54" t="str">
        <f>IF(AND('Mapa final'!$AJ$54="Media",'Mapa final'!$AL$54="Menor"),CONCATENATE("R2C",'Mapa final'!$S$54),"")</f>
        <v/>
      </c>
      <c r="V38" s="55" t="str">
        <f>IF(AND('Mapa final'!$AJ$55="Media",'Mapa final'!$AL$55="Menor"),CONCATENATE("R2C",'Mapa final'!$S$55),"")</f>
        <v/>
      </c>
      <c r="W38" s="53" t="str">
        <f>IF(AND('Mapa final'!$AJ$50="Media",'Mapa final'!$AL$50="Moderado"),CONCATENATE("R2C",'Mapa final'!$S$50),"")</f>
        <v/>
      </c>
      <c r="X38" s="54" t="str">
        <f>IF(AND('Mapa final'!$AJ$51="Media",'Mapa final'!$AL$51="Moderado"),CONCATENATE("R2C",'Mapa final'!$S$51),"")</f>
        <v/>
      </c>
      <c r="Y38" s="54" t="str">
        <f>IF(AND('Mapa final'!$AJ$52="Media",'Mapa final'!$AL$52="Moderado"),CONCATENATE("R2C",'Mapa final'!$S$52),"")</f>
        <v/>
      </c>
      <c r="Z38" s="54" t="str">
        <f>IF(AND('Mapa final'!$AJ$53="Media",'Mapa final'!$AL$53="Moderado"),CONCATENATE("R2C",'Mapa final'!$S$53),"")</f>
        <v/>
      </c>
      <c r="AA38" s="54" t="str">
        <f>IF(AND('Mapa final'!$AJ$54="Media",'Mapa final'!$AL$54="Moderado"),CONCATENATE("R2C",'Mapa final'!$S$54),"")</f>
        <v/>
      </c>
      <c r="AB38" s="55" t="str">
        <f>IF(AND('Mapa final'!$AJ$55="Media",'Mapa final'!$AL$55="Moderado"),CONCATENATE("R2C",'Mapa final'!$S$55),"")</f>
        <v/>
      </c>
      <c r="AC38" s="38" t="str">
        <f>IF(AND('Mapa final'!$AJ$50="Media",'Mapa final'!$AL$50="Mayor"),CONCATENATE("R2C",'Mapa final'!$S$50),"")</f>
        <v/>
      </c>
      <c r="AD38" s="39" t="str">
        <f>IF(AND('Mapa final'!$AJ$51="Media",'Mapa final'!$AL$51="Mayor"),CONCATENATE("R2C",'Mapa final'!$S$51),"")</f>
        <v/>
      </c>
      <c r="AE38" s="39" t="str">
        <f>IF(AND('Mapa final'!$AJ$52="Media",'Mapa final'!$AL$52="Mayor"),CONCATENATE("R2C",'Mapa final'!$S$52),"")</f>
        <v/>
      </c>
      <c r="AF38" s="39" t="str">
        <f>IF(AND('Mapa final'!$AJ$53="Media",'Mapa final'!$AL$53="Mayor"),CONCATENATE("R2C",'Mapa final'!$S$53),"")</f>
        <v/>
      </c>
      <c r="AG38" s="39" t="str">
        <f>IF(AND('Mapa final'!$AJ$54="Media",'Mapa final'!$AL$54="Mayor"),CONCATENATE("R2C",'Mapa final'!$S$54),"")</f>
        <v/>
      </c>
      <c r="AH38" s="40" t="str">
        <f>IF(AND('Mapa final'!$AJ$55="Media",'Mapa final'!$AL$55="Mayor"),CONCATENATE("R2C",'Mapa final'!$S$55),"")</f>
        <v/>
      </c>
      <c r="AI38" s="41" t="str">
        <f>IF(AND('Mapa final'!$AJ$50="Media",'Mapa final'!$AL$50="Catastrófico"),CONCATENATE("R2C",'Mapa final'!$S$50),"")</f>
        <v/>
      </c>
      <c r="AJ38" s="42" t="str">
        <f>IF(AND('Mapa final'!$AJ$51="Media",'Mapa final'!$AL$51="Catastrófico"),CONCATENATE("R2C",'Mapa final'!$S$51),"")</f>
        <v/>
      </c>
      <c r="AK38" s="42" t="str">
        <f>IF(AND('Mapa final'!$AJ$52="Media",'Mapa final'!$AL$52="Catastrófico"),CONCATENATE("R2C",'Mapa final'!$S$52),"")</f>
        <v/>
      </c>
      <c r="AL38" s="42" t="str">
        <f>IF(AND('Mapa final'!$AJ$53="Media",'Mapa final'!$AL$53="Catastrófico"),CONCATENATE("R2C",'Mapa final'!$S$53),"")</f>
        <v/>
      </c>
      <c r="AM38" s="42" t="str">
        <f>IF(AND('Mapa final'!$AJ$54="Media",'Mapa final'!$AL$54="Catastrófico"),CONCATENATE("R2C",'Mapa final'!$S$54),"")</f>
        <v/>
      </c>
      <c r="AN38" s="43" t="str">
        <f>IF(AND('Mapa final'!$AJ$55="Media",'Mapa final'!$AL$55="Catastrófico"),CONCATENATE("R2C",'Mapa final'!$S$55),"")</f>
        <v/>
      </c>
      <c r="AO38" s="69"/>
      <c r="AP38" s="496"/>
      <c r="AQ38" s="497"/>
      <c r="AR38" s="497"/>
      <c r="AS38" s="497"/>
      <c r="AT38" s="497"/>
      <c r="AU38" s="498"/>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60"/>
      <c r="D39" s="360"/>
      <c r="E39" s="361"/>
      <c r="F39" s="455"/>
      <c r="G39" s="456"/>
      <c r="H39" s="456"/>
      <c r="I39" s="456"/>
      <c r="J39" s="457"/>
      <c r="K39" s="53" t="str">
        <f>IF(AND('Mapa final'!$AJ$56="Media",'Mapa final'!$AL$56="Leve"),CONCATENATE("R2C",'Mapa final'!$S$56),"")</f>
        <v/>
      </c>
      <c r="L39" s="54" t="str">
        <f>IF(AND('Mapa final'!$AJ$57="Media",'Mapa final'!$AL$57="Leve"),CONCATENATE("R2C",'Mapa final'!$S$57),"")</f>
        <v/>
      </c>
      <c r="M39" s="54" t="str">
        <f>IF(AND('Mapa final'!$AJ$58="Media",'Mapa final'!$AL$58="Leve"),CONCATENATE("R2C",'Mapa final'!$S$58),"")</f>
        <v/>
      </c>
      <c r="N39" s="54" t="str">
        <f>IF(AND('Mapa final'!$AJ$59="Media",'Mapa final'!$AL$59="Leve"),CONCATENATE("R2C",'Mapa final'!$S$59),"")</f>
        <v/>
      </c>
      <c r="O39" s="54" t="str">
        <f>IF(AND('Mapa final'!$AJ$60="Media",'Mapa final'!$AL$60="Leve"),CONCATENATE("R2C",'Mapa final'!$S$60),"")</f>
        <v/>
      </c>
      <c r="P39" s="55" t="str">
        <f>IF(AND('Mapa final'!$AJ$61="Media",'Mapa final'!$AL$61="Leve"),CONCATENATE("R2C",'Mapa final'!$S$61),"")</f>
        <v/>
      </c>
      <c r="Q39" s="53" t="str">
        <f>IF(AND('Mapa final'!$AJ$56="Media",'Mapa final'!$AL$56="Menor"),CONCATENATE("R2C",'Mapa final'!$S$56),"")</f>
        <v/>
      </c>
      <c r="R39" s="54" t="str">
        <f>IF(AND('Mapa final'!$AJ$57="Media",'Mapa final'!$AL$57="Menor"),CONCATENATE("R2C",'Mapa final'!$S$57),"")</f>
        <v/>
      </c>
      <c r="S39" s="54" t="str">
        <f>IF(AND('Mapa final'!$AJ$58="Media",'Mapa final'!$AL$58="Menor"),CONCATENATE("R2C",'Mapa final'!$S$58),"")</f>
        <v/>
      </c>
      <c r="T39" s="54" t="str">
        <f>IF(AND('Mapa final'!$AJ$59="Media",'Mapa final'!$AL$59="Menor"),CONCATENATE("R2C",'Mapa final'!$S$59),"")</f>
        <v/>
      </c>
      <c r="U39" s="54" t="str">
        <f>IF(AND('Mapa final'!$AJ$60="Media",'Mapa final'!$AL$60="Menor"),CONCATENATE("R2C",'Mapa final'!$S$60),"")</f>
        <v/>
      </c>
      <c r="V39" s="55" t="str">
        <f>IF(AND('Mapa final'!$AJ$61="Media",'Mapa final'!$AL$61="Menor"),CONCATENATE("R2C",'Mapa final'!$S$61),"")</f>
        <v/>
      </c>
      <c r="W39" s="53" t="str">
        <f>IF(AND('Mapa final'!$AJ$56="Media",'Mapa final'!$AL$56="Moderado"),CONCATENATE("R2C",'Mapa final'!$S$56),"")</f>
        <v/>
      </c>
      <c r="X39" s="54" t="str">
        <f>IF(AND('Mapa final'!$AJ$57="Media",'Mapa final'!$AL$57="Moderado"),CONCATENATE("R2C",'Mapa final'!$S$57),"")</f>
        <v/>
      </c>
      <c r="Y39" s="54" t="str">
        <f>IF(AND('Mapa final'!$AJ$58="Media",'Mapa final'!$AL$58="Moderado"),CONCATENATE("R2C",'Mapa final'!$S$58),"")</f>
        <v/>
      </c>
      <c r="Z39" s="54" t="str">
        <f>IF(AND('Mapa final'!$AJ$59="Media",'Mapa final'!$AL$59="Moderado"),CONCATENATE("R2C",'Mapa final'!$S$59),"")</f>
        <v/>
      </c>
      <c r="AA39" s="54" t="str">
        <f>IF(AND('Mapa final'!$AJ$60="Media",'Mapa final'!$AL$60="Moderado"),CONCATENATE("R2C",'Mapa final'!$S$60),"")</f>
        <v/>
      </c>
      <c r="AB39" s="55" t="str">
        <f>IF(AND('Mapa final'!$AJ$61="Media",'Mapa final'!$AL$61="Moderado"),CONCATENATE("R2C",'Mapa final'!$S$61),"")</f>
        <v/>
      </c>
      <c r="AC39" s="38" t="str">
        <f>IF(AND('Mapa final'!$AJ$56="Media",'Mapa final'!$AL$56="Mayor"),CONCATENATE("R2C",'Mapa final'!$S$56),"")</f>
        <v/>
      </c>
      <c r="AD39" s="39" t="str">
        <f>IF(AND('Mapa final'!$AJ$57="Media",'Mapa final'!$AL$57="Mayor"),CONCATENATE("R2C",'Mapa final'!$S$57),"")</f>
        <v/>
      </c>
      <c r="AE39" s="39" t="str">
        <f>IF(AND('Mapa final'!$AJ$58="Media",'Mapa final'!$AL$58="Mayor"),CONCATENATE("R2C",'Mapa final'!$S$58),"")</f>
        <v/>
      </c>
      <c r="AF39" s="39" t="str">
        <f>IF(AND('Mapa final'!$AJ$59="Media",'Mapa final'!$AL$59="Mayor"),CONCATENATE("R2C",'Mapa final'!$S$59),"")</f>
        <v/>
      </c>
      <c r="AG39" s="39" t="str">
        <f>IF(AND('Mapa final'!$AJ$60="Media",'Mapa final'!$AL$60="Mayor"),CONCATENATE("R2C",'Mapa final'!$S$60),"")</f>
        <v/>
      </c>
      <c r="AH39" s="40" t="str">
        <f>IF(AND('Mapa final'!$AJ$61="Media",'Mapa final'!$AL$61="Mayor"),CONCATENATE("R2C",'Mapa final'!$S$61),"")</f>
        <v/>
      </c>
      <c r="AI39" s="41" t="str">
        <f>IF(AND('Mapa final'!$AJ$56="Media",'Mapa final'!$AL$56="Catastrófico"),CONCATENATE("R2C",'Mapa final'!$S$56),"")</f>
        <v/>
      </c>
      <c r="AJ39" s="42" t="str">
        <f>IF(AND('Mapa final'!$AJ$57="Media",'Mapa final'!$AL$57="Catastrófico"),CONCATENATE("R2C",'Mapa final'!$S$57),"")</f>
        <v/>
      </c>
      <c r="AK39" s="42" t="str">
        <f>IF(AND('Mapa final'!$AJ$58="Media",'Mapa final'!$AL$58="Catastrófico"),CONCATENATE("R2C",'Mapa final'!$S$58),"")</f>
        <v/>
      </c>
      <c r="AL39" s="42" t="str">
        <f>IF(AND('Mapa final'!$AJ$59="Media",'Mapa final'!$AL$59="Catastrófico"),CONCATENATE("R2C",'Mapa final'!$S$59),"")</f>
        <v/>
      </c>
      <c r="AM39" s="42" t="str">
        <f>IF(AND('Mapa final'!$AJ$60="Media",'Mapa final'!$AL$60="Catastrófico"),CONCATENATE("R2C",'Mapa final'!$S$60),"")</f>
        <v/>
      </c>
      <c r="AN39" s="43" t="str">
        <f>IF(AND('Mapa final'!$AJ$61="Media",'Mapa final'!$AL$61="Catastrófico"),CONCATENATE("R2C",'Mapa final'!$S$61),"")</f>
        <v/>
      </c>
      <c r="AO39" s="69"/>
      <c r="AP39" s="496"/>
      <c r="AQ39" s="497"/>
      <c r="AR39" s="497"/>
      <c r="AS39" s="497"/>
      <c r="AT39" s="497"/>
      <c r="AU39" s="498"/>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60"/>
      <c r="D40" s="360"/>
      <c r="E40" s="361"/>
      <c r="F40" s="455"/>
      <c r="G40" s="456"/>
      <c r="H40" s="456"/>
      <c r="I40" s="456"/>
      <c r="J40" s="457"/>
      <c r="K40" s="53" t="str">
        <f>IF(AND('Mapa final'!$AJ$62="Media",'Mapa final'!$AL$62="Leve"),CONCATENATE("R2C",'Mapa final'!$S$62),"")</f>
        <v/>
      </c>
      <c r="L40" s="54" t="str">
        <f>IF(AND('Mapa final'!$AJ$63="Media",'Mapa final'!$AL$63="Leve"),CONCATENATE("R2C",'Mapa final'!$S$63),"")</f>
        <v/>
      </c>
      <c r="M40" s="54" t="str">
        <f>IF(AND('Mapa final'!$AJ$64="Media",'Mapa final'!$AL$64="Leve"),CONCATENATE("R2C",'Mapa final'!$S$64),"")</f>
        <v/>
      </c>
      <c r="N40" s="54" t="str">
        <f>IF(AND('Mapa final'!$AJ$65="Media",'Mapa final'!$AL$65="Leve"),CONCATENATE("R2C",'Mapa final'!$S$65),"")</f>
        <v/>
      </c>
      <c r="O40" s="54" t="str">
        <f>IF(AND('Mapa final'!$AJ$66="Media",'Mapa final'!$AL$66="Leve"),CONCATENATE("R2C",'Mapa final'!$S$66),"")</f>
        <v/>
      </c>
      <c r="P40" s="55" t="str">
        <f>IF(AND('Mapa final'!$AJ$67="Media",'Mapa final'!$AL$67="Leve"),CONCATENATE("R2C",'Mapa final'!$S$67),"")</f>
        <v/>
      </c>
      <c r="Q40" s="53" t="str">
        <f>IF(AND('Mapa final'!$AJ$62="Media",'Mapa final'!$AL$62="Menor"),CONCATENATE("R2C",'Mapa final'!$S$62),"")</f>
        <v/>
      </c>
      <c r="R40" s="54" t="str">
        <f>IF(AND('Mapa final'!$AJ$63="Media",'Mapa final'!$AL$63="Menor"),CONCATENATE("R2C",'Mapa final'!$S$63),"")</f>
        <v/>
      </c>
      <c r="S40" s="54" t="str">
        <f>IF(AND('Mapa final'!$AJ$64="Media",'Mapa final'!$AL$64="Menor"),CONCATENATE("R2C",'Mapa final'!$S$64),"")</f>
        <v/>
      </c>
      <c r="T40" s="54" t="str">
        <f>IF(AND('Mapa final'!$AJ$65="Media",'Mapa final'!$AL$65="Menor"),CONCATENATE("R2C",'Mapa final'!$S$65),"")</f>
        <v/>
      </c>
      <c r="U40" s="54" t="str">
        <f>IF(AND('Mapa final'!$AJ$66="Media",'Mapa final'!$AL$66="Menor"),CONCATENATE("R2C",'Mapa final'!$S$66),"")</f>
        <v/>
      </c>
      <c r="V40" s="55" t="str">
        <f>IF(AND('Mapa final'!$AJ$67="Media",'Mapa final'!$AL$67="Menor"),CONCATENATE("R2C",'Mapa final'!$S$67),"")</f>
        <v/>
      </c>
      <c r="W40" s="53" t="str">
        <f>IF(AND('Mapa final'!$AJ$62="Media",'Mapa final'!$AL$62="Moderado"),CONCATENATE("R2C",'Mapa final'!$S$62),"")</f>
        <v/>
      </c>
      <c r="X40" s="54" t="str">
        <f>IF(AND('Mapa final'!$AJ$63="Media",'Mapa final'!$AL$63="Moderado"),CONCATENATE("R2C",'Mapa final'!$S$63),"")</f>
        <v/>
      </c>
      <c r="Y40" s="54" t="str">
        <f>IF(AND('Mapa final'!$AJ$64="Media",'Mapa final'!$AL$64="Moderado"),CONCATENATE("R2C",'Mapa final'!$S$64),"")</f>
        <v/>
      </c>
      <c r="Z40" s="54" t="str">
        <f>IF(AND('Mapa final'!$AJ$65="Media",'Mapa final'!$AL$65="Moderado"),CONCATENATE("R2C",'Mapa final'!$S$65),"")</f>
        <v/>
      </c>
      <c r="AA40" s="54" t="str">
        <f>IF(AND('Mapa final'!$AJ$66="Media",'Mapa final'!$AL$66="Moderado"),CONCATENATE("R2C",'Mapa final'!$S$66),"")</f>
        <v/>
      </c>
      <c r="AB40" s="55" t="str">
        <f>IF(AND('Mapa final'!$AJ$67="Media",'Mapa final'!$AL$67="Moderado"),CONCATENATE("R2C",'Mapa final'!$S$67),"")</f>
        <v/>
      </c>
      <c r="AC40" s="38" t="str">
        <f>IF(AND('Mapa final'!$AJ$62="Media",'Mapa final'!$AL$62="Mayor"),CONCATENATE("R2C",'Mapa final'!$S$62),"")</f>
        <v/>
      </c>
      <c r="AD40" s="39" t="str">
        <f>IF(AND('Mapa final'!$AJ$63="Media",'Mapa final'!$AL$63="Mayor"),CONCATENATE("R2C",'Mapa final'!$S$63),"")</f>
        <v/>
      </c>
      <c r="AE40" s="39" t="str">
        <f>IF(AND('Mapa final'!$AJ$64="Media",'Mapa final'!$AL$64="Mayor"),CONCATENATE("R2C",'Mapa final'!$S$64),"")</f>
        <v/>
      </c>
      <c r="AF40" s="39" t="str">
        <f>IF(AND('Mapa final'!$AJ$65="Media",'Mapa final'!$AL$65="Mayor"),CONCATENATE("R2C",'Mapa final'!$S$65),"")</f>
        <v/>
      </c>
      <c r="AG40" s="39" t="str">
        <f>IF(AND('Mapa final'!$AJ$66="Media",'Mapa final'!$AL$66="Mayor"),CONCATENATE("R2C",'Mapa final'!$S$66),"")</f>
        <v/>
      </c>
      <c r="AH40" s="40" t="str">
        <f>IF(AND('Mapa final'!$AJ$67="Media",'Mapa final'!$AL$67="Mayor"),CONCATENATE("R2C",'Mapa final'!$S$67),"")</f>
        <v/>
      </c>
      <c r="AI40" s="41" t="str">
        <f>IF(AND('Mapa final'!$AJ$62="Media",'Mapa final'!$AL$62="Catastrófico"),CONCATENATE("R2C",'Mapa final'!$S$62),"")</f>
        <v/>
      </c>
      <c r="AJ40" s="42" t="str">
        <f>IF(AND('Mapa final'!$AJ$63="Media",'Mapa final'!$AL$63="Catastrófico"),CONCATENATE("R2C",'Mapa final'!$S$63),"")</f>
        <v/>
      </c>
      <c r="AK40" s="42" t="str">
        <f>IF(AND('Mapa final'!$AJ$64="Media",'Mapa final'!$AL$64="Catastrófico"),CONCATENATE("R2C",'Mapa final'!$S$64),"")</f>
        <v/>
      </c>
      <c r="AL40" s="42" t="str">
        <f>IF(AND('Mapa final'!$AJ$65="Media",'Mapa final'!$AL$65="Catastrófico"),CONCATENATE("R2C",'Mapa final'!$S$65),"")</f>
        <v/>
      </c>
      <c r="AM40" s="42" t="str">
        <f>IF(AND('Mapa final'!$AJ$66="Media",'Mapa final'!$AL$66="Catastrófico"),CONCATENATE("R2C",'Mapa final'!$S$66),"")</f>
        <v/>
      </c>
      <c r="AN40" s="43" t="str">
        <f>IF(AND('Mapa final'!$AJ$67="Media",'Mapa final'!$AL$67="Catastrófico"),CONCATENATE("R2C",'Mapa final'!$S$67),"")</f>
        <v/>
      </c>
      <c r="AO40" s="69"/>
      <c r="AP40" s="496"/>
      <c r="AQ40" s="497"/>
      <c r="AR40" s="497"/>
      <c r="AS40" s="497"/>
      <c r="AT40" s="497"/>
      <c r="AU40" s="498"/>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60"/>
      <c r="D41" s="360"/>
      <c r="E41" s="361"/>
      <c r="F41" s="458"/>
      <c r="G41" s="459"/>
      <c r="H41" s="459"/>
      <c r="I41" s="459"/>
      <c r="J41" s="460"/>
      <c r="K41" s="53" t="str">
        <f>IF(AND('Mapa final'!$AJ$68="Media",'Mapa final'!$AL$68="Leve"),CONCATENATE("R2C",'Mapa final'!$S$68),"")</f>
        <v/>
      </c>
      <c r="L41" s="54" t="str">
        <f>IF(AND('Mapa final'!$AJ$69="Media",'Mapa final'!$AL$69="Leve"),CONCATENATE("R2C",'Mapa final'!$S$69),"")</f>
        <v/>
      </c>
      <c r="M41" s="54" t="str">
        <f>IF(AND('Mapa final'!$AJ$70="Media",'Mapa final'!$AL$70="Leve"),CONCATENATE("R2C",'Mapa final'!$S$70),"")</f>
        <v/>
      </c>
      <c r="N41" s="54" t="str">
        <f>IF(AND('Mapa final'!$AJ$71="Media",'Mapa final'!$AL$71="Leve"),CONCATENATE("R2C",'Mapa final'!$S$71),"")</f>
        <v/>
      </c>
      <c r="O41" s="54" t="str">
        <f>IF(AND('Mapa final'!$AJ$73="Media",'Mapa final'!$AL$73="Leve"),CONCATENATE("R2C",'Mapa final'!$S$73),"")</f>
        <v/>
      </c>
      <c r="P41" s="55" t="str">
        <f>IF(AND('Mapa final'!$AJ$74="Media",'Mapa final'!$AL$74="Leve"),CONCATENATE("R2C",'Mapa final'!$S$74),"")</f>
        <v/>
      </c>
      <c r="Q41" s="53" t="str">
        <f>IF(AND('Mapa final'!$AJ$68="Media",'Mapa final'!$AL$68="Menor"),CONCATENATE("R2C",'Mapa final'!$S$68),"")</f>
        <v/>
      </c>
      <c r="R41" s="54" t="str">
        <f>IF(AND('Mapa final'!$AJ$69="Media",'Mapa final'!$AL$69="Menor"),CONCATENATE("R2C",'Mapa final'!$S$69),"")</f>
        <v/>
      </c>
      <c r="S41" s="54" t="str">
        <f>IF(AND('Mapa final'!$AJ$70="Media",'Mapa final'!$AL$70="Menor"),CONCATENATE("R2C",'Mapa final'!$S$70),"")</f>
        <v/>
      </c>
      <c r="T41" s="54" t="str">
        <f>IF(AND('Mapa final'!$AJ$71="Media",'Mapa final'!$AL$71="Menor"),CONCATENATE("R2C",'Mapa final'!$S$71),"")</f>
        <v/>
      </c>
      <c r="U41" s="54" t="str">
        <f>IF(AND('Mapa final'!$AJ$73="Media",'Mapa final'!$AL$73="Menor"),CONCATENATE("R2C",'Mapa final'!$S$73),"")</f>
        <v/>
      </c>
      <c r="V41" s="55" t="str">
        <f>IF(AND('Mapa final'!$AJ$74="Media",'Mapa final'!$AL$74="Menor"),CONCATENATE("R2C",'Mapa final'!$S$74),"")</f>
        <v/>
      </c>
      <c r="W41" s="53" t="str">
        <f>IF(AND('Mapa final'!$AJ$68="Media",'Mapa final'!$AL$68="Moderado"),CONCATENATE("R2C",'Mapa final'!$S$68),"")</f>
        <v/>
      </c>
      <c r="X41" s="54" t="str">
        <f>IF(AND('Mapa final'!$AJ$69="Media",'Mapa final'!$AL$69="Moderado"),CONCATENATE("R2C",'Mapa final'!$S$69),"")</f>
        <v/>
      </c>
      <c r="Y41" s="54" t="str">
        <f>IF(AND('Mapa final'!$AJ$70="Media",'Mapa final'!$AL$70="Moderado"),CONCATENATE("R2C",'Mapa final'!$S$70),"")</f>
        <v/>
      </c>
      <c r="Z41" s="54" t="str">
        <f>IF(AND('Mapa final'!$AJ$71="Media",'Mapa final'!$AL$71="Moderado"),CONCATENATE("R2C",'Mapa final'!$S$71),"")</f>
        <v/>
      </c>
      <c r="AA41" s="54" t="str">
        <f>IF(AND('Mapa final'!$AJ$73="Media",'Mapa final'!$AL$73="Moderado"),CONCATENATE("R2C",'Mapa final'!$S$73),"")</f>
        <v/>
      </c>
      <c r="AB41" s="55" t="str">
        <f>IF(AND('Mapa final'!$AJ$74="Media",'Mapa final'!$AL$74="Moderado"),CONCATENATE("R2C",'Mapa final'!$S$74),"")</f>
        <v/>
      </c>
      <c r="AC41" s="38" t="str">
        <f>IF(AND('Mapa final'!$AJ$68="Media",'Mapa final'!$AL$68="Mayor"),CONCATENATE("R2C",'Mapa final'!$S$68),"")</f>
        <v/>
      </c>
      <c r="AD41" s="178" t="str">
        <f>IF(AND('Mapa final'!$AJ$69="Media",'Mapa final'!$AL$69="Mayor"),CONCATENATE("R2C",'Mapa final'!$S$69),"")</f>
        <v/>
      </c>
      <c r="AE41" s="178" t="str">
        <f>IF(AND('Mapa final'!$AJ$70="Media",'Mapa final'!$AL$70="Mayor"),CONCATENATE("R2C",'Mapa final'!$S$70),"")</f>
        <v/>
      </c>
      <c r="AF41" s="178" t="str">
        <f>IF(AND('Mapa final'!$AJ$71="Media",'Mapa final'!$AL$71="Mayor"),CONCATENATE("R2C",'Mapa final'!$S$71),"")</f>
        <v/>
      </c>
      <c r="AG41" s="178" t="str">
        <f>IF(AND('Mapa final'!$AJ$73="Media",'Mapa final'!$AL$73="Mayor"),CONCATENATE("R2C",'Mapa final'!$S$73),"")</f>
        <v/>
      </c>
      <c r="AH41" s="40" t="str">
        <f>IF(AND('Mapa final'!$AJ$74="Media",'Mapa final'!$AL$74="Mayor"),CONCATENATE("R2C",'Mapa final'!$S$74),"")</f>
        <v/>
      </c>
      <c r="AI41" s="47" t="str">
        <f>IF(AND('Mapa final'!$AJ$68="Media",'Mapa final'!$AL$68="Catastrófico"),CONCATENATE("R2C",'Mapa final'!$S$68),"")</f>
        <v/>
      </c>
      <c r="AJ41" s="48" t="str">
        <f>IF(AND('Mapa final'!$AJ$69="Media",'Mapa final'!$AL$69="Catastrófico"),CONCATENATE("R2C",'Mapa final'!$S$69),"")</f>
        <v/>
      </c>
      <c r="AK41" s="48" t="str">
        <f>IF(AND('Mapa final'!$AJ$70="Media",'Mapa final'!$AL$70="Catastrófico"),CONCATENATE("R2C",'Mapa final'!$S$70),"")</f>
        <v/>
      </c>
      <c r="AL41" s="48" t="str">
        <f>IF(AND('Mapa final'!$AJ$71="Media",'Mapa final'!$AL$71="Catastrófico"),CONCATENATE("R2C",'Mapa final'!$S$71),"")</f>
        <v/>
      </c>
      <c r="AM41" s="48" t="str">
        <f>IF(AND('Mapa final'!$AJ$73="Media",'Mapa final'!$AL$73="Catastrófico"),CONCATENATE("R2C",'Mapa final'!$S$73),"")</f>
        <v/>
      </c>
      <c r="AN41" s="49" t="str">
        <f>IF(AND('Mapa final'!$AJ$74="Muy Alta",'Mapa final'!$AL$74="Catastrófico"),CONCATENATE("R2C",'Mapa final'!$S$74),"")</f>
        <v/>
      </c>
      <c r="AO41" s="69"/>
      <c r="AP41" s="499"/>
      <c r="AQ41" s="500"/>
      <c r="AR41" s="500"/>
      <c r="AS41" s="500"/>
      <c r="AT41" s="500"/>
      <c r="AU41" s="501"/>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60"/>
      <c r="D42" s="360"/>
      <c r="E42" s="361"/>
      <c r="F42" s="452" t="s">
        <v>113</v>
      </c>
      <c r="G42" s="453"/>
      <c r="H42" s="453"/>
      <c r="I42" s="453"/>
      <c r="J42" s="453"/>
      <c r="K42" s="59" t="str">
        <f ca="1">IF(AND('Mapa final'!$AJ$15="Baja",'Mapa final'!$AL$15="Leve"),CONCATENATE("R2C",'Mapa final'!$S$15),"")</f>
        <v/>
      </c>
      <c r="L42" s="60" t="str">
        <f ca="1">IF(AND('Mapa final'!$AJ$16="Baja",'Mapa final'!$AL$16="Leve"),CONCATENATE("R2C",'Mapa final'!$D$16),"")</f>
        <v/>
      </c>
      <c r="M42" s="60" t="str">
        <f ca="1">IF(AND('Mapa final'!$AJ$17="Baja",'Mapa final'!$AL$17="Leve"),CONCATENATE("R2C",'Mapa final'!$S$17),"")</f>
        <v/>
      </c>
      <c r="N42" s="60" t="str">
        <f ca="1">IF(AND('Mapa final'!$AJ$17="Baja",'Mapa final'!$AL$17="Leve"),CONCATENATE("R2C",'Mapa final'!$S$17),"")</f>
        <v/>
      </c>
      <c r="O42" s="60" t="str">
        <f ca="1">IF(AND('Mapa final'!$AJ$18="Baja",'Mapa final'!$AL$18="Leve"),CONCATENATE("R2C",'Mapa final'!$S$18),"")</f>
        <v/>
      </c>
      <c r="P42" s="61" t="str">
        <f>IF(AND('Mapa final'!$AJ$19="Baja",'Mapa final'!$AL$19="Leve"),CONCATENATE("R2C",'Mapa final'!$S$19),"")</f>
        <v/>
      </c>
      <c r="Q42" s="50" t="str">
        <f ca="1">IF(AND('Mapa final'!$AJ$15="Baja",'Mapa final'!$AL$15="Menor"),CONCATENATE("R2C",'Mapa final'!$S$15),"")</f>
        <v/>
      </c>
      <c r="R42" s="51"/>
      <c r="S42" s="51"/>
      <c r="T42" s="51"/>
      <c r="U42" s="51"/>
      <c r="V42" s="52"/>
      <c r="W42" s="50"/>
      <c r="X42" s="51"/>
      <c r="Y42" s="51"/>
      <c r="Z42" s="51" t="str">
        <f ca="1">IF(AND('Mapa final'!$AJ$17="Baja",'Mapa final'!$AL$17="Moderado"),CONCATENATE("R2C",'Mapa final'!$S$17),"")</f>
        <v/>
      </c>
      <c r="AA42" s="51" t="str">
        <f ca="1">IF(AND('Mapa final'!$AJ$18="Baja",'Mapa final'!$AL$18="Moderado"),CONCATENATE("R2C",'Mapa final'!$D$18),"")</f>
        <v>R2C4</v>
      </c>
      <c r="AB42" s="52" t="str">
        <f>IF(AND('Mapa final'!$AJ$19="Baja",'Mapa final'!$AL$19="Moderado"),CONCATENATE("R2C",'Mapa final'!$S$19),"")</f>
        <v/>
      </c>
      <c r="AC42" s="32" t="str">
        <f ca="1">IF(AND('Mapa final'!$AJ$15="Baja",'Mapa final'!$AL$15="Mayor"),CONCATENATE("R2C",'Mapa final'!$D$15),"")</f>
        <v>R2C1</v>
      </c>
      <c r="AD42" s="33"/>
      <c r="AE42" s="33" t="str">
        <f ca="1">IF(AND('Mapa final'!$AJ$16="Baja",'Mapa final'!$AL$16="Mayor"),CONCATENATE("R2C",'Mapa final'!$D$16),"")</f>
        <v>R2C2</v>
      </c>
      <c r="AF42" s="33" t="str">
        <f ca="1">IF(AND('Mapa final'!$AJ$17="Baja",'Mapa final'!$AL$17="Mayor"),CONCATENATE("R2C",'Mapa final'!$D$17),"")</f>
        <v>R2C3</v>
      </c>
      <c r="AG42" s="33" t="str">
        <f ca="1">IF(AND('Mapa final'!$AJ$18="Baja",'Mapa final'!$AL$18="Mayor"),CONCATENATE("R2C",'Mapa final'!$S$18),"")</f>
        <v/>
      </c>
      <c r="AH42" s="34" t="str">
        <f>IF(AND('Mapa final'!$AJ$19="Baja",'Mapa final'!$AL$19="Mayor"),CONCATENATE("R2C",'Mapa final'!$S$19),"")</f>
        <v/>
      </c>
      <c r="AI42" s="35" t="str">
        <f ca="1">IF(AND('Mapa final'!$AJ$15="Baja",'Mapa final'!$AL$15="Catastrófico"),CONCATENATE("R2C",'Mapa final'!$S$15),"")</f>
        <v/>
      </c>
      <c r="AJ42" s="36"/>
      <c r="AK42" s="36" t="str">
        <f ca="1">IF(AND('Mapa final'!$AJ$16="Baja",'Mapa final'!$AL$16="Catastrófico"),CONCATENATE("R2C",'Mapa final'!$S$16),"")</f>
        <v/>
      </c>
      <c r="AL42" s="36" t="str">
        <f ca="1">IF(AND('Mapa final'!$AJ$17="Baja",'Mapa final'!$AL$17="Catastrófico"),CONCATENATE("R2C",'Mapa final'!$S$17),"")</f>
        <v/>
      </c>
      <c r="AM42" s="36" t="str">
        <f ca="1">IF(AND('Mapa final'!$AJ$18="Baja",'Mapa final'!$AL$18="Catastrófico"),CONCATENATE("R2C",'Mapa final'!$S$18),"")</f>
        <v/>
      </c>
      <c r="AN42" s="37" t="str">
        <f>IF(AND('Mapa final'!$AJ$19="Baja",'Mapa final'!$AL$19="Catastrófico"),CONCATENATE("R2C",'Mapa final'!$S$19),"")</f>
        <v/>
      </c>
      <c r="AO42" s="69"/>
      <c r="AP42" s="484" t="s">
        <v>81</v>
      </c>
      <c r="AQ42" s="485"/>
      <c r="AR42" s="485"/>
      <c r="AS42" s="485"/>
      <c r="AT42" s="485"/>
      <c r="AU42" s="486"/>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60"/>
      <c r="D43" s="360"/>
      <c r="E43" s="361"/>
      <c r="F43" s="470"/>
      <c r="G43" s="456"/>
      <c r="H43" s="456"/>
      <c r="I43" s="456"/>
      <c r="J43" s="456"/>
      <c r="K43" s="62" t="str">
        <f>IF(AND('Mapa final'!$AJ$20="Baja",'Mapa final'!$AL$20="Leve"),CONCATENATE("R2C",'Mapa final'!$S$20),"")</f>
        <v/>
      </c>
      <c r="L43" s="63" t="str">
        <f>IF(AND('Mapa final'!$AJ$21="Baja",'Mapa final'!$AL$21="Leve"),CONCATENATE("R2C",'Mapa final'!$S$21),"")</f>
        <v/>
      </c>
      <c r="M43" s="63" t="str">
        <f>IF(AND('Mapa final'!$AJ$22="Baja",'Mapa final'!$AL$22="Leve"),CONCATENATE("R2C",'Mapa final'!$S$22),"")</f>
        <v/>
      </c>
      <c r="N43" s="63" t="str">
        <f>IF(AND('Mapa final'!$AJ$23="Baja",'Mapa final'!$AL$23="Leve"),CONCATENATE("R2C",'Mapa final'!$S$23),"")</f>
        <v/>
      </c>
      <c r="O43" s="63" t="str">
        <f>IF(AND('Mapa final'!$AJ$24="Baja",'Mapa final'!$AL$24="Leve"),CONCATENATE("R2C",'Mapa final'!$S$24),"")</f>
        <v/>
      </c>
      <c r="P43" s="64" t="str">
        <f>IF(AND('Mapa final'!$AJ$25="Baja",'Mapa final'!$AL$25="Leve"),CONCATENATE("R2C",'Mapa final'!$S$25),"")</f>
        <v/>
      </c>
      <c r="Q43" s="53" t="str">
        <f>IF(AND('Mapa final'!$AJ$20="Baja",'Mapa final'!$AL$20="Menor"),CONCATENATE("R2C",'Mapa final'!$S$20),"")</f>
        <v/>
      </c>
      <c r="R43" s="54" t="str">
        <f>IF(AND('Mapa final'!$AJ$21="Baja",'Mapa final'!$AL$21="Menor"),CONCATENATE("R2C",'Mapa final'!$S$21),"")</f>
        <v/>
      </c>
      <c r="S43" s="54" t="str">
        <f>IF(AND('Mapa final'!$AJ$22="Baja",'Mapa final'!$AL$22="Menor"),CONCATENATE("R2C",'Mapa final'!$S$22),"")</f>
        <v/>
      </c>
      <c r="T43" s="54" t="str">
        <f>IF(AND('Mapa final'!$AJ$23="Baja",'Mapa final'!$AL$23="Menor"),CONCATENATE("R2C",'Mapa final'!$S$23),"")</f>
        <v/>
      </c>
      <c r="U43" s="54" t="str">
        <f>IF(AND('Mapa final'!$AJ$24="Baja",'Mapa final'!$AL$24="Menor"),CONCATENATE("R2C",'Mapa final'!$S$24),"")</f>
        <v/>
      </c>
      <c r="V43" s="55" t="str">
        <f>IF(AND('Mapa final'!$AJ$25="Baja",'Mapa final'!$AL$25="Menor"),CONCATENATE("R2C",'Mapa final'!$S$25),"")</f>
        <v/>
      </c>
      <c r="W43" s="53" t="str">
        <f>IF(AND('Mapa final'!$AJ$20="Baja",'Mapa final'!$AL$20="Moderado"),CONCATENATE("R2C",'Mapa final'!$S$20),"")</f>
        <v/>
      </c>
      <c r="X43" s="54" t="str">
        <f>IF(AND('Mapa final'!$AJ$21="Baja",'Mapa final'!$AL$21="Moderado"),CONCATENATE("R2C",'Mapa final'!$S$21),"")</f>
        <v/>
      </c>
      <c r="Y43" s="54" t="str">
        <f>IF(AND('Mapa final'!$AJ$22="Baja",'Mapa final'!$AL$22="Moderado"),CONCATENATE("R2C",'Mapa final'!$S$22),"")</f>
        <v/>
      </c>
      <c r="Z43" s="54" t="str">
        <f>IF(AND('Mapa final'!$AJ$23="Baja",'Mapa final'!$AL$23="Moderado"),CONCATENATE("R2C",'Mapa final'!$S$23),"")</f>
        <v/>
      </c>
      <c r="AA43" s="54" t="str">
        <f>IF(AND('Mapa final'!$AJ$24="Baja",'Mapa final'!$AL$24="Moderado"),CONCATENATE("R2C",'Mapa final'!$S$24),"")</f>
        <v/>
      </c>
      <c r="AB43" s="55" t="str">
        <f>IF(AND('Mapa final'!$AJ$25="Baja",'Mapa final'!$AL$25="Moderado"),CONCATENATE("R2C",'Mapa final'!$S$25),"")</f>
        <v/>
      </c>
      <c r="AC43" s="38" t="str">
        <f>IF(AND('Mapa final'!$AJ$20="Baja",'Mapa final'!$AL$20="Mayor"),CONCATENATE("R2C",'Mapa final'!$S$20),"")</f>
        <v/>
      </c>
      <c r="AD43" s="178" t="str">
        <f>IF(AND('Mapa final'!$AJ$21="Baja",'Mapa final'!$AL$21="Mayor"),CONCATENATE("R2C",'Mapa final'!$S$21),"")</f>
        <v/>
      </c>
      <c r="AE43" s="178" t="str">
        <f>IF(AND('Mapa final'!$AJ$22="Baja",'Mapa final'!$AL$22="Mayor"),CONCATENATE("R2C",'Mapa final'!$S$22),"")</f>
        <v/>
      </c>
      <c r="AF43" s="178" t="str">
        <f>IF(AND('Mapa final'!$AJ$23="Baja",'Mapa final'!$AL$23="Mayor"),CONCATENATE("R2C",'Mapa final'!$S$23),"")</f>
        <v/>
      </c>
      <c r="AG43" s="178" t="str">
        <f>IF(AND('Mapa final'!$AJ$24="Baja",'Mapa final'!$AL$24="Mayor"),CONCATENATE("R2C",'Mapa final'!$S$24),"")</f>
        <v/>
      </c>
      <c r="AH43" s="40" t="str">
        <f>IF(AND('Mapa final'!$AJ$25="Baja",'Mapa final'!$AL$25="Mayor"),CONCATENATE("R2C",'Mapa final'!$S$25),"")</f>
        <v/>
      </c>
      <c r="AI43" s="41" t="str">
        <f>IF(AND('Mapa final'!$AJ$20="Baja",'Mapa final'!$AL$20="Catastrófico"),CONCATENATE("R2C",'Mapa final'!$S$20),"")</f>
        <v/>
      </c>
      <c r="AJ43" s="42" t="str">
        <f>IF(AND('Mapa final'!$AJ$21="Baja",'Mapa final'!$AL$21="Catastrófico"),CONCATENATE("R2C",'Mapa final'!$S$21),"")</f>
        <v/>
      </c>
      <c r="AK43" s="42" t="str">
        <f>IF(AND('Mapa final'!$AJ$22="Baja",'Mapa final'!$AL$22="Catastrófico"),CONCATENATE("R2C",'Mapa final'!$S$22),"")</f>
        <v/>
      </c>
      <c r="AL43" s="42" t="str">
        <f>IF(AND('Mapa final'!$AJ$23="Baja",'Mapa final'!$AL$23="Catastrófico"),CONCATENATE("R2C",'Mapa final'!$S$23),"")</f>
        <v/>
      </c>
      <c r="AM43" s="42" t="str">
        <f>IF(AND('Mapa final'!$AJ$24="Baja",'Mapa final'!$AL$24="Catastrófico"),CONCATENATE("R2C",'Mapa final'!$S$24),"")</f>
        <v/>
      </c>
      <c r="AN43" s="43" t="str">
        <f>IF(AND('Mapa final'!$AJ$25="Baja",'Mapa final'!$AL$25="Catastrófico"),CONCATENATE("R2C",'Mapa final'!$S$25),"")</f>
        <v/>
      </c>
      <c r="AO43" s="69"/>
      <c r="AP43" s="487"/>
      <c r="AQ43" s="488"/>
      <c r="AR43" s="488"/>
      <c r="AS43" s="488"/>
      <c r="AT43" s="488"/>
      <c r="AU43" s="48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60"/>
      <c r="D44" s="360"/>
      <c r="E44" s="361"/>
      <c r="F44" s="455"/>
      <c r="G44" s="456"/>
      <c r="H44" s="456"/>
      <c r="I44" s="456"/>
      <c r="J44" s="456"/>
      <c r="K44" s="62" t="str">
        <f>IF(AND('Mapa final'!$AJ$26="Baja",'Mapa final'!$AL$26="Leve"),CONCATENATE("R2C",'Mapa final'!$S$26),"")</f>
        <v/>
      </c>
      <c r="L44" s="63" t="str">
        <f>IF(AND('Mapa final'!$AJ$27="Baja",'Mapa final'!$AL$27="Leve"),CONCATENATE("R2C",'Mapa final'!$S$27),"")</f>
        <v/>
      </c>
      <c r="M44" s="63" t="str">
        <f>IF(AND('Mapa final'!$AJ$28="Baja",'Mapa final'!$AL$28="Leve"),CONCATENATE("R2C",'Mapa final'!$S$28),"")</f>
        <v/>
      </c>
      <c r="N44" s="63" t="str">
        <f>IF(AND('Mapa final'!$AJ$29="Baja",'Mapa final'!$AL$29="Leve"),CONCATENATE("R2C",'Mapa final'!$S$29),"")</f>
        <v/>
      </c>
      <c r="O44" s="63" t="str">
        <f>IF(AND('Mapa final'!$AJ$30="Baja",'Mapa final'!$AL$30="Leve"),CONCATENATE("R2C",'Mapa final'!$S$30),"")</f>
        <v/>
      </c>
      <c r="P44" s="64" t="str">
        <f>IF(AND('Mapa final'!$AJ$31="Baja",'Mapa final'!$AL$31="Leve"),CONCATENATE("R2C",'Mapa final'!$S$31),"")</f>
        <v/>
      </c>
      <c r="Q44" s="53" t="str">
        <f>IF(AND('Mapa final'!$AJ$26="Baja",'Mapa final'!$AL$26="Menor"),CONCATENATE("R2C",'Mapa final'!$S$26),"")</f>
        <v/>
      </c>
      <c r="R44" s="54" t="str">
        <f>IF(AND('Mapa final'!$AJ$27="Baja",'Mapa final'!$AL$27="Menor"),CONCATENATE("R2C",'Mapa final'!$S$27),"")</f>
        <v/>
      </c>
      <c r="S44" s="54" t="str">
        <f>IF(AND('Mapa final'!$AJ$28="Baja",'Mapa final'!$AL$28="Menor"),CONCATENATE("R2C",'Mapa final'!$S$28),"")</f>
        <v/>
      </c>
      <c r="T44" s="54" t="str">
        <f>IF(AND('Mapa final'!$AJ$29="Baja",'Mapa final'!$AL$29="Menor"),CONCATENATE("R2C",'Mapa final'!$S$29),"")</f>
        <v/>
      </c>
      <c r="U44" s="54" t="str">
        <f>IF(AND('Mapa final'!$AJ$30="Baja",'Mapa final'!$AL$30="Menor"),CONCATENATE("R2C",'Mapa final'!$S$30),"")</f>
        <v/>
      </c>
      <c r="V44" s="55" t="str">
        <f>IF(AND('Mapa final'!$AJ$31="Baja",'Mapa final'!$AL$31="Menor"),CONCATENATE("R2C",'Mapa final'!$S$31),"")</f>
        <v/>
      </c>
      <c r="W44" s="53" t="str">
        <f>IF(AND('Mapa final'!$AJ$26="Baja",'Mapa final'!$AL$26="Moderado"),CONCATENATE("R2C",'Mapa final'!$S$26),"")</f>
        <v/>
      </c>
      <c r="X44" s="54" t="str">
        <f>IF(AND('Mapa final'!$AJ$27="Baja",'Mapa final'!$AL$27="Moderado"),CONCATENATE("R2C",'Mapa final'!$S$27),"")</f>
        <v/>
      </c>
      <c r="Y44" s="54" t="str">
        <f>IF(AND('Mapa final'!$AJ$28="Baja",'Mapa final'!$AL$28="Moderado"),CONCATENATE("R2C",'Mapa final'!$S$28),"")</f>
        <v/>
      </c>
      <c r="Z44" s="54" t="str">
        <f>IF(AND('Mapa final'!$AJ$29="Baja",'Mapa final'!$AL$29="Moderado"),CONCATENATE("R2C",'Mapa final'!$S$29),"")</f>
        <v/>
      </c>
      <c r="AA44" s="54" t="str">
        <f>IF(AND('Mapa final'!$AJ$30="Baja",'Mapa final'!$AL$30="Moderado"),CONCATENATE("R2C",'Mapa final'!$S$30),"")</f>
        <v/>
      </c>
      <c r="AB44" s="55" t="str">
        <f>IF(AND('Mapa final'!$AJ$31="Baja",'Mapa final'!$AL$31="Moderado"),CONCATENATE("R2C",'Mapa final'!$S$31),"")</f>
        <v/>
      </c>
      <c r="AC44" s="38" t="str">
        <f>IF(AND('Mapa final'!$AJ$26="Baja",'Mapa final'!$AL$26="Mayor"),CONCATENATE("R2C",'Mapa final'!$S$26),"")</f>
        <v/>
      </c>
      <c r="AD44" s="178" t="str">
        <f>IF(AND('Mapa final'!$AJ$27="Baja",'Mapa final'!$AL$27="Mayor"),CONCATENATE("R2C",'Mapa final'!$S$27),"")</f>
        <v/>
      </c>
      <c r="AE44" s="178" t="str">
        <f>IF(AND('Mapa final'!$AJ$28="Baja",'Mapa final'!$AL$28="Mayor"),CONCATENATE("R2C",'Mapa final'!$S$28),"")</f>
        <v/>
      </c>
      <c r="AF44" s="178" t="str">
        <f>IF(AND('Mapa final'!$AJ$29="Baja",'Mapa final'!$AL$29="Mayor"),CONCATENATE("R2C",'Mapa final'!$S$29),"")</f>
        <v/>
      </c>
      <c r="AG44" s="178" t="str">
        <f>IF(AND('Mapa final'!$AJ$30="Baja",'Mapa final'!$AL$30="Mayor"),CONCATENATE("R2C",'Mapa final'!$S$30),"")</f>
        <v/>
      </c>
      <c r="AH44" s="40" t="str">
        <f>IF(AND('Mapa final'!$AJ$31="Baja",'Mapa final'!$AL$31="Mayor"),CONCATENATE("R2C",'Mapa final'!$S$31),"")</f>
        <v/>
      </c>
      <c r="AI44" s="41" t="str">
        <f>IF(AND('Mapa final'!$AJ$26="Baja",'Mapa final'!$AL$26="Catastrófico"),CONCATENATE("R2C",'Mapa final'!$S$26),"")</f>
        <v/>
      </c>
      <c r="AJ44" s="42" t="str">
        <f>IF(AND('Mapa final'!$AJ$27="Baja",'Mapa final'!$AL$27="Catastrófico"),CONCATENATE("R2C",'Mapa final'!$S$27),"")</f>
        <v/>
      </c>
      <c r="AK44" s="42" t="str">
        <f>IF(AND('Mapa final'!$AJ$28="Baja",'Mapa final'!$AL$28="Catastrófico"),CONCATENATE("R2C",'Mapa final'!$S$28),"")</f>
        <v/>
      </c>
      <c r="AL44" s="42" t="str">
        <f>IF(AND('Mapa final'!$AJ$29="Baja",'Mapa final'!$AL$29="Catastrófico"),CONCATENATE("R2C",'Mapa final'!$S$29),"")</f>
        <v/>
      </c>
      <c r="AM44" s="42" t="str">
        <f>IF(AND('Mapa final'!$AJ$30="Baja",'Mapa final'!$AL$30="Catastrófico"),CONCATENATE("R2C",'Mapa final'!$S$30),"")</f>
        <v/>
      </c>
      <c r="AN44" s="43" t="str">
        <f>IF(AND('Mapa final'!$AJ$31="Baja",'Mapa final'!$AL$31="Catastrófico"),CONCATENATE("R2C",'Mapa final'!$S$31),"")</f>
        <v/>
      </c>
      <c r="AO44" s="69"/>
      <c r="AP44" s="487"/>
      <c r="AQ44" s="488"/>
      <c r="AR44" s="488"/>
      <c r="AS44" s="488"/>
      <c r="AT44" s="488"/>
      <c r="AU44" s="48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60"/>
      <c r="D45" s="360"/>
      <c r="E45" s="361"/>
      <c r="F45" s="455"/>
      <c r="G45" s="456"/>
      <c r="H45" s="456"/>
      <c r="I45" s="456"/>
      <c r="J45" s="456"/>
      <c r="K45" s="62" t="str">
        <f>IF(AND('Mapa final'!$AJ$32="Baja",'Mapa final'!$AL$32="Leve"),CONCATENATE("R2C",'Mapa final'!$S$32),"")</f>
        <v/>
      </c>
      <c r="L45" s="63" t="str">
        <f>IF(AND('Mapa final'!$AJ$33="Baja",'Mapa final'!$AL$33="Leve"),CONCATENATE("R2C",'Mapa final'!$S$33),"")</f>
        <v/>
      </c>
      <c r="M45" s="63" t="str">
        <f>IF(AND('Mapa final'!$AJ$34="Baja",'Mapa final'!$AL$34="Leve"),CONCATENATE("R2C",'Mapa final'!$S$34),"")</f>
        <v/>
      </c>
      <c r="N45" s="63" t="str">
        <f>IF(AND('Mapa final'!$AJ$35="Baja",'Mapa final'!$AL$35="Leve"),CONCATENATE("R2C",'Mapa final'!$S$35),"")</f>
        <v/>
      </c>
      <c r="O45" s="63" t="str">
        <f>IF(AND('Mapa final'!$AJ$36="Baja",'Mapa final'!$AL$36="Leve"),CONCATENATE("R2C",'Mapa final'!$S$36),"")</f>
        <v/>
      </c>
      <c r="P45" s="64" t="str">
        <f>IF(AND('Mapa final'!$AJ$37="Baja",'Mapa final'!$AL$37="Leve"),CONCATENATE("R2C",'Mapa final'!$S$37),"")</f>
        <v/>
      </c>
      <c r="Q45" s="53" t="str">
        <f>IF(AND('Mapa final'!$AJ$32="Baja",'Mapa final'!$AL$32="Menor"),CONCATENATE("R2C",'Mapa final'!$S$32),"")</f>
        <v/>
      </c>
      <c r="R45" s="54" t="str">
        <f>IF(AND('Mapa final'!$AJ$33="Baja",'Mapa final'!$AL$33="Menor"),CONCATENATE("R2C",'Mapa final'!$S$33),"")</f>
        <v/>
      </c>
      <c r="S45" s="54" t="str">
        <f>IF(AND('Mapa final'!$AJ$34="Baja",'Mapa final'!$AL$34="Menor"),CONCATENATE("R2C",'Mapa final'!$S$34),"")</f>
        <v/>
      </c>
      <c r="T45" s="54" t="str">
        <f>IF(AND('Mapa final'!$AJ$35="Baja",'Mapa final'!$AL$35="Menor"),CONCATENATE("R2C",'Mapa final'!$S$35),"")</f>
        <v/>
      </c>
      <c r="U45" s="54" t="str">
        <f>IF(AND('Mapa final'!$AJ$36="Baja",'Mapa final'!$AL$36="LMenor"),CONCATENATE("R2C",'Mapa final'!$S$36),"")</f>
        <v/>
      </c>
      <c r="V45" s="55" t="str">
        <f>IF(AND('Mapa final'!$AJ$37="Baja",'Mapa final'!$AL$37="Menor"),CONCATENATE("R2C",'Mapa final'!$S$37),"")</f>
        <v/>
      </c>
      <c r="W45" s="53" t="str">
        <f>IF(AND('Mapa final'!$AJ$32="Baja",'Mapa final'!$AL$32="Moderado"),CONCATENATE("R2C",'Mapa final'!$S$32),"")</f>
        <v/>
      </c>
      <c r="X45" s="54" t="str">
        <f>IF(AND('Mapa final'!$AJ$33="Baja",'Mapa final'!$AL$33="Moderado"),CONCATENATE("R2C",'Mapa final'!$S$33),"")</f>
        <v/>
      </c>
      <c r="Y45" s="54" t="str">
        <f>IF(AND('Mapa final'!$AJ$34="Baja",'Mapa final'!$AL$34="Moderado"),CONCATENATE("R2C",'Mapa final'!$S$34),"")</f>
        <v/>
      </c>
      <c r="Z45" s="54" t="str">
        <f>IF(AND('Mapa final'!$AJ$35="Baja",'Mapa final'!$AL$35="Moderado"),CONCATENATE("R2C",'Mapa final'!$S$35),"")</f>
        <v/>
      </c>
      <c r="AA45" s="54" t="str">
        <f>IF(AND('Mapa final'!$AJ$36="Baja",'Mapa final'!$AL$36="Moderado"),CONCATENATE("R2C",'Mapa final'!$S$36),"")</f>
        <v/>
      </c>
      <c r="AB45" s="55" t="str">
        <f>IF(AND('Mapa final'!$AJ$37="Baja",'Mapa final'!$AL$37="Moderado"),CONCATENATE("R2C",'Mapa final'!$S$37),"")</f>
        <v/>
      </c>
      <c r="AC45" s="38" t="str">
        <f>IF(AND('Mapa final'!$AJ$32="Baja",'Mapa final'!$AL$32="Mayor"),CONCATENATE("R2C",'Mapa final'!$S$32),"")</f>
        <v/>
      </c>
      <c r="AD45" s="178" t="str">
        <f>IF(AND('Mapa final'!$AJ$33="Baja",'Mapa final'!$AL$33="Mayor"),CONCATENATE("R2C",'Mapa final'!$S$33),"")</f>
        <v/>
      </c>
      <c r="AE45" s="178" t="str">
        <f>IF(AND('Mapa final'!$AJ$34="Baja",'Mapa final'!$AL$34="Mayor"),CONCATENATE("R2C",'Mapa final'!$S$34),"")</f>
        <v/>
      </c>
      <c r="AF45" s="178" t="str">
        <f>IF(AND('Mapa final'!$AJ$35="Baja",'Mapa final'!$AL$35="Mayor"),CONCATENATE("R2C",'Mapa final'!$S$35),"")</f>
        <v/>
      </c>
      <c r="AG45" s="178" t="str">
        <f>IF(AND('Mapa final'!$AJ$36="Baja",'Mapa final'!$AL$36="Mayor"),CONCATENATE("R2C",'Mapa final'!$S$36),"")</f>
        <v/>
      </c>
      <c r="AH45" s="40" t="str">
        <f>IF(AND('Mapa final'!$AJ$37="Baja",'Mapa final'!$AL$37="Mayor"),CONCATENATE("R2C",'Mapa final'!$S$37),"")</f>
        <v/>
      </c>
      <c r="AI45" s="41" t="str">
        <f>IF(AND('Mapa final'!$AJ$32="Baja",'Mapa final'!$AL$32="Catastrófico"),CONCATENATE("R2C",'Mapa final'!$S$32),"")</f>
        <v/>
      </c>
      <c r="AJ45" s="42" t="str">
        <f>IF(AND('Mapa final'!$AJ$33="Baja",'Mapa final'!$AL$33="Catastrófico"),CONCATENATE("R2C",'Mapa final'!$S$33),"")</f>
        <v/>
      </c>
      <c r="AK45" s="42" t="str">
        <f>IF(AND('Mapa final'!$AJ$34="Baja",'Mapa final'!$AL$34="Catastrófico"),CONCATENATE("R2C",'Mapa final'!$S$34),"")</f>
        <v/>
      </c>
      <c r="AL45" s="42" t="str">
        <f>IF(AND('Mapa final'!$AJ$35="Baja",'Mapa final'!$AL$35="Catastrófico"),CONCATENATE("R2C",'Mapa final'!$S$35),"")</f>
        <v/>
      </c>
      <c r="AM45" s="42" t="str">
        <f>IF(AND('Mapa final'!$AJ$36="Baja",'Mapa final'!$AL$36="LCatastrófico"),CONCATENATE("R2C",'Mapa final'!$S$36),"")</f>
        <v/>
      </c>
      <c r="AN45" s="43" t="str">
        <f>IF(AND('Mapa final'!$AJ$37="Baja",'Mapa final'!$AL$37="Catastrófico"),CONCATENATE("R2C",'Mapa final'!$S$37),"")</f>
        <v/>
      </c>
      <c r="AO45" s="69"/>
      <c r="AP45" s="487"/>
      <c r="AQ45" s="488"/>
      <c r="AR45" s="488"/>
      <c r="AS45" s="488"/>
      <c r="AT45" s="488"/>
      <c r="AU45" s="48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60"/>
      <c r="D46" s="360"/>
      <c r="E46" s="361"/>
      <c r="F46" s="455"/>
      <c r="G46" s="456"/>
      <c r="H46" s="456"/>
      <c r="I46" s="456"/>
      <c r="J46" s="456"/>
      <c r="K46" s="62" t="str">
        <f>IF(AND('Mapa final'!$AJ$38="Baja",'Mapa final'!$AL$38="Leve"),CONCATENATE("R2C",'Mapa final'!$S$38),"")</f>
        <v/>
      </c>
      <c r="L46" s="63" t="str">
        <f>IF(AND('Mapa final'!$AJ$39="Baja",'Mapa final'!$AL$39="Leve"),CONCATENATE("R2C",'Mapa final'!$S$39),"")</f>
        <v/>
      </c>
      <c r="M46" s="63" t="str">
        <f>IF(AND('Mapa final'!$AJ$40="Baja",'Mapa final'!$AL$40="Leve"),CONCATENATE("R2C",'Mapa final'!$S$40),"")</f>
        <v/>
      </c>
      <c r="N46" s="63" t="str">
        <f>IF(AND('Mapa final'!$AJ$41="Baja",'Mapa final'!$AL$41="Leve"),CONCATENATE("R2C",'Mapa final'!$S$41),"")</f>
        <v/>
      </c>
      <c r="O46" s="63" t="str">
        <f>IF(AND('Mapa final'!$AJ$42="Baja",'Mapa final'!$AL$42="Leve"),CONCATENATE("R2C",'Mapa final'!$S$42),"")</f>
        <v/>
      </c>
      <c r="P46" s="64" t="str">
        <f>IF(AND('Mapa final'!$AJ$43="Baja",'Mapa final'!$AL$43="Leve"),CONCATENATE("R2C",'Mapa final'!$S$43),"")</f>
        <v/>
      </c>
      <c r="Q46" s="53" t="str">
        <f>IF(AND('Mapa final'!$AJ$38="Baja",'Mapa final'!$AL$38="Menor"),CONCATENATE("R2C",'Mapa final'!$S$38),"")</f>
        <v/>
      </c>
      <c r="R46" s="54" t="str">
        <f>IF(AND('Mapa final'!$AJ$39="Baja",'Mapa final'!$AL$39="Menor"),CONCATENATE("R2C",'Mapa final'!$S$39),"")</f>
        <v/>
      </c>
      <c r="S46" s="54" t="str">
        <f>IF(AND('Mapa final'!$AJ$40="Baja",'Mapa final'!$AL$40="Menor"),CONCATENATE("R2C",'Mapa final'!$S$40),"")</f>
        <v/>
      </c>
      <c r="T46" s="54" t="str">
        <f>IF(AND('Mapa final'!$AJ$41="Baja",'Mapa final'!$AL$41="Menor"),CONCATENATE("R2C",'Mapa final'!$S$41),"")</f>
        <v/>
      </c>
      <c r="U46" s="54" t="str">
        <f>IF(AND('Mapa final'!$AJ$42="Baja",'Mapa final'!$AL$42="Menor"),CONCATENATE("R2C",'Mapa final'!$S$42),"")</f>
        <v/>
      </c>
      <c r="V46" s="55" t="str">
        <f>IF(AND('Mapa final'!$AJ$43="Baja",'Mapa final'!$AL$43="Menor"),CONCATENATE("R2C",'Mapa final'!$S$43),"")</f>
        <v/>
      </c>
      <c r="W46" s="53" t="str">
        <f>IF(AND('Mapa final'!$AJ$38="Baja",'Mapa final'!$AL$38="Moderado"),CONCATENATE("R2C",'Mapa final'!$S$38),"")</f>
        <v/>
      </c>
      <c r="X46" s="54" t="str">
        <f>IF(AND('Mapa final'!$AJ$39="Baja",'Mapa final'!$AL$39="Moderado"),CONCATENATE("R2C",'Mapa final'!$S$39),"")</f>
        <v/>
      </c>
      <c r="Y46" s="54" t="str">
        <f>IF(AND('Mapa final'!$AJ$40="Baja",'Mapa final'!$AL$40="Moderado"),CONCATENATE("R2C",'Mapa final'!$S$40),"")</f>
        <v/>
      </c>
      <c r="Z46" s="54" t="str">
        <f>IF(AND('Mapa final'!$AJ$41="Baja",'Mapa final'!$AL$41="Moderado"),CONCATENATE("R2C",'Mapa final'!$S$41),"")</f>
        <v/>
      </c>
      <c r="AA46" s="54" t="str">
        <f>IF(AND('Mapa final'!$AJ$42="Baja",'Mapa final'!$AL$42="Moderado"),CONCATENATE("R2C",'Mapa final'!$S$42),"")</f>
        <v/>
      </c>
      <c r="AB46" s="55" t="str">
        <f>IF(AND('Mapa final'!$AJ$43="Baja",'Mapa final'!$AL$43="Moderado"),CONCATENATE("R2C",'Mapa final'!$S$43),"")</f>
        <v/>
      </c>
      <c r="AC46" s="38" t="str">
        <f>IF(AND('Mapa final'!$AJ$38="Baja",'Mapa final'!$AL$38="Mayor"),CONCATENATE("R2C",'Mapa final'!$S$38),"")</f>
        <v/>
      </c>
      <c r="AD46" s="178" t="str">
        <f>IF(AND('Mapa final'!$AJ$39="Baja",'Mapa final'!$AL$39="Mayor"),CONCATENATE("R2C",'Mapa final'!$S$39),"")</f>
        <v/>
      </c>
      <c r="AE46" s="178" t="str">
        <f>IF(AND('Mapa final'!$AJ$40="Baja",'Mapa final'!$AL$40="Mayor"),CONCATENATE("R2C",'Mapa final'!$S$40),"")</f>
        <v/>
      </c>
      <c r="AF46" s="178" t="str">
        <f>IF(AND('Mapa final'!$AJ$41="Baja",'Mapa final'!$AL$41="Mayor"),CONCATENATE("R2C",'Mapa final'!$S$41),"")</f>
        <v/>
      </c>
      <c r="AG46" s="178" t="str">
        <f>IF(AND('Mapa final'!$AJ$42="Baja",'Mapa final'!$AL$42="Mayor"),CONCATENATE("R2C",'Mapa final'!$S$42),"")</f>
        <v/>
      </c>
      <c r="AH46" s="40" t="str">
        <f>IF(AND('Mapa final'!$AJ$43="Baja",'Mapa final'!$AL$43="Mayor"),CONCATENATE("R2C",'Mapa final'!$S$43),"")</f>
        <v/>
      </c>
      <c r="AI46" s="41" t="str">
        <f>IF(AND('Mapa final'!$AJ$38="Baja",'Mapa final'!$AL$38="Catastrófico"),CONCATENATE("R2C",'Mapa final'!$S$38),"")</f>
        <v/>
      </c>
      <c r="AJ46" s="42" t="str">
        <f>IF(AND('Mapa final'!$AJ$39="Baja",'Mapa final'!$AL$39="Catastrófico"),CONCATENATE("R2C",'Mapa final'!$S$39),"")</f>
        <v/>
      </c>
      <c r="AK46" s="42" t="str">
        <f>IF(AND('Mapa final'!$AJ$40="Baja",'Mapa final'!$AL$40="Catastrófico"),CONCATENATE("R2C",'Mapa final'!$S$40),"")</f>
        <v/>
      </c>
      <c r="AL46" s="42" t="str">
        <f>IF(AND('Mapa final'!$AJ$41="Baja",'Mapa final'!$AL$41="Catastrófico"),CONCATENATE("R2C",'Mapa final'!$S$41),"")</f>
        <v/>
      </c>
      <c r="AM46" s="42" t="str">
        <f>IF(AND('Mapa final'!$AJ$42="Baja",'Mapa final'!$AL$42="Catastrófico"),CONCATENATE("R2C",'Mapa final'!$S$42),"")</f>
        <v/>
      </c>
      <c r="AN46" s="43" t="str">
        <f>IF(AND('Mapa final'!$AJ$43="Baja",'Mapa final'!$AL$43="Catastrófico"),CONCATENATE("R2C",'Mapa final'!$S$43),"")</f>
        <v/>
      </c>
      <c r="AO46" s="69"/>
      <c r="AP46" s="487"/>
      <c r="AQ46" s="488"/>
      <c r="AR46" s="488"/>
      <c r="AS46" s="488"/>
      <c r="AT46" s="488"/>
      <c r="AU46" s="48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60"/>
      <c r="D47" s="360"/>
      <c r="E47" s="361"/>
      <c r="F47" s="455"/>
      <c r="G47" s="456"/>
      <c r="H47" s="456"/>
      <c r="I47" s="456"/>
      <c r="J47" s="456"/>
      <c r="K47" s="62" t="str">
        <f>IF(AND('Mapa final'!$AJ$44="Baja",'Mapa final'!$AL$44="Leve"),CONCATENATE("R2C",'Mapa final'!$S$44),"")</f>
        <v/>
      </c>
      <c r="L47" s="63" t="str">
        <f>IF(AND('Mapa final'!$AJ$45="Baja",'Mapa final'!$AL$45="Leve"),CONCATENATE("R2C",'Mapa final'!$S$45),"")</f>
        <v/>
      </c>
      <c r="M47" s="63" t="str">
        <f>IF(AND('Mapa final'!$AJ$46="Baja",'Mapa final'!$AL$46="Leve"),CONCATENATE("R2C",'Mapa final'!$S$46),"")</f>
        <v/>
      </c>
      <c r="N47" s="63" t="str">
        <f>IF(AND('Mapa final'!$AJ$47="Baja",'Mapa final'!$AL$47="Leve"),CONCATENATE("R2C",'Mapa final'!$S$47),"")</f>
        <v/>
      </c>
      <c r="O47" s="63" t="str">
        <f>IF(AND('Mapa final'!$AJ$48="Baja",'Mapa final'!$AL$48="Leve"),CONCATENATE("R2C",'Mapa final'!$S$48),"")</f>
        <v/>
      </c>
      <c r="P47" s="64" t="str">
        <f>IF(AND('Mapa final'!$AJ$59="Baja",'Mapa final'!$AL$49="Leve"),CONCATENATE("R2C",'Mapa final'!$S$49),"")</f>
        <v/>
      </c>
      <c r="Q47" s="53" t="str">
        <f>IF(AND('Mapa final'!$AJ$44="Baja",'Mapa final'!$AL$44="Menor"),CONCATENATE("R2C",'Mapa final'!$S$44),"")</f>
        <v/>
      </c>
      <c r="R47" s="54" t="str">
        <f>IF(AND('Mapa final'!$AJ$45="Baja",'Mapa final'!$AL$45="Menor"),CONCATENATE("R2C",'Mapa final'!$S$45),"")</f>
        <v/>
      </c>
      <c r="S47" s="54" t="str">
        <f>IF(AND('Mapa final'!$AJ$46="Baja",'Mapa final'!$AL$46="Menor"),CONCATENATE("R2C",'Mapa final'!$S$46),"")</f>
        <v/>
      </c>
      <c r="T47" s="54" t="str">
        <f>IF(AND('Mapa final'!$AJ$47="Baja",'Mapa final'!$AL$47="Menor"),CONCATENATE("R2C",'Mapa final'!$S$47),"")</f>
        <v/>
      </c>
      <c r="U47" s="54" t="str">
        <f>IF(AND('Mapa final'!$AJ$48="Baja",'Mapa final'!$AL$48="Menor"),CONCATENATE("R2C",'Mapa final'!$S$48),"")</f>
        <v/>
      </c>
      <c r="V47" s="55" t="str">
        <f>IF(AND('Mapa final'!$AJ$59="Baja",'Mapa final'!$AL$49="Menor"),CONCATENATE("R2C",'Mapa final'!$S$49),"")</f>
        <v/>
      </c>
      <c r="W47" s="53" t="str">
        <f>IF(AND('Mapa final'!$AJ$44="Baja",'Mapa final'!$AL$44="Moderado"),CONCATENATE("R2C",'Mapa final'!$S$44),"")</f>
        <v/>
      </c>
      <c r="X47" s="54" t="str">
        <f>IF(AND('Mapa final'!$AJ$45="Baja",'Mapa final'!$AL$45="Moderado"),CONCATENATE("R2C",'Mapa final'!$S$45),"")</f>
        <v/>
      </c>
      <c r="Y47" s="54" t="str">
        <f>IF(AND('Mapa final'!$AJ$46="Baja",'Mapa final'!$AL$46="Moderado"),CONCATENATE("R2C",'Mapa final'!$S$46),"")</f>
        <v/>
      </c>
      <c r="Z47" s="54" t="str">
        <f>IF(AND('Mapa final'!$AJ$47="Baja",'Mapa final'!$AL$47="Moderado"),CONCATENATE("R2C",'Mapa final'!$S$47),"")</f>
        <v/>
      </c>
      <c r="AA47" s="54" t="str">
        <f>IF(AND('Mapa final'!$AJ$48="Baja",'Mapa final'!$AL$48="Moderado"),CONCATENATE("R2C",'Mapa final'!$S$48),"")</f>
        <v/>
      </c>
      <c r="AB47" s="55" t="str">
        <f>IF(AND('Mapa final'!$AJ$59="Baja",'Mapa final'!$AL$49="Moderado"),CONCATENATE("R2C",'Mapa final'!$S$49),"")</f>
        <v/>
      </c>
      <c r="AC47" s="38" t="str">
        <f>IF(AND('Mapa final'!$AJ$44="Baja",'Mapa final'!$AL$44="Mayor"),CONCATENATE("R2C",'Mapa final'!$S$44),"")</f>
        <v/>
      </c>
      <c r="AD47" s="178" t="str">
        <f>IF(AND('Mapa final'!$AJ$45="Baja",'Mapa final'!$AL$45="Mayor"),CONCATENATE("R2C",'Mapa final'!$S$45),"")</f>
        <v/>
      </c>
      <c r="AE47" s="178" t="str">
        <f>IF(AND('Mapa final'!$AJ$46="Baja",'Mapa final'!$AL$46="Mayor"),CONCATENATE("R2C",'Mapa final'!$S$46),"")</f>
        <v/>
      </c>
      <c r="AF47" s="178" t="str">
        <f>IF(AND('Mapa final'!$AJ$47="Baja",'Mapa final'!$AL$47="Mayor"),CONCATENATE("R2C",'Mapa final'!$S$47),"")</f>
        <v/>
      </c>
      <c r="AG47" s="178" t="str">
        <f>IF(AND('Mapa final'!$AJ$48="Baja",'Mapa final'!$AL$48="Mayor"),CONCATENATE("R2C",'Mapa final'!$S$48),"")</f>
        <v/>
      </c>
      <c r="AH47" s="40" t="str">
        <f>IF(AND('Mapa final'!$AJ$59="Baja",'Mapa final'!$AL$49="Mayor"),CONCATENATE("R2C",'Mapa final'!$S$49),"")</f>
        <v/>
      </c>
      <c r="AI47" s="41" t="str">
        <f>IF(AND('Mapa final'!$AJ$44="Baja",'Mapa final'!$AL$44="Catastrófico"),CONCATENATE("R2C",'Mapa final'!$S$44),"")</f>
        <v/>
      </c>
      <c r="AJ47" s="42" t="str">
        <f>IF(AND('Mapa final'!$AJ$45="Baja",'Mapa final'!$AL$45="Catastrófico"),CONCATENATE("R2C",'Mapa final'!$S$45),"")</f>
        <v/>
      </c>
      <c r="AK47" s="42" t="str">
        <f>IF(AND('Mapa final'!$AJ$46="Baja",'Mapa final'!$AL$46="Catastrófico"),CONCATENATE("R2C",'Mapa final'!$S$46),"")</f>
        <v/>
      </c>
      <c r="AL47" s="42" t="str">
        <f>IF(AND('Mapa final'!$AJ$47="Baja",'Mapa final'!$AL$47="Catastrófico"),CONCATENATE("R2C",'Mapa final'!$S$47),"")</f>
        <v/>
      </c>
      <c r="AM47" s="42" t="str">
        <f>IF(AND('Mapa final'!$AJ$48="Baja",'Mapa final'!$AL$48="Catastrófico"),CONCATENATE("R2C",'Mapa final'!$S$48),"")</f>
        <v/>
      </c>
      <c r="AN47" s="43" t="str">
        <f>IF(AND('Mapa final'!$AJ$59="Baja",'Mapa final'!$AL$49="Catastrófico"),CONCATENATE("R2C",'Mapa final'!$S$49),"")</f>
        <v/>
      </c>
      <c r="AO47" s="69"/>
      <c r="AP47" s="487"/>
      <c r="AQ47" s="488"/>
      <c r="AR47" s="488"/>
      <c r="AS47" s="488"/>
      <c r="AT47" s="488"/>
      <c r="AU47" s="48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60"/>
      <c r="D48" s="360"/>
      <c r="E48" s="361"/>
      <c r="F48" s="455"/>
      <c r="G48" s="456"/>
      <c r="H48" s="456"/>
      <c r="I48" s="456"/>
      <c r="J48" s="456"/>
      <c r="K48" s="62" t="str">
        <f>IF(AND('Mapa final'!$AJ$50="Baja",'Mapa final'!$AL$50="Leve"),CONCATENATE("R2C",'Mapa final'!$S$50),"")</f>
        <v/>
      </c>
      <c r="L48" s="63" t="str">
        <f>IF(AND('Mapa final'!$AJ$51="Baja",'Mapa final'!$AL$51="Leve"),CONCATENATE("R2C",'Mapa final'!$S$51),"")</f>
        <v/>
      </c>
      <c r="M48" s="63" t="str">
        <f>IF(AND('Mapa final'!$AJ$52="Baja",'Mapa final'!$AL$52="Leve"),CONCATENATE("R2C",'Mapa final'!$S$52),"")</f>
        <v/>
      </c>
      <c r="N48" s="63" t="str">
        <f>IF(AND('Mapa final'!$AJ$53="Baja",'Mapa final'!$AL$53="Leve"),CONCATENATE("R2C",'Mapa final'!$S$53),"")</f>
        <v/>
      </c>
      <c r="O48" s="63" t="str">
        <f>IF(AND('Mapa final'!$AJ$54="Baja",'Mapa final'!$AL$54="Leve"),CONCATENATE("R2C",'Mapa final'!$S$54),"")</f>
        <v/>
      </c>
      <c r="P48" s="64" t="str">
        <f>IF(AND('Mapa final'!$AJ$55="Baja",'Mapa final'!$AL$55="Leve"),CONCATENATE("R2C",'Mapa final'!$S$55),"")</f>
        <v/>
      </c>
      <c r="Q48" s="53" t="str">
        <f>IF(AND('Mapa final'!$AJ$50="Baja",'Mapa final'!$AL$50="Menor"),CONCATENATE("R2C",'Mapa final'!$S$50),"")</f>
        <v/>
      </c>
      <c r="R48" s="54" t="str">
        <f>IF(AND('Mapa final'!$AJ$51="Baja",'Mapa final'!$AL$51="Menor"),CONCATENATE("R2C",'Mapa final'!$S$51),"")</f>
        <v/>
      </c>
      <c r="S48" s="54" t="str">
        <f>IF(AND('Mapa final'!$AJ$52="Baja",'Mapa final'!$AL$52="Menor"),CONCATENATE("R2C",'Mapa final'!$S$52),"")</f>
        <v/>
      </c>
      <c r="T48" s="54" t="str">
        <f>IF(AND('Mapa final'!$AJ$53="Baja",'Mapa final'!$AL$53="Menor"),CONCATENATE("R2C",'Mapa final'!$S$53),"")</f>
        <v/>
      </c>
      <c r="U48" s="54" t="str">
        <f>IF(AND('Mapa final'!$AJ$54="Baja",'Mapa final'!$AL$54="Menor"),CONCATENATE("R2C",'Mapa final'!$S$54),"")</f>
        <v/>
      </c>
      <c r="V48" s="55" t="str">
        <f>IF(AND('Mapa final'!$AJ$55="Baja",'Mapa final'!$AL$55="Menor"),CONCATENATE("R2C",'Mapa final'!$S$55),"")</f>
        <v/>
      </c>
      <c r="W48" s="53" t="str">
        <f>IF(AND('Mapa final'!$AJ$50="Baja",'Mapa final'!$AL$50="Moderado"),CONCATENATE("R2C",'Mapa final'!$S$50),"")</f>
        <v/>
      </c>
      <c r="X48" s="54" t="str">
        <f>IF(AND('Mapa final'!$AJ$51="Baja",'Mapa final'!$AL$51="Moderado"),CONCATENATE("R2C",'Mapa final'!$S$51),"")</f>
        <v/>
      </c>
      <c r="Y48" s="54" t="str">
        <f>IF(AND('Mapa final'!$AJ$52="Baja",'Mapa final'!$AL$52="Moderado"),CONCATENATE("R2C",'Mapa final'!$S$52),"")</f>
        <v/>
      </c>
      <c r="Z48" s="54" t="str">
        <f>IF(AND('Mapa final'!$AJ$53="Baja",'Mapa final'!$AL$53="Moderado"),CONCATENATE("R2C",'Mapa final'!$S$53),"")</f>
        <v/>
      </c>
      <c r="AA48" s="54" t="str">
        <f>IF(AND('Mapa final'!$AJ$54="Baja",'Mapa final'!$AL$54="Moderado"),CONCATENATE("R2C",'Mapa final'!$S$54),"")</f>
        <v/>
      </c>
      <c r="AB48" s="55" t="str">
        <f>IF(AND('Mapa final'!$AJ$55="Baja",'Mapa final'!$AL$55="Moderado"),CONCATENATE("R2C",'Mapa final'!$S$55),"")</f>
        <v/>
      </c>
      <c r="AC48" s="38" t="str">
        <f>IF(AND('Mapa final'!$AJ$50="Baja",'Mapa final'!$AL$50="Mayor"),CONCATENATE("R2C",'Mapa final'!$S$50),"")</f>
        <v/>
      </c>
      <c r="AD48" s="178" t="str">
        <f>IF(AND('Mapa final'!$AJ$51="Baja",'Mapa final'!$AL$51="Mayor"),CONCATENATE("R2C",'Mapa final'!$S$51),"")</f>
        <v/>
      </c>
      <c r="AE48" s="178" t="str">
        <f>IF(AND('Mapa final'!$AJ$52="Baja",'Mapa final'!$AL$52="Mayor"),CONCATENATE("R2C",'Mapa final'!$S$52),"")</f>
        <v/>
      </c>
      <c r="AF48" s="178" t="str">
        <f>IF(AND('Mapa final'!$AJ$53="Baja",'Mapa final'!$AL$53="Mayor"),CONCATENATE("R2C",'Mapa final'!$S$53),"")</f>
        <v/>
      </c>
      <c r="AG48" s="178" t="str">
        <f>IF(AND('Mapa final'!$AJ$54="Baja",'Mapa final'!$AL$54="Mayor"),CONCATENATE("R2C",'Mapa final'!$S$54),"")</f>
        <v/>
      </c>
      <c r="AH48" s="40" t="str">
        <f>IF(AND('Mapa final'!$AJ$55="Baja",'Mapa final'!$AL$55="Mayor"),CONCATENATE("R2C",'Mapa final'!$S$55),"")</f>
        <v/>
      </c>
      <c r="AI48" s="41" t="str">
        <f>IF(AND('Mapa final'!$AJ$50="Baja",'Mapa final'!$AL$50="Catastrófico"),CONCATENATE("R2C",'Mapa final'!$S$50),"")</f>
        <v/>
      </c>
      <c r="AJ48" s="42" t="str">
        <f>IF(AND('Mapa final'!$AJ$51="Baja",'Mapa final'!$AL$51="Catastrófico"),CONCATENATE("R2C",'Mapa final'!$S$51),"")</f>
        <v/>
      </c>
      <c r="AK48" s="42" t="str">
        <f>IF(AND('Mapa final'!$AJ$52="Baja",'Mapa final'!$AL$52="Catastrófico"),CONCATENATE("R2C",'Mapa final'!$S$52),"")</f>
        <v/>
      </c>
      <c r="AL48" s="42" t="str">
        <f>IF(AND('Mapa final'!$AJ$53="Baja",'Mapa final'!$AL$53="Catastrófico"),CONCATENATE("R2C",'Mapa final'!$S$53),"")</f>
        <v/>
      </c>
      <c r="AM48" s="42" t="str">
        <f>IF(AND('Mapa final'!$AJ$54="Baja",'Mapa final'!$AL$54="Catastrófico"),CONCATENATE("R2C",'Mapa final'!$S$54),"")</f>
        <v/>
      </c>
      <c r="AN48" s="43" t="str">
        <f>IF(AND('Mapa final'!$AJ$55="Baja",'Mapa final'!$AL$55="Catastrófico"),CONCATENATE("R2C",'Mapa final'!$S$55),"")</f>
        <v/>
      </c>
      <c r="AO48" s="69"/>
      <c r="AP48" s="487"/>
      <c r="AQ48" s="488"/>
      <c r="AR48" s="488"/>
      <c r="AS48" s="488"/>
      <c r="AT48" s="488"/>
      <c r="AU48" s="48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60"/>
      <c r="D49" s="360"/>
      <c r="E49" s="361"/>
      <c r="F49" s="455"/>
      <c r="G49" s="456"/>
      <c r="H49" s="456"/>
      <c r="I49" s="456"/>
      <c r="J49" s="456"/>
      <c r="K49" s="62" t="str">
        <f>IF(AND('Mapa final'!$AJ$56="Baja",'Mapa final'!$AL$56="Leve"),CONCATENATE("R2C",'Mapa final'!$S$56),"")</f>
        <v/>
      </c>
      <c r="L49" s="63" t="str">
        <f>IF(AND('Mapa final'!$AJ$57="Baja",'Mapa final'!$AL$57="Leve"),CONCATENATE("R2C",'Mapa final'!$S$57),"")</f>
        <v/>
      </c>
      <c r="M49" s="63" t="str">
        <f>IF(AND('Mapa final'!$AJ$58="Baja",'Mapa final'!$AL$58="Leve"),CONCATENATE("R2C",'Mapa final'!$S$58),"")</f>
        <v/>
      </c>
      <c r="N49" s="63" t="str">
        <f>IF(AND('Mapa final'!$AJ$59="Baja",'Mapa final'!$AL$59="Leve"),CONCATENATE("R2C",'Mapa final'!$S$59),"")</f>
        <v/>
      </c>
      <c r="O49" s="63" t="str">
        <f>IF(AND('Mapa final'!$AJ$60="Baja",'Mapa final'!$AL$60="Leve"),CONCATENATE("R2C",'Mapa final'!$S$60),"")</f>
        <v/>
      </c>
      <c r="P49" s="64" t="str">
        <f>IF(AND('Mapa final'!$AJ$61="Baja",'Mapa final'!$AL$61="Leve"),CONCATENATE("R2C",'Mapa final'!$S$61),"")</f>
        <v/>
      </c>
      <c r="Q49" s="53" t="str">
        <f>IF(AND('Mapa final'!$AJ$56="Baja",'Mapa final'!$AL$56="Menor"),CONCATENATE("R2C",'Mapa final'!$S$56),"")</f>
        <v/>
      </c>
      <c r="R49" s="54" t="str">
        <f>IF(AND('Mapa final'!$AJ$57="Baja",'Mapa final'!$AL$57="Menor"),CONCATENATE("R2C",'Mapa final'!$S$57),"")</f>
        <v/>
      </c>
      <c r="S49" s="54" t="str">
        <f>IF(AND('Mapa final'!$AJ$58="Baja",'Mapa final'!$AL$58="Menor"),CONCATENATE("R2C",'Mapa final'!$S$58),"")</f>
        <v/>
      </c>
      <c r="T49" s="54" t="str">
        <f>IF(AND('Mapa final'!$AJ$59="Baja",'Mapa final'!$AL$59="Menor"),CONCATENATE("R2C",'Mapa final'!$S$59),"")</f>
        <v/>
      </c>
      <c r="U49" s="54" t="str">
        <f>IF(AND('Mapa final'!$AJ$60="Baja",'Mapa final'!$AL$60="Menor"),CONCATENATE("R2C",'Mapa final'!$S$60),"")</f>
        <v/>
      </c>
      <c r="V49" s="55" t="str">
        <f>IF(AND('Mapa final'!$AJ$61="Baja",'Mapa final'!$AL$61="Menor"),CONCATENATE("R2C",'Mapa final'!$S$61),"")</f>
        <v/>
      </c>
      <c r="W49" s="53" t="str">
        <f>IF(AND('Mapa final'!$AJ$56="Baja",'Mapa final'!$AL$56="Moderado"),CONCATENATE("R2C",'Mapa final'!$S$56),"")</f>
        <v/>
      </c>
      <c r="X49" s="54" t="str">
        <f>IF(AND('Mapa final'!$AJ$57="Baja",'Mapa final'!$AL$57="Moderado"),CONCATENATE("R2C",'Mapa final'!$S$57),"")</f>
        <v/>
      </c>
      <c r="Y49" s="54" t="str">
        <f>IF(AND('Mapa final'!$AJ$58="Baja",'Mapa final'!$AL$58="Moderado"),CONCATENATE("R2C",'Mapa final'!$S$58),"")</f>
        <v/>
      </c>
      <c r="Z49" s="54" t="str">
        <f>IF(AND('Mapa final'!$AJ$59="Baja",'Mapa final'!$AL$59="Moderado"),CONCATENATE("R2C",'Mapa final'!$S$59),"")</f>
        <v/>
      </c>
      <c r="AA49" s="54" t="str">
        <f>IF(AND('Mapa final'!$AJ$60="Baja",'Mapa final'!$AL$60="Moderado"),CONCATENATE("R2C",'Mapa final'!$S$60),"")</f>
        <v/>
      </c>
      <c r="AB49" s="55" t="str">
        <f>IF(AND('Mapa final'!$AJ$61="Baja",'Mapa final'!$AL$61="Moderado"),CONCATENATE("R2C",'Mapa final'!$S$61),"")</f>
        <v/>
      </c>
      <c r="AC49" s="38" t="str">
        <f>IF(AND('Mapa final'!$AJ$56="Baja",'Mapa final'!$AL$56="Mayor"),CONCATENATE("R2C",'Mapa final'!$S$56),"")</f>
        <v/>
      </c>
      <c r="AD49" s="178" t="str">
        <f>IF(AND('Mapa final'!$AJ$57="Baja",'Mapa final'!$AL$57="Mayor"),CONCATENATE("R2C",'Mapa final'!$S$57),"")</f>
        <v/>
      </c>
      <c r="AE49" s="178" t="str">
        <f>IF(AND('Mapa final'!$AJ$58="Baja",'Mapa final'!$AL$58="Mayor"),CONCATENATE("R2C",'Mapa final'!$S$58),"")</f>
        <v/>
      </c>
      <c r="AF49" s="178" t="str">
        <f>IF(AND('Mapa final'!$AJ$59="Baja",'Mapa final'!$AL$59="Mayor"),CONCATENATE("R2C",'Mapa final'!$S$59),"")</f>
        <v/>
      </c>
      <c r="AG49" s="178" t="str">
        <f>IF(AND('Mapa final'!$AJ$60="Baja",'Mapa final'!$AL$60="Mayor"),CONCATENATE("R2C",'Mapa final'!$S$60),"")</f>
        <v/>
      </c>
      <c r="AH49" s="40" t="str">
        <f>IF(AND('Mapa final'!$AJ$61="Baja",'Mapa final'!$AL$61="Mayor"),CONCATENATE("R2C",'Mapa final'!$S$61),"")</f>
        <v/>
      </c>
      <c r="AI49" s="41" t="str">
        <f>IF(AND('Mapa final'!$AJ$56="Baja",'Mapa final'!$AL$56="Catastrófico"),CONCATENATE("R2C",'Mapa final'!$S$56),"")</f>
        <v/>
      </c>
      <c r="AJ49" s="42" t="str">
        <f>IF(AND('Mapa final'!$AJ$57="Baja",'Mapa final'!$AL$57="Catastrófico"),CONCATENATE("R2C",'Mapa final'!$S$57),"")</f>
        <v/>
      </c>
      <c r="AK49" s="42" t="str">
        <f>IF(AND('Mapa final'!$AJ$58="Baja",'Mapa final'!$AL$58="Catastrófico"),CONCATENATE("R2C",'Mapa final'!$S$58),"")</f>
        <v/>
      </c>
      <c r="AL49" s="42" t="str">
        <f>IF(AND('Mapa final'!$AJ$59="Baja",'Mapa final'!$AL$59="Catastrófico"),CONCATENATE("R2C",'Mapa final'!$S$59),"")</f>
        <v/>
      </c>
      <c r="AM49" s="42" t="str">
        <f>IF(AND('Mapa final'!$AJ$60="Baja",'Mapa final'!$AL$60="Catastrófico"),CONCATENATE("R2C",'Mapa final'!$S$60),"")</f>
        <v/>
      </c>
      <c r="AN49" s="43" t="str">
        <f>IF(AND('Mapa final'!$AJ$61="Baja",'Mapa final'!$AL$61="Catastrófico"),CONCATENATE("R2C",'Mapa final'!$S$61),"")</f>
        <v/>
      </c>
      <c r="AO49" s="69"/>
      <c r="AP49" s="487"/>
      <c r="AQ49" s="488"/>
      <c r="AR49" s="488"/>
      <c r="AS49" s="488"/>
      <c r="AT49" s="488"/>
      <c r="AU49" s="48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60"/>
      <c r="D50" s="360"/>
      <c r="E50" s="361"/>
      <c r="F50" s="455"/>
      <c r="G50" s="456"/>
      <c r="H50" s="456"/>
      <c r="I50" s="456"/>
      <c r="J50" s="456"/>
      <c r="K50" s="62" t="str">
        <f>IF(AND('Mapa final'!$AJ$62="Baja",'Mapa final'!$AL$62="Leve"),CONCATENATE("R2C",'Mapa final'!$S$62),"")</f>
        <v/>
      </c>
      <c r="L50" s="63" t="str">
        <f>IF(AND('Mapa final'!$AJ$63="Baja",'Mapa final'!$AL$63="Leve"),CONCATENATE("R2C",'Mapa final'!$S$63),"")</f>
        <v/>
      </c>
      <c r="M50" s="63" t="str">
        <f>IF(AND('Mapa final'!$AJ$64="Baja",'Mapa final'!$AL$64="Leve"),CONCATENATE("R2C",'Mapa final'!$S$64),"")</f>
        <v/>
      </c>
      <c r="N50" s="63" t="str">
        <f>IF(AND('Mapa final'!$AJ$65="Baja",'Mapa final'!$AL$65="Leve"),CONCATENATE("R2C",'Mapa final'!$S$65),"")</f>
        <v/>
      </c>
      <c r="O50" s="63" t="str">
        <f>IF(AND('Mapa final'!$AJ$66="Baja",'Mapa final'!$AL$66="Leve"),CONCATENATE("R2C",'Mapa final'!$S$66),"")</f>
        <v/>
      </c>
      <c r="P50" s="64" t="str">
        <f>IF(AND('Mapa final'!$AJ$67="Baja",'Mapa final'!$AL$67="Leve"),CONCATENATE("R2C",'Mapa final'!$S$67),"")</f>
        <v/>
      </c>
      <c r="Q50" s="53" t="str">
        <f>IF(AND('Mapa final'!$AJ$62="Baja",'Mapa final'!$AL$62="Menor"),CONCATENATE("R2C",'Mapa final'!$S$62),"")</f>
        <v/>
      </c>
      <c r="R50" s="54" t="str">
        <f>IF(AND('Mapa final'!$AJ$63="Baja",'Mapa final'!$AL$63="Menor"),CONCATENATE("R2C",'Mapa final'!$S$63),"")</f>
        <v/>
      </c>
      <c r="S50" s="54" t="str">
        <f>IF(AND('Mapa final'!$AJ$64="Baja",'Mapa final'!$AL$64="Menor"),CONCATENATE("R2C",'Mapa final'!$S$64),"")</f>
        <v/>
      </c>
      <c r="T50" s="54" t="str">
        <f>IF(AND('Mapa final'!$AJ$65="Baja",'Mapa final'!$AL$65="Menor"),CONCATENATE("R2C",'Mapa final'!$S$65),"")</f>
        <v/>
      </c>
      <c r="U50" s="54" t="str">
        <f>IF(AND('Mapa final'!$AJ$66="Baja",'Mapa final'!$AL$66="Menor"),CONCATENATE("R2C",'Mapa final'!$S$66),"")</f>
        <v/>
      </c>
      <c r="V50" s="55" t="str">
        <f>IF(AND('Mapa final'!$AJ$67="Baja",'Mapa final'!$AL$67="Menor"),CONCATENATE("R2C",'Mapa final'!$S$67),"")</f>
        <v/>
      </c>
      <c r="W50" s="53" t="str">
        <f>IF(AND('Mapa final'!$AJ$62="Baja",'Mapa final'!$AL$62="Moderado"),CONCATENATE("R2C",'Mapa final'!$S$62),"")</f>
        <v/>
      </c>
      <c r="X50" s="54" t="str">
        <f>IF(AND('Mapa final'!$AJ$63="Baja",'Mapa final'!$AL$63="Moderado"),CONCATENATE("R2C",'Mapa final'!$S$63),"")</f>
        <v/>
      </c>
      <c r="Y50" s="54" t="str">
        <f>IF(AND('Mapa final'!$AJ$64="Baja",'Mapa final'!$AL$64="Moderado"),CONCATENATE("R2C",'Mapa final'!$S$64),"")</f>
        <v/>
      </c>
      <c r="Z50" s="54" t="str">
        <f>IF(AND('Mapa final'!$AJ$65="Baja",'Mapa final'!$AL$65="Moderado"),CONCATENATE("R2C",'Mapa final'!$S$65),"")</f>
        <v/>
      </c>
      <c r="AA50" s="54" t="str">
        <f>IF(AND('Mapa final'!$AJ$66="Baja",'Mapa final'!$AL$66="Moderado"),CONCATENATE("R2C",'Mapa final'!$S$66),"")</f>
        <v/>
      </c>
      <c r="AB50" s="55" t="str">
        <f>IF(AND('Mapa final'!$AJ$67="Baja",'Mapa final'!$AL$67="Moderado"),CONCATENATE("R2C",'Mapa final'!$S$67),"")</f>
        <v/>
      </c>
      <c r="AC50" s="38" t="str">
        <f>IF(AND('Mapa final'!$AJ$62="Baja",'Mapa final'!$AL$62="Mayor"),CONCATENATE("R2C",'Mapa final'!$S$62),"")</f>
        <v/>
      </c>
      <c r="AD50" s="178" t="str">
        <f>IF(AND('Mapa final'!$AJ$63="Baja",'Mapa final'!$AL$63="Mayor"),CONCATENATE("R2C",'Mapa final'!$S$63),"")</f>
        <v/>
      </c>
      <c r="AE50" s="178" t="str">
        <f>IF(AND('Mapa final'!$AJ$64="Baja",'Mapa final'!$AL$64="Mayor"),CONCATENATE("R2C",'Mapa final'!$S$64),"")</f>
        <v/>
      </c>
      <c r="AF50" s="178" t="str">
        <f>IF(AND('Mapa final'!$AJ$65="Baja",'Mapa final'!$AL$65="Mayor"),CONCATENATE("R2C",'Mapa final'!$S$65),"")</f>
        <v/>
      </c>
      <c r="AG50" s="178" t="str">
        <f>IF(AND('Mapa final'!$AJ$66="Baja",'Mapa final'!$AL$66="Mayor"),CONCATENATE("R2C",'Mapa final'!$S$66),"")</f>
        <v/>
      </c>
      <c r="AH50" s="40" t="str">
        <f>IF(AND('Mapa final'!$AJ$67="Baja",'Mapa final'!$AL$67="Mayor"),CONCATENATE("R2C",'Mapa final'!$S$67),"")</f>
        <v/>
      </c>
      <c r="AI50" s="41" t="str">
        <f>IF(AND('Mapa final'!$AJ$62="Baja",'Mapa final'!$AL$62="Catastrófico"),CONCATENATE("R2C",'Mapa final'!$S$62),"")</f>
        <v/>
      </c>
      <c r="AJ50" s="42" t="str">
        <f>IF(AND('Mapa final'!$AJ$63="Baja",'Mapa final'!$AL$63="Catastrófico"),CONCATENATE("R2C",'Mapa final'!$S$63),"")</f>
        <v/>
      </c>
      <c r="AK50" s="42" t="str">
        <f>IF(AND('Mapa final'!$AJ$64="Baja",'Mapa final'!$AL$64="Catastrófico"),CONCATENATE("R2C",'Mapa final'!$S$64),"")</f>
        <v/>
      </c>
      <c r="AL50" s="42" t="str">
        <f>IF(AND('Mapa final'!$AJ$65="Baja",'Mapa final'!$AL$65="Catastrófico"),CONCATENATE("R2C",'Mapa final'!$S$65),"")</f>
        <v/>
      </c>
      <c r="AM50" s="42" t="str">
        <f>IF(AND('Mapa final'!$AJ$66="Baja",'Mapa final'!$AL$66="Catastrófico"),CONCATENATE("R2C",'Mapa final'!$S$66),"")</f>
        <v/>
      </c>
      <c r="AN50" s="43" t="str">
        <f>IF(AND('Mapa final'!$AJ$67="Baja",'Mapa final'!$AL$67="Catastrófico"),CONCATENATE("R2C",'Mapa final'!$S$67),"")</f>
        <v/>
      </c>
      <c r="AO50" s="69"/>
      <c r="AP50" s="487"/>
      <c r="AQ50" s="488"/>
      <c r="AR50" s="488"/>
      <c r="AS50" s="488"/>
      <c r="AT50" s="488"/>
      <c r="AU50" s="48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60"/>
      <c r="D51" s="360"/>
      <c r="E51" s="361"/>
      <c r="F51" s="458"/>
      <c r="G51" s="459"/>
      <c r="H51" s="459"/>
      <c r="I51" s="459"/>
      <c r="J51" s="459"/>
      <c r="K51" s="65" t="str">
        <f>IF(AND('Mapa final'!$AJ$68="Baja",'Mapa final'!$AL$68="Leve"),CONCATENATE("R2C",'Mapa final'!$S$68),"")</f>
        <v/>
      </c>
      <c r="L51" s="66" t="str">
        <f>IF(AND('Mapa final'!$AJ$69="Baja",'Mapa final'!$AL$69="Leve"),CONCATENATE("R2C",'Mapa final'!$S$69),"")</f>
        <v/>
      </c>
      <c r="M51" s="66" t="str">
        <f>IF(AND('Mapa final'!$AJ$70="Baja",'Mapa final'!$AL$70="Leve"),CONCATENATE("R2C",'Mapa final'!$S$70),"")</f>
        <v/>
      </c>
      <c r="N51" s="66" t="str">
        <f>IF(AND('Mapa final'!$AJ$71="Baja",'Mapa final'!$AL$71="Leve"),CONCATENATE("R2C",'Mapa final'!$S$71),"")</f>
        <v/>
      </c>
      <c r="O51" s="66" t="str">
        <f>IF(AND('Mapa final'!$AJ$73="Baja",'Mapa final'!$AL$73="Leve"),CONCATENATE("R2C",'Mapa final'!$S$73),"")</f>
        <v/>
      </c>
      <c r="P51" s="67" t="str">
        <f>IF(AND('Mapa final'!$AJ$74="Baja",'Mapa final'!$AL$74="Leve"),CONCATENATE("R2C",'Mapa final'!$S$74),"")</f>
        <v/>
      </c>
      <c r="Q51" s="53" t="str">
        <f>IF(AND('Mapa final'!$AJ$68="Baja",'Mapa final'!$AL$68="Menor"),CONCATENATE("R2C",'Mapa final'!$S$68),"")</f>
        <v/>
      </c>
      <c r="R51" s="54" t="str">
        <f>IF(AND('Mapa final'!$AJ$69="Baja",'Mapa final'!$AL$69="Menor"),CONCATENATE("R2C",'Mapa final'!$S$69),"")</f>
        <v/>
      </c>
      <c r="S51" s="54" t="str">
        <f>IF(AND('Mapa final'!$AJ$70="Baja",'Mapa final'!$AL$70="Menor"),CONCATENATE("R2C",'Mapa final'!$S$70),"")</f>
        <v/>
      </c>
      <c r="T51" s="54" t="str">
        <f>IF(AND('Mapa final'!$AJ$71="Baja",'Mapa final'!$AL$71="Menor"),CONCATENATE("R2C",'Mapa final'!$S$71),"")</f>
        <v/>
      </c>
      <c r="U51" s="54" t="str">
        <f>IF(AND('Mapa final'!$AJ$73="Baja",'Mapa final'!$AL$73="Menor"),CONCATENATE("R2C",'Mapa final'!$S$73),"")</f>
        <v/>
      </c>
      <c r="V51" s="55" t="str">
        <f>IF(AND('Mapa final'!$AJ$74="Baja",'Mapa final'!$AL$74="Menor"),CONCATENATE("R2C",'Mapa final'!$S$74),"")</f>
        <v/>
      </c>
      <c r="W51" s="56" t="str">
        <f>IF(AND('Mapa final'!$AJ$68="Baja",'Mapa final'!$AL$68="Moderado"),CONCATENATE("R2C",'Mapa final'!$S$68),"")</f>
        <v/>
      </c>
      <c r="X51" s="57" t="str">
        <f>IF(AND('Mapa final'!$AJ$69="Baja",'Mapa final'!$AL$69="Moderado"),CONCATENATE("R2C",'Mapa final'!$S$69),"")</f>
        <v/>
      </c>
      <c r="Y51" s="57" t="str">
        <f>IF(AND('Mapa final'!$AJ$70="Baja",'Mapa final'!$AL$70="Moderado"),CONCATENATE("R2C",'Mapa final'!$S$70),"")</f>
        <v/>
      </c>
      <c r="Z51" s="57" t="str">
        <f>IF(AND('Mapa final'!$AJ$71="Baja",'Mapa final'!$AL$71="Moderado"),CONCATENATE("R2C",'Mapa final'!$S$71),"")</f>
        <v/>
      </c>
      <c r="AA51" s="57" t="str">
        <f>IF(AND('Mapa final'!$AJ$73="Baja",'Mapa final'!$AL$73="Moderado"),CONCATENATE("R2C",'Mapa final'!$S$73),"")</f>
        <v/>
      </c>
      <c r="AB51" s="58" t="str">
        <f>IF(AND('Mapa final'!$AJ$74="Baja",'Mapa final'!$AL$74="Moderado"),CONCATENATE("R2C",'Mapa final'!$S$74),"")</f>
        <v/>
      </c>
      <c r="AC51" s="44" t="str">
        <f>IF(AND('Mapa final'!$AJ$68="Baja",'Mapa final'!$AL$68="Mayor"),CONCATENATE("R2C",'Mapa final'!$S$68),"")</f>
        <v/>
      </c>
      <c r="AD51" s="45" t="str">
        <f>IF(AND('Mapa final'!$AJ$69="Baja",'Mapa final'!$AL$69="Mayor"),CONCATENATE("R2C",'Mapa final'!$S$69),"")</f>
        <v/>
      </c>
      <c r="AE51" s="45" t="str">
        <f>IF(AND('Mapa final'!$AJ$70="Baja",'Mapa final'!$AL$70="Mayor"),CONCATENATE("R2C",'Mapa final'!$S$70),"")</f>
        <v/>
      </c>
      <c r="AF51" s="45" t="str">
        <f>IF(AND('Mapa final'!$AJ$71="Baja",'Mapa final'!$AL$71="Mayor"),CONCATENATE("R2C",'Mapa final'!$S$71),"")</f>
        <v/>
      </c>
      <c r="AG51" s="45" t="str">
        <f>IF(AND('Mapa final'!$AJ$73="Baja",'Mapa final'!$AL$73="Mayor"),CONCATENATE("R2C",'Mapa final'!$S$73),"")</f>
        <v/>
      </c>
      <c r="AH51" s="46" t="str">
        <f>IF(AND('Mapa final'!$AJ$74="Baja",'Mapa final'!$AL$74="Mayor"),CONCATENATE("R2C",'Mapa final'!$S$74),"")</f>
        <v/>
      </c>
      <c r="AI51" s="47" t="str">
        <f>IF(AND('Mapa final'!$AJ$68="Baja",'Mapa final'!$AL$68="Catastrófico"),CONCATENATE("R2C",'Mapa final'!$S$68),"")</f>
        <v/>
      </c>
      <c r="AJ51" s="48" t="str">
        <f>IF(AND('Mapa final'!$AJ$69="Baja",'Mapa final'!$AL$69="Catastrófico"),CONCATENATE("R2C",'Mapa final'!$S$69),"")</f>
        <v/>
      </c>
      <c r="AK51" s="48" t="str">
        <f>IF(AND('Mapa final'!$AJ$70="Baja",'Mapa final'!$AL$70="Catastrófico"),CONCATENATE("R2C",'Mapa final'!$S$70),"")</f>
        <v/>
      </c>
      <c r="AL51" s="48" t="str">
        <f>IF(AND('Mapa final'!$AJ$71="Baja",'Mapa final'!$AL$71="Catastrófico"),CONCATENATE("R2C",'Mapa final'!$S$71),"")</f>
        <v/>
      </c>
      <c r="AM51" s="48" t="str">
        <f>IF(AND('Mapa final'!$AJ$73="Baja",'Mapa final'!$AL$73="Catastrófico"),CONCATENATE("R2C",'Mapa final'!$S$73),"")</f>
        <v/>
      </c>
      <c r="AN51" s="49" t="str">
        <f>IF(AND('Mapa final'!$AJ$74="Baja",'Mapa final'!$AL$74="Catastrófico"),CONCATENATE("R2C",'Mapa final'!$S$74),"")</f>
        <v/>
      </c>
      <c r="AO51" s="69"/>
      <c r="AP51" s="490"/>
      <c r="AQ51" s="491"/>
      <c r="AR51" s="491"/>
      <c r="AS51" s="491"/>
      <c r="AT51" s="491"/>
      <c r="AU51" s="492"/>
    </row>
    <row r="52" spans="2:81" ht="41.25" customHeight="1" x14ac:dyDescent="0.35">
      <c r="B52" s="69"/>
      <c r="C52" s="360"/>
      <c r="D52" s="360"/>
      <c r="E52" s="361"/>
      <c r="F52" s="452" t="s">
        <v>112</v>
      </c>
      <c r="G52" s="453"/>
      <c r="H52" s="453"/>
      <c r="I52" s="453"/>
      <c r="J52" s="454"/>
      <c r="K52" s="59" t="str">
        <f ca="1">IF(AND('Mapa final'!$AJ$15="Muy Baja",'Mapa final'!$AL$15="Leve"),CONCATENATE("R2C",'Mapa final'!$S$15),"")</f>
        <v/>
      </c>
      <c r="L52" s="60"/>
      <c r="M52" s="60"/>
      <c r="N52" s="60"/>
      <c r="O52" s="60"/>
      <c r="P52" s="61"/>
      <c r="Q52" s="59"/>
      <c r="R52" s="60"/>
      <c r="S52" s="60"/>
      <c r="T52" s="60"/>
      <c r="U52" s="60"/>
      <c r="V52" s="61"/>
      <c r="W52" s="50"/>
      <c r="X52" s="68"/>
      <c r="Y52" s="51"/>
      <c r="Z52" s="51"/>
      <c r="AA52" s="51"/>
      <c r="AB52" s="52"/>
      <c r="AC52" s="32"/>
      <c r="AD52" s="33"/>
      <c r="AE52" s="33"/>
      <c r="AF52" s="33"/>
      <c r="AG52" s="33"/>
      <c r="AH52" s="34"/>
      <c r="AI52" s="35"/>
      <c r="AJ52" s="36"/>
      <c r="AK52" s="36"/>
      <c r="AL52" s="36" t="str">
        <f ca="1">IF(AND('Mapa final'!$AJ$17="Muy Baja",'Mapa final'!$AL$17="Catastrófico"),CONCATENATE("R2C",'Mapa final'!$S$17),"")</f>
        <v/>
      </c>
      <c r="AM52" s="36" t="str">
        <f ca="1">IF(AND('Mapa final'!$AJ$18="Muy Baja",'Mapa final'!$AL$18="Catastrófico"),CONCATENATE("R2C",'Mapa final'!$S$18),"")</f>
        <v/>
      </c>
      <c r="AN52" s="37" t="str">
        <f>IF(AND('Mapa final'!$AJ$19="Muy Baja",'Mapa final'!$AL$19="Catastrófico"),CONCATENATE("R2C",'Mapa final'!$S$19),"")</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60"/>
      <c r="D53" s="360"/>
      <c r="E53" s="361"/>
      <c r="F53" s="470"/>
      <c r="G53" s="456"/>
      <c r="H53" s="456"/>
      <c r="I53" s="456"/>
      <c r="J53" s="457"/>
      <c r="K53" s="62" t="str">
        <f>IF(AND('Mapa final'!$AJ$20="Muy Baja",'Mapa final'!$AL$20="Leve"),CONCATENATE("R2C",'Mapa final'!$S$20),"")</f>
        <v/>
      </c>
      <c r="L53" s="63" t="str">
        <f>IF(AND('Mapa final'!$AJ$21="Muy Baja",'Mapa final'!$AL$21="Leve"),CONCATENATE("R2C",'Mapa final'!$S$21),"")</f>
        <v/>
      </c>
      <c r="M53" s="63" t="str">
        <f>IF(AND('Mapa final'!$AJ$22="Muy Baja",'Mapa final'!$AL$22="Leve"),CONCATENATE("R2C",'Mapa final'!$S$22),"")</f>
        <v/>
      </c>
      <c r="N53" s="63" t="str">
        <f>IF(AND('Mapa final'!$AJ$23="Muy Baja",'Mapa final'!$AL$23="Leve"),CONCATENATE("R2C",'Mapa final'!$S$23),"")</f>
        <v/>
      </c>
      <c r="O53" s="63" t="str">
        <f>IF(AND('Mapa final'!$AJ$24="Muy Baja",'Mapa final'!$AL$24="Leve"),CONCATENATE("R2C",'Mapa final'!$S$24),"")</f>
        <v/>
      </c>
      <c r="P53" s="64" t="str">
        <f>IF(AND('Mapa final'!$AJ$25="Muy Baja",'Mapa final'!$AL$25="Leve"),CONCATENATE("R2C",'Mapa final'!$S$25),"")</f>
        <v/>
      </c>
      <c r="Q53" s="62" t="str">
        <f>IF(AND('Mapa final'!$AJ$20="Muy Baja",'Mapa final'!$AL$20="Menor"),CONCATENATE("R2C",'Mapa final'!$S$20),"")</f>
        <v/>
      </c>
      <c r="R53" s="63" t="str">
        <f>IF(AND('Mapa final'!$AJ$21="Muy Baja",'Mapa final'!$AL$21="Menor"),CONCATENATE("R2C",'Mapa final'!$S$21),"")</f>
        <v/>
      </c>
      <c r="S53" s="63" t="str">
        <f>IF(AND('Mapa final'!$AJ$22="Muy Baja",'Mapa final'!$AL$22="Menor"),CONCATENATE("R2C",'Mapa final'!$S$22),"")</f>
        <v/>
      </c>
      <c r="T53" s="63" t="str">
        <f>IF(AND('Mapa final'!$AJ$23="Muy Baja",'Mapa final'!$AL$23="Menor"),CONCATENATE("R2C",'Mapa final'!$S$23),"")</f>
        <v/>
      </c>
      <c r="U53" s="63" t="str">
        <f>IF(AND('Mapa final'!$AJ$24="Muy Baja",'Mapa final'!$AL$24="Menor"),CONCATENATE("R2C",'Mapa final'!$S$24),"")</f>
        <v/>
      </c>
      <c r="V53" s="64" t="str">
        <f>IF(AND('Mapa final'!$AJ$25="Muy Baja",'Mapa final'!$AL$25="Menor"),CONCATENATE("R2C",'Mapa final'!$S$25),"")</f>
        <v/>
      </c>
      <c r="W53" s="53" t="str">
        <f>IF(AND('Mapa final'!$AJ$20="Muy Baja",'Mapa final'!$AL$20="Moderado"),CONCATENATE("R2C",'Mapa final'!$S$20),"")</f>
        <v/>
      </c>
      <c r="X53" s="54" t="str">
        <f>IF(AND('Mapa final'!$AJ$21="Muy Baja",'Mapa final'!$AL$21="Moderado"),CONCATENATE("R2C",'Mapa final'!$S$21),"")</f>
        <v/>
      </c>
      <c r="Y53" s="54" t="str">
        <f>IF(AND('Mapa final'!$AJ$22="Muy Baja",'Mapa final'!$AL$22="Moderado"),CONCATENATE("R2C",'Mapa final'!$S$22),"")</f>
        <v/>
      </c>
      <c r="Z53" s="54" t="str">
        <f>IF(AND('Mapa final'!$AJ$23="Muy Baja",'Mapa final'!$AL$23="Moderado"),CONCATENATE("R2C",'Mapa final'!$S$23),"")</f>
        <v/>
      </c>
      <c r="AA53" s="54" t="str">
        <f>IF(AND('Mapa final'!$AJ$24="Muy Baja",'Mapa final'!$AL$24="Moderado"),CONCATENATE("R2C",'Mapa final'!$S$24),"")</f>
        <v/>
      </c>
      <c r="AB53" s="55" t="str">
        <f>IF(AND('Mapa final'!$AJ$25="Muy Baja",'Mapa final'!$AL$25="Moderado"),CONCATENATE("R2C",'Mapa final'!$S$25),"")</f>
        <v/>
      </c>
      <c r="AC53" s="38" t="str">
        <f>IF(AND('Mapa final'!$AJ$20="Muy Baja",'Mapa final'!$AL$20="Mayor"),CONCATENATE("R2C",'Mapa final'!$S$20),"")</f>
        <v/>
      </c>
      <c r="AD53" s="39" t="str">
        <f>IF(AND('Mapa final'!$AJ$21="Muy Baja",'Mapa final'!$AL$21="Mayor"),CONCATENATE("R2C",'Mapa final'!$S$21),"")</f>
        <v/>
      </c>
      <c r="AE53" s="39" t="str">
        <f>IF(AND('Mapa final'!$AJ$22="Muy Baja",'Mapa final'!$AL$22="Mayor"),CONCATENATE("R2C",'Mapa final'!$S$22),"")</f>
        <v/>
      </c>
      <c r="AF53" s="39" t="str">
        <f>IF(AND('Mapa final'!$AJ$23="Muy Baja",'Mapa final'!$AL$23="Mayor"),CONCATENATE("R2C",'Mapa final'!$S$23),"")</f>
        <v/>
      </c>
      <c r="AG53" s="39" t="str">
        <f>IF(AND('Mapa final'!$AJ$24="Muy Baja",'Mapa final'!$AL$24="Mayor"),CONCATENATE("R2C",'Mapa final'!$S$24),"")</f>
        <v/>
      </c>
      <c r="AH53" s="40" t="str">
        <f>IF(AND('Mapa final'!$AJ$25="Muy Baja",'Mapa final'!$AL$25="Mayor"),CONCATENATE("R2C",'Mapa final'!$S$25),"")</f>
        <v/>
      </c>
      <c r="AI53" s="41" t="str">
        <f>IF(AND('Mapa final'!$AJ$20="Muy Baja",'Mapa final'!$AL$20="Catastrófico"),CONCATENATE("R2C",'Mapa final'!$S$20),"")</f>
        <v/>
      </c>
      <c r="AJ53" s="42" t="str">
        <f>IF(AND('Mapa final'!$AJ$21="Muy Baja",'Mapa final'!$AL$21="Catastrófico"),CONCATENATE("R2C",'Mapa final'!$S$21),"")</f>
        <v/>
      </c>
      <c r="AK53" s="42" t="str">
        <f>IF(AND('Mapa final'!$AJ$22="Muy Baja",'Mapa final'!$AL$22="Catastrófico"),CONCATENATE("R2C",'Mapa final'!$S$22),"")</f>
        <v/>
      </c>
      <c r="AL53" s="42" t="str">
        <f>IF(AND('Mapa final'!$AJ$23="Muy Baja",'Mapa final'!$AL$23="Catastrófico"),CONCATENATE("R2C",'Mapa final'!$S$23),"")</f>
        <v/>
      </c>
      <c r="AM53" s="42" t="str">
        <f>IF(AND('Mapa final'!$AJ$24="Muy Baja",'Mapa final'!$AL$24="Catastrófico"),CONCATENATE("R2C",'Mapa final'!$S$24),"")</f>
        <v/>
      </c>
      <c r="AN53" s="43" t="str">
        <f>IF(AND('Mapa final'!$AJ$25="Muy Baja",'Mapa final'!$AL$25="Catastrófico"),CONCATENATE("R2C",'Mapa final'!$S$25),"")</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60"/>
      <c r="D54" s="360"/>
      <c r="E54" s="361"/>
      <c r="F54" s="470"/>
      <c r="G54" s="456"/>
      <c r="H54" s="456"/>
      <c r="I54" s="456"/>
      <c r="J54" s="457"/>
      <c r="K54" s="62" t="str">
        <f>IF(AND('Mapa final'!$AJ$26="Muy Baja",'Mapa final'!$AL$26="Leve"),CONCATENATE("R2C",'Mapa final'!$S$26),"")</f>
        <v/>
      </c>
      <c r="L54" s="63" t="str">
        <f>IF(AND('Mapa final'!$AJ$27="Muy Baja",'Mapa final'!$AL$27="Leve"),CONCATENATE("R2C",'Mapa final'!$S$27),"")</f>
        <v/>
      </c>
      <c r="M54" s="63" t="str">
        <f>IF(AND('Mapa final'!$AJ$28="Muy Baja",'Mapa final'!$AL$28="Leve"),CONCATENATE("R2C",'Mapa final'!$S$28),"")</f>
        <v/>
      </c>
      <c r="N54" s="63" t="str">
        <f>IF(AND('Mapa final'!$AJ$29="Muy Baja",'Mapa final'!$AL$29="Leve"),CONCATENATE("R2C",'Mapa final'!$S$29),"")</f>
        <v/>
      </c>
      <c r="O54" s="63" t="str">
        <f>IF(AND('Mapa final'!$AJ$30="Muy Baja",'Mapa final'!$AL$30="Leve"),CONCATENATE("R2C",'Mapa final'!$S$30),"")</f>
        <v/>
      </c>
      <c r="P54" s="64" t="str">
        <f>IF(AND('Mapa final'!$AJ$31="Muy Baja",'Mapa final'!$AL$31="Leve"),CONCATENATE("R2C",'Mapa final'!$S$31),"")</f>
        <v/>
      </c>
      <c r="Q54" s="62" t="str">
        <f>IF(AND('Mapa final'!$AJ$26="Muy Baja",'Mapa final'!$AL$26="Menor"),CONCATENATE("R2C",'Mapa final'!$S$26),"")</f>
        <v/>
      </c>
      <c r="R54" s="63" t="str">
        <f>IF(AND('Mapa final'!$AJ$27="Muy Baja",'Mapa final'!$AL$27="Menor"),CONCATENATE("R2C",'Mapa final'!$S$27),"")</f>
        <v/>
      </c>
      <c r="S54" s="63" t="str">
        <f>IF(AND('Mapa final'!$AJ$28="Muy Baja",'Mapa final'!$AL$28="Menor"),CONCATENATE("R2C",'Mapa final'!$S$28),"")</f>
        <v/>
      </c>
      <c r="T54" s="63" t="str">
        <f>IF(AND('Mapa final'!$AJ$29="Muy Baja",'Mapa final'!$AL$29="Menor"),CONCATENATE("R2C",'Mapa final'!$S$29),"")</f>
        <v/>
      </c>
      <c r="U54" s="63" t="str">
        <f>IF(AND('Mapa final'!$AJ$30="Muy Baja",'Mapa final'!$AL$30="Menor"),CONCATENATE("R2C",'Mapa final'!$S$30),"")</f>
        <v/>
      </c>
      <c r="V54" s="64" t="str">
        <f>IF(AND('Mapa final'!$AJ$31="Muy Baja",'Mapa final'!$AL$31="Menor"),CONCATENATE("R2C",'Mapa final'!$S$31),"")</f>
        <v/>
      </c>
      <c r="W54" s="53" t="str">
        <f>IF(AND('Mapa final'!$AJ$26="Muy Baja",'Mapa final'!$AL$26="Moderado"),CONCATENATE("R2C",'Mapa final'!$S$26),"")</f>
        <v/>
      </c>
      <c r="X54" s="54" t="str">
        <f>IF(AND('Mapa final'!$AJ$27="Muy Baja",'Mapa final'!$AL$27="Moderado"),CONCATENATE("R2C",'Mapa final'!$S$27),"")</f>
        <v/>
      </c>
      <c r="Y54" s="54" t="str">
        <f>IF(AND('Mapa final'!$AJ$28="Muy Baja",'Mapa final'!$AL$28="Moderado"),CONCATENATE("R2C",'Mapa final'!$S$28),"")</f>
        <v/>
      </c>
      <c r="Z54" s="54" t="str">
        <f>IF(AND('Mapa final'!$AJ$29="Muy Baja",'Mapa final'!$AL$29="Moderado"),CONCATENATE("R2C",'Mapa final'!$S$29),"")</f>
        <v/>
      </c>
      <c r="AA54" s="54" t="str">
        <f>IF(AND('Mapa final'!$AJ$30="Muy Baja",'Mapa final'!$AL$30="Moderado"),CONCATENATE("R2C",'Mapa final'!$S$30),"")</f>
        <v/>
      </c>
      <c r="AB54" s="55" t="str">
        <f>IF(AND('Mapa final'!$AJ$31="Muy Baja",'Mapa final'!$AL$31="Moderado"),CONCATENATE("R2C",'Mapa final'!$S$31),"")</f>
        <v/>
      </c>
      <c r="AC54" s="38" t="str">
        <f>IF(AND('Mapa final'!$AJ$26="Muy Baja",'Mapa final'!$AL$26="Mayor"),CONCATENATE("R2C",'Mapa final'!$S$26),"")</f>
        <v/>
      </c>
      <c r="AD54" s="39" t="str">
        <f>IF(AND('Mapa final'!$AJ$27="Muy Baja",'Mapa final'!$AL$27="Mayor"),CONCATENATE("R2C",'Mapa final'!$S$27),"")</f>
        <v/>
      </c>
      <c r="AE54" s="39" t="str">
        <f>IF(AND('Mapa final'!$AJ$28="Muy Baja",'Mapa final'!$AL$28="Mayor"),CONCATENATE("R2C",'Mapa final'!$S$28),"")</f>
        <v/>
      </c>
      <c r="AF54" s="39" t="str">
        <f>IF(AND('Mapa final'!$AJ$29="Muy Baja",'Mapa final'!$AL$29="Mayor"),CONCATENATE("R2C",'Mapa final'!$S$29),"")</f>
        <v/>
      </c>
      <c r="AG54" s="39" t="str">
        <f>IF(AND('Mapa final'!$AJ$30="Muy Baja",'Mapa final'!$AL$30="Mayor"),CONCATENATE("R2C",'Mapa final'!$S$30),"")</f>
        <v/>
      </c>
      <c r="AH54" s="40" t="str">
        <f>IF(AND('Mapa final'!$AJ$31="Muy Baja",'Mapa final'!$AL$31="Mayor"),CONCATENATE("R2C",'Mapa final'!$S$31),"")</f>
        <v/>
      </c>
      <c r="AI54" s="41" t="str">
        <f>IF(AND('Mapa final'!$AJ$26="Muy Baja",'Mapa final'!$AL$26="Catastrófico"),CONCATENATE("R2C",'Mapa final'!$S$26),"")</f>
        <v/>
      </c>
      <c r="AJ54" s="42" t="str">
        <f>IF(AND('Mapa final'!$AJ$27="Muy Baja",'Mapa final'!$AL$27="Catastrófico"),CONCATENATE("R2C",'Mapa final'!$S$27),"")</f>
        <v/>
      </c>
      <c r="AK54" s="42" t="str">
        <f>IF(AND('Mapa final'!$AJ$28="Muy Baja",'Mapa final'!$AL$28="Catastrófico"),CONCATENATE("R2C",'Mapa final'!$S$28),"")</f>
        <v/>
      </c>
      <c r="AL54" s="42" t="str">
        <f>IF(AND('Mapa final'!$AJ$29="Muy Baja",'Mapa final'!$AL$29="Catastrófico"),CONCATENATE("R2C",'Mapa final'!$S$29),"")</f>
        <v/>
      </c>
      <c r="AM54" s="42" t="str">
        <f>IF(AND('Mapa final'!$AJ$30="Muy Baja",'Mapa final'!$AL$30="Catastrófico"),CONCATENATE("R2C",'Mapa final'!$S$30),"")</f>
        <v/>
      </c>
      <c r="AN54" s="43" t="str">
        <f>IF(AND('Mapa final'!$AJ$31="Muy Baja",'Mapa final'!$AL$31="Catastrófico"),CONCATENATE("R2C",'Mapa final'!$S$31),"")</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60"/>
      <c r="D55" s="360"/>
      <c r="E55" s="361"/>
      <c r="F55" s="455"/>
      <c r="G55" s="456"/>
      <c r="H55" s="456"/>
      <c r="I55" s="456"/>
      <c r="J55" s="457"/>
      <c r="K55" s="62" t="str">
        <f>IF(AND('Mapa final'!$AJ$32="Muy Baja",'Mapa final'!$AL$32="Leve"),CONCATENATE("R2C",'Mapa final'!$S$32),"")</f>
        <v/>
      </c>
      <c r="L55" s="63" t="str">
        <f>IF(AND('Mapa final'!$AJ$33="Muy Baja",'Mapa final'!$AL$33="Leve"),CONCATENATE("R2C",'Mapa final'!$S$33),"")</f>
        <v/>
      </c>
      <c r="M55" s="63" t="str">
        <f>IF(AND('Mapa final'!$AJ$34="Muy Baja",'Mapa final'!$AL$34="Leve"),CONCATENATE("R2C",'Mapa final'!$S$34),"")</f>
        <v/>
      </c>
      <c r="N55" s="63" t="str">
        <f>IF(AND('Mapa final'!$AJ$35="Muy Baja",'Mapa final'!$AL$35="Leve"),CONCATENATE("R2C",'Mapa final'!$S$35),"")</f>
        <v/>
      </c>
      <c r="O55" s="63" t="str">
        <f>IF(AND('Mapa final'!$AJ$36="Muy Baja",'Mapa final'!$AL$36="Leve"),CONCATENATE("R2C",'Mapa final'!$S$36),"")</f>
        <v/>
      </c>
      <c r="P55" s="64" t="str">
        <f>IF(AND('Mapa final'!$AJ$37="Muy Baja",'Mapa final'!$AL$37="Leve"),CONCATENATE("R2C",'Mapa final'!$S$37),"")</f>
        <v/>
      </c>
      <c r="Q55" s="62" t="str">
        <f>IF(AND('Mapa final'!$AJ$32="Muy Baja",'Mapa final'!$AL$32="Menor"),CONCATENATE("R2C",'Mapa final'!$S$32),"")</f>
        <v/>
      </c>
      <c r="R55" s="63" t="str">
        <f>IF(AND('Mapa final'!$AJ$33="Muy Baja",'Mapa final'!$AL$33="Menor"),CONCATENATE("R2C",'Mapa final'!$S$33),"")</f>
        <v/>
      </c>
      <c r="S55" s="63" t="str">
        <f>IF(AND('Mapa final'!$AJ$34="Muy Baja",'Mapa final'!$AL$34="Menor"),CONCATENATE("R2C",'Mapa final'!$S$34),"")</f>
        <v/>
      </c>
      <c r="T55" s="63" t="str">
        <f>IF(AND('Mapa final'!$AJ$35="Muy Baja",'Mapa final'!$AL$35="Menor"),CONCATENATE("R2C",'Mapa final'!$S$35),"")</f>
        <v/>
      </c>
      <c r="U55" s="63" t="str">
        <f>IF(AND('Mapa final'!$AJ$36="Muy Baja",'Mapa final'!$AL$36="LMenor"),CONCATENATE("R2C",'Mapa final'!$S$36),"")</f>
        <v/>
      </c>
      <c r="V55" s="64" t="str">
        <f>IF(AND('Mapa final'!$AJ$37="Muy Baja",'Mapa final'!$AL$37="Menor"),CONCATENATE("R2C",'Mapa final'!$S$37),"")</f>
        <v/>
      </c>
      <c r="W55" s="53" t="str">
        <f>IF(AND('Mapa final'!$AJ$32="Muy Baja",'Mapa final'!$AL$32="Moderado"),CONCATENATE("R2C",'Mapa final'!$S$32),"")</f>
        <v/>
      </c>
      <c r="X55" s="54" t="str">
        <f>IF(AND('Mapa final'!$AJ$33="Muy Baja",'Mapa final'!$AL$33="Moderado"),CONCATENATE("R2C",'Mapa final'!$S$33),"")</f>
        <v/>
      </c>
      <c r="Y55" s="54" t="str">
        <f>IF(AND('Mapa final'!$AJ$34="Muy Baja",'Mapa final'!$AL$34="Moderado"),CONCATENATE("R2C",'Mapa final'!$S$34),"")</f>
        <v/>
      </c>
      <c r="Z55" s="54" t="str">
        <f>IF(AND('Mapa final'!$AJ$35="Muy Baja",'Mapa final'!$AL$35="Moderado"),CONCATENATE("R2C",'Mapa final'!$S$35),"")</f>
        <v/>
      </c>
      <c r="AA55" s="54" t="str">
        <f>IF(AND('Mapa final'!$AJ$36="Muy Baja",'Mapa final'!$AL$36="Moderado"),CONCATENATE("R2C",'Mapa final'!$S$36),"")</f>
        <v/>
      </c>
      <c r="AB55" s="55" t="str">
        <f>IF(AND('Mapa final'!$AJ$37="Muy Baja",'Mapa final'!$AL$37="Moderado"),CONCATENATE("R2C",'Mapa final'!$S$37),"")</f>
        <v/>
      </c>
      <c r="AC55" s="38" t="str">
        <f>IF(AND('Mapa final'!$AJ$32="Muy Baja",'Mapa final'!$AL$32="Mayor"),CONCATENATE("R2C",'Mapa final'!$S$32),"")</f>
        <v/>
      </c>
      <c r="AD55" s="39" t="str">
        <f>IF(AND('Mapa final'!$AJ$33="Muy Baja",'Mapa final'!$AL$33="Mayor"),CONCATENATE("R2C",'Mapa final'!$S$33),"")</f>
        <v/>
      </c>
      <c r="AE55" s="39" t="str">
        <f>IF(AND('Mapa final'!$AJ$34="Muy Baja",'Mapa final'!$AL$34="Mayor"),CONCATENATE("R2C",'Mapa final'!$S$34),"")</f>
        <v/>
      </c>
      <c r="AF55" s="39" t="str">
        <f>IF(AND('Mapa final'!$AJ$35="Muy Baja",'Mapa final'!$AL$35="Mayor"),CONCATENATE("R2C",'Mapa final'!$S$35),"")</f>
        <v/>
      </c>
      <c r="AG55" s="39" t="str">
        <f>IF(AND('Mapa final'!$AJ$36="Muy Baja",'Mapa final'!$AL$36="Mayor"),CONCATENATE("R2C",'Mapa final'!$S$36),"")</f>
        <v/>
      </c>
      <c r="AH55" s="40" t="str">
        <f>IF(AND('Mapa final'!$AJ$37="Muy Baja",'Mapa final'!$AL$37="Mayor"),CONCATENATE("R2C",'Mapa final'!$S$37),"")</f>
        <v/>
      </c>
      <c r="AI55" s="41" t="str">
        <f>IF(AND('Mapa final'!$AJ$32="Muy Baja",'Mapa final'!$AL$32="Catastrófico"),CONCATENATE("R2C",'Mapa final'!$S$32),"")</f>
        <v/>
      </c>
      <c r="AJ55" s="42" t="str">
        <f>IF(AND('Mapa final'!$AJ$33="Muy Baja",'Mapa final'!$AL$33="Catastrófico"),CONCATENATE("R2C",'Mapa final'!$S$33),"")</f>
        <v/>
      </c>
      <c r="AK55" s="42" t="str">
        <f>IF(AND('Mapa final'!$AJ$34="Muy Baja",'Mapa final'!$AL$34="Catastrófico"),CONCATENATE("R2C",'Mapa final'!$S$34),"")</f>
        <v/>
      </c>
      <c r="AL55" s="42" t="str">
        <f>IF(AND('Mapa final'!$AJ$35="Muy Baja",'Mapa final'!$AL$35="Catastrófico"),CONCATENATE("R2C",'Mapa final'!$S$35),"")</f>
        <v/>
      </c>
      <c r="AM55" s="42" t="str">
        <f>IF(AND('Mapa final'!$AJ$36="Muy Baja",'Mapa final'!$AL$36="LCatastrófico"),CONCATENATE("R2C",'Mapa final'!$S$36),"")</f>
        <v/>
      </c>
      <c r="AN55" s="43" t="str">
        <f>IF(AND('Mapa final'!$AJ$37="Muy Baja",'Mapa final'!$AL$37="Catastrófico"),CONCATENATE("R2C",'Mapa final'!$S$37),"")</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60"/>
      <c r="D56" s="360"/>
      <c r="E56" s="361"/>
      <c r="F56" s="455"/>
      <c r="G56" s="456"/>
      <c r="H56" s="456"/>
      <c r="I56" s="456"/>
      <c r="J56" s="457"/>
      <c r="K56" s="62" t="str">
        <f>IF(AND('Mapa final'!$AJ$38="Muy Baja",'Mapa final'!$AL$38="Leve"),CONCATENATE("R2C",'Mapa final'!$S$38),"")</f>
        <v/>
      </c>
      <c r="L56" s="63" t="str">
        <f>IF(AND('Mapa final'!$AJ$39="Muy Baja",'Mapa final'!$AL$39="Leve"),CONCATENATE("R2C",'Mapa final'!$S$39),"")</f>
        <v/>
      </c>
      <c r="M56" s="63" t="str">
        <f>IF(AND('Mapa final'!$AJ$40="Muy Baja",'Mapa final'!$AL$40="Leve"),CONCATENATE("R2C",'Mapa final'!$S$40),"")</f>
        <v/>
      </c>
      <c r="N56" s="63" t="str">
        <f>IF(AND('Mapa final'!$AJ$41="Muy Baja",'Mapa final'!$AL$41="Leve"),CONCATENATE("R2C",'Mapa final'!$S$41),"")</f>
        <v/>
      </c>
      <c r="O56" s="63" t="str">
        <f>IF(AND('Mapa final'!$AJ$42="Muy Baja",'Mapa final'!$AL$42="Leve"),CONCATENATE("R2C",'Mapa final'!$S$42),"")</f>
        <v/>
      </c>
      <c r="P56" s="64" t="str">
        <f>IF(AND('Mapa final'!$AJ$43="Muy Baja",'Mapa final'!$AL$43="Leve"),CONCATENATE("R2C",'Mapa final'!$S$43),"")</f>
        <v/>
      </c>
      <c r="Q56" s="62" t="str">
        <f>IF(AND('Mapa final'!$AJ$38="Muy Baja",'Mapa final'!$AL$38="Menor"),CONCATENATE("R2C",'Mapa final'!$S$38),"")</f>
        <v/>
      </c>
      <c r="R56" s="63" t="str">
        <f>IF(AND('Mapa final'!$AJ$39="Muy Baja",'Mapa final'!$AL$39="Menor"),CONCATENATE("R2C",'Mapa final'!$S$39),"")</f>
        <v/>
      </c>
      <c r="S56" s="63" t="str">
        <f>IF(AND('Mapa final'!$AJ$40="Muy Baja",'Mapa final'!$AL$40="Menor"),CONCATENATE("R2C",'Mapa final'!$S$40),"")</f>
        <v/>
      </c>
      <c r="T56" s="63" t="str">
        <f>IF(AND('Mapa final'!$AJ$41="Muy Baja",'Mapa final'!$AL$41="Menor"),CONCATENATE("R2C",'Mapa final'!$S$41),"")</f>
        <v/>
      </c>
      <c r="U56" s="63" t="str">
        <f>IF(AND('Mapa final'!$AJ$42="Muy Baja",'Mapa final'!$AL$42="Menor"),CONCATENATE("R2C",'Mapa final'!$S$42),"")</f>
        <v/>
      </c>
      <c r="V56" s="64" t="str">
        <f>IF(AND('Mapa final'!$AJ$43="Muy Baja",'Mapa final'!$AL$43="Menor"),CONCATENATE("R2C",'Mapa final'!$S$43),"")</f>
        <v/>
      </c>
      <c r="W56" s="53" t="str">
        <f>IF(AND('Mapa final'!$AJ$38="Muy Baja",'Mapa final'!$AL$38="Moderado"),CONCATENATE("R2C",'Mapa final'!$S$38),"")</f>
        <v/>
      </c>
      <c r="X56" s="54" t="str">
        <f>IF(AND('Mapa final'!$AJ$39="Muy Baja",'Mapa final'!$AL$39="Moderado"),CONCATENATE("R2C",'Mapa final'!$S$39),"")</f>
        <v/>
      </c>
      <c r="Y56" s="54" t="str">
        <f>IF(AND('Mapa final'!$AJ$40="Muy Baja",'Mapa final'!$AL$40="Moderado"),CONCATENATE("R2C",'Mapa final'!$S$40),"")</f>
        <v/>
      </c>
      <c r="Z56" s="54" t="str">
        <f>IF(AND('Mapa final'!$AJ$41="Muy Baja",'Mapa final'!$AL$41="Moderado"),CONCATENATE("R2C",'Mapa final'!$S$41),"")</f>
        <v/>
      </c>
      <c r="AA56" s="54" t="str">
        <f>IF(AND('Mapa final'!$AJ$42="Muy Baja",'Mapa final'!$AL$42="Moderado"),CONCATENATE("R2C",'Mapa final'!$S$42),"")</f>
        <v/>
      </c>
      <c r="AB56" s="55" t="str">
        <f>IF(AND('Mapa final'!$AJ$43="Muy Baja",'Mapa final'!$AL$43="Moderado"),CONCATENATE("R2C",'Mapa final'!$S$43),"")</f>
        <v/>
      </c>
      <c r="AC56" s="38" t="str">
        <f>IF(AND('Mapa final'!$AJ$38="Muy Baja",'Mapa final'!$AL$38="Mayor"),CONCATENATE("R2C",'Mapa final'!$S$38),"")</f>
        <v/>
      </c>
      <c r="AD56" s="39" t="str">
        <f>IF(AND('Mapa final'!$AJ$39="Muy Baja",'Mapa final'!$AL$39="Mayor"),CONCATENATE("R2C",'Mapa final'!$S$39),"")</f>
        <v/>
      </c>
      <c r="AE56" s="39" t="str">
        <f>IF(AND('Mapa final'!$AJ$40="Muy Baja",'Mapa final'!$AL$40="Mayor"),CONCATENATE("R2C",'Mapa final'!$S$40),"")</f>
        <v/>
      </c>
      <c r="AF56" s="39" t="str">
        <f>IF(AND('Mapa final'!$AJ$41="Muy Baja",'Mapa final'!$AL$41="Mayor"),CONCATENATE("R2C",'Mapa final'!$S$41),"")</f>
        <v/>
      </c>
      <c r="AG56" s="39" t="str">
        <f>IF(AND('Mapa final'!$AJ$42="Muy Baja",'Mapa final'!$AL$42="Mayor"),CONCATENATE("R2C",'Mapa final'!$S$42),"")</f>
        <v/>
      </c>
      <c r="AH56" s="40" t="str">
        <f>IF(AND('Mapa final'!$AJ$43="Muy Baja",'Mapa final'!$AL$43="Mayor"),CONCATENATE("R2C",'Mapa final'!$S$43),"")</f>
        <v/>
      </c>
      <c r="AI56" s="41" t="str">
        <f>IF(AND('Mapa final'!$AJ$38="Muy Baja",'Mapa final'!$AL$38="Catastrófico"),CONCATENATE("R2C",'Mapa final'!$S$38),"")</f>
        <v/>
      </c>
      <c r="AJ56" s="42" t="str">
        <f>IF(AND('Mapa final'!$AJ$39="Muy Baja",'Mapa final'!$AL$39="Catastrófico"),CONCATENATE("R2C",'Mapa final'!$S$39),"")</f>
        <v/>
      </c>
      <c r="AK56" s="42" t="str">
        <f>IF(AND('Mapa final'!$AJ$40="Muy Baja",'Mapa final'!$AL$40="Catastrófico"),CONCATENATE("R2C",'Mapa final'!$S$40),"")</f>
        <v/>
      </c>
      <c r="AL56" s="42" t="str">
        <f>IF(AND('Mapa final'!$AJ$41="Muy Baja",'Mapa final'!$AL$41="Catastrófico"),CONCATENATE("R2C",'Mapa final'!$S$41),"")</f>
        <v/>
      </c>
      <c r="AM56" s="42" t="str">
        <f>IF(AND('Mapa final'!$AJ$42="Muy Baja",'Mapa final'!$AL$42="Catastrófico"),CONCATENATE("R2C",'Mapa final'!$S$42),"")</f>
        <v/>
      </c>
      <c r="AN56" s="43" t="str">
        <f>IF(AND('Mapa final'!$AJ$43="Muy Baja",'Mapa final'!$AL$43="Catastrófico"),CONCATENATE("R2C",'Mapa final'!$S$43),"")</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60"/>
      <c r="D57" s="360"/>
      <c r="E57" s="361"/>
      <c r="F57" s="455"/>
      <c r="G57" s="456"/>
      <c r="H57" s="456"/>
      <c r="I57" s="456"/>
      <c r="J57" s="457"/>
      <c r="K57" s="62" t="str">
        <f>IF(AND('Mapa final'!$AJ$44="Muy Baja",'Mapa final'!$AL$44="Leve"),CONCATENATE("R2C",'Mapa final'!$S$44),"")</f>
        <v/>
      </c>
      <c r="L57" s="63" t="str">
        <f>IF(AND('Mapa final'!$AJ$45="Muy Baja",'Mapa final'!$AL$45="Leve"),CONCATENATE("R2C",'Mapa final'!$S$45),"")</f>
        <v/>
      </c>
      <c r="M57" s="63" t="str">
        <f>IF(AND('Mapa final'!$AJ$46="Muy Baja",'Mapa final'!$AL$46="Leve"),CONCATENATE("R2C",'Mapa final'!$S$46),"")</f>
        <v/>
      </c>
      <c r="N57" s="63" t="str">
        <f>IF(AND('Mapa final'!$AJ$47="Muy Baja",'Mapa final'!$AL$47="Leve"),CONCATENATE("R2C",'Mapa final'!$S$47),"")</f>
        <v/>
      </c>
      <c r="O57" s="63" t="str">
        <f>IF(AND('Mapa final'!$AJ$48="Muy Baja",'Mapa final'!$AL$48="Leve"),CONCATENATE("R2C",'Mapa final'!$S$48),"")</f>
        <v/>
      </c>
      <c r="P57" s="64" t="str">
        <f>IF(AND('Mapa final'!$AJ$59="Muy Baja",'Mapa final'!$AL$49="Leve"),CONCATENATE("R2C",'Mapa final'!$S$49),"")</f>
        <v/>
      </c>
      <c r="Q57" s="62" t="str">
        <f>IF(AND('Mapa final'!$AJ$44="Muy Baja",'Mapa final'!$AL$44="Menor"),CONCATENATE("R2C",'Mapa final'!$S$44),"")</f>
        <v/>
      </c>
      <c r="R57" s="63" t="str">
        <f>IF(AND('Mapa final'!$AJ$45="Muy Baja",'Mapa final'!$AL$45="Menor"),CONCATENATE("R2C",'Mapa final'!$S$45),"")</f>
        <v/>
      </c>
      <c r="S57" s="63" t="str">
        <f>IF(AND('Mapa final'!$AJ$46="Muy Baja",'Mapa final'!$AL$46="Menor"),CONCATENATE("R2C",'Mapa final'!$S$46),"")</f>
        <v/>
      </c>
      <c r="T57" s="63" t="str">
        <f>IF(AND('Mapa final'!$AJ$47="Muy Baja",'Mapa final'!$AL$47="Menor"),CONCATENATE("R2C",'Mapa final'!$S$47),"")</f>
        <v/>
      </c>
      <c r="U57" s="63" t="str">
        <f>IF(AND('Mapa final'!$AJ$48="Muy Baja",'Mapa final'!$AL$48="Menor"),CONCATENATE("R2C",'Mapa final'!$S$48),"")</f>
        <v/>
      </c>
      <c r="V57" s="64" t="str">
        <f>IF(AND('Mapa final'!$AJ$59="Muy Baja",'Mapa final'!$AL$49="Menor"),CONCATENATE("R2C",'Mapa final'!$S$49),"")</f>
        <v/>
      </c>
      <c r="W57" s="53" t="str">
        <f>IF(AND('Mapa final'!$AJ$44="Muy Baja",'Mapa final'!$AL$44="Moderado"),CONCATENATE("R2C",'Mapa final'!$S$44),"")</f>
        <v/>
      </c>
      <c r="X57" s="54" t="str">
        <f>IF(AND('Mapa final'!$AJ$45="Muy Baja",'Mapa final'!$AL$45="Moderado"),CONCATENATE("R2C",'Mapa final'!$S$45),"")</f>
        <v/>
      </c>
      <c r="Y57" s="54" t="str">
        <f>IF(AND('Mapa final'!$AJ$46="Muy Baja",'Mapa final'!$AL$46="Moderado"),CONCATENATE("R2C",'Mapa final'!$S$46),"")</f>
        <v/>
      </c>
      <c r="Z57" s="54" t="str">
        <f>IF(AND('Mapa final'!$AJ$47="Muy Baja",'Mapa final'!$AL$47="Moderado"),CONCATENATE("R2C",'Mapa final'!$S$47),"")</f>
        <v/>
      </c>
      <c r="AA57" s="54" t="str">
        <f>IF(AND('Mapa final'!$AJ$48="Muy Baja",'Mapa final'!$AL$48="Moderado"),CONCATENATE("R2C",'Mapa final'!$S$48),"")</f>
        <v/>
      </c>
      <c r="AB57" s="55" t="str">
        <f>IF(AND('Mapa final'!$AJ$59="Muy Baja",'Mapa final'!$AL$49="Moderado"),CONCATENATE("R2C",'Mapa final'!$S$49),"")</f>
        <v/>
      </c>
      <c r="AC57" s="38" t="str">
        <f>IF(AND('Mapa final'!$AJ$44="Muy Baja",'Mapa final'!$AL$44="Mayor"),CONCATENATE("R2C",'Mapa final'!$S$44),"")</f>
        <v/>
      </c>
      <c r="AD57" s="39" t="str">
        <f>IF(AND('Mapa final'!$AJ$45="Muy Baja",'Mapa final'!$AL$45="Mayor"),CONCATENATE("R2C",'Mapa final'!$S$45),"")</f>
        <v/>
      </c>
      <c r="AE57" s="39" t="str">
        <f>IF(AND('Mapa final'!$AJ$46="Muy Baja",'Mapa final'!$AL$46="Mayor"),CONCATENATE("R2C",'Mapa final'!$S$46),"")</f>
        <v/>
      </c>
      <c r="AF57" s="39" t="str">
        <f>IF(AND('Mapa final'!$AJ$47="Muy Baja",'Mapa final'!$AL$47="Mayor"),CONCATENATE("R2C",'Mapa final'!$S$47),"")</f>
        <v/>
      </c>
      <c r="AG57" s="39" t="str">
        <f>IF(AND('Mapa final'!$AJ$48="Muy Baja",'Mapa final'!$AL$48="Mayor"),CONCATENATE("R2C",'Mapa final'!$S$48),"")</f>
        <v/>
      </c>
      <c r="AH57" s="40" t="str">
        <f>IF(AND('Mapa final'!$AJ$59="Muy Baja",'Mapa final'!$AL$49="Mayor"),CONCATENATE("R2C",'Mapa final'!$S$49),"")</f>
        <v/>
      </c>
      <c r="AI57" s="41" t="str">
        <f>IF(AND('Mapa final'!$AJ$44="Muy Baja",'Mapa final'!$AL$44="Catastrófico"),CONCATENATE("R2C",'Mapa final'!$S$44),"")</f>
        <v/>
      </c>
      <c r="AJ57" s="42" t="str">
        <f>IF(AND('Mapa final'!$AJ$45="Muy Baja",'Mapa final'!$AL$45="Catastrófico"),CONCATENATE("R2C",'Mapa final'!$S$45),"")</f>
        <v/>
      </c>
      <c r="AK57" s="42" t="str">
        <f>IF(AND('Mapa final'!$AJ$46="Muy Baja",'Mapa final'!$AL$46="Catastrófico"),CONCATENATE("R2C",'Mapa final'!$S$46),"")</f>
        <v/>
      </c>
      <c r="AL57" s="42" t="str">
        <f>IF(AND('Mapa final'!$AJ$47="Muy Baja",'Mapa final'!$AL$47="Catastrófico"),CONCATENATE("R2C",'Mapa final'!$S$47),"")</f>
        <v/>
      </c>
      <c r="AM57" s="42" t="str">
        <f>IF(AND('Mapa final'!$AJ$48="Muy Baja",'Mapa final'!$AL$48="Catastrófico"),CONCATENATE("R2C",'Mapa final'!$S$48),"")</f>
        <v/>
      </c>
      <c r="AN57" s="43" t="str">
        <f>IF(AND('Mapa final'!$AJ$59="Muy Baja",'Mapa final'!$AL$49="Catastrófico"),CONCATENATE("R2C",'Mapa final'!$S$49),"")</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60"/>
      <c r="D58" s="360"/>
      <c r="E58" s="361"/>
      <c r="F58" s="455"/>
      <c r="G58" s="456"/>
      <c r="H58" s="456"/>
      <c r="I58" s="456"/>
      <c r="J58" s="457"/>
      <c r="K58" s="62" t="str">
        <f>IF(AND('Mapa final'!$AJ$50="Muy Baja",'Mapa final'!$AL$50="Leve"),CONCATENATE("R2C",'Mapa final'!$S$50),"")</f>
        <v/>
      </c>
      <c r="L58" s="63" t="str">
        <f>IF(AND('Mapa final'!$AJ$51="Muy Baja",'Mapa final'!$AL$51="Leve"),CONCATENATE("R2C",'Mapa final'!$S$51),"")</f>
        <v/>
      </c>
      <c r="M58" s="63" t="str">
        <f>IF(AND('Mapa final'!$AJ$52="Muy Baja",'Mapa final'!$AL$52="Leve"),CONCATENATE("R2C",'Mapa final'!$S$52),"")</f>
        <v/>
      </c>
      <c r="N58" s="63" t="str">
        <f>IF(AND('Mapa final'!$AJ$53="Muy Baja",'Mapa final'!$AL$53="Leve"),CONCATENATE("R2C",'Mapa final'!$S$53),"")</f>
        <v/>
      </c>
      <c r="O58" s="63" t="str">
        <f>IF(AND('Mapa final'!$AJ$54="Muy Baja",'Mapa final'!$AL$54="Leve"),CONCATENATE("R2C",'Mapa final'!$S$54),"")</f>
        <v/>
      </c>
      <c r="P58" s="64" t="str">
        <f>IF(AND('Mapa final'!$AJ$55="Muy Baja",'Mapa final'!$AL$55="Leve"),CONCATENATE("R2C",'Mapa final'!$S$55),"")</f>
        <v/>
      </c>
      <c r="Q58" s="62" t="str">
        <f>IF(AND('Mapa final'!$AJ$50="Muy Baja",'Mapa final'!$AL$50="Menor"),CONCATENATE("R2C",'Mapa final'!$S$50),"")</f>
        <v/>
      </c>
      <c r="R58" s="63" t="str">
        <f>IF(AND('Mapa final'!$AJ$51="Muy Baja",'Mapa final'!$AL$51="Menor"),CONCATENATE("R2C",'Mapa final'!$S$51),"")</f>
        <v/>
      </c>
      <c r="S58" s="63" t="str">
        <f>IF(AND('Mapa final'!$AJ$52="Muy Baja",'Mapa final'!$AL$52="Menor"),CONCATENATE("R2C",'Mapa final'!$S$52),"")</f>
        <v/>
      </c>
      <c r="T58" s="63" t="str">
        <f>IF(AND('Mapa final'!$AJ$53="Muy Baja",'Mapa final'!$AL$53="Menor"),CONCATENATE("R2C",'Mapa final'!$S$53),"")</f>
        <v/>
      </c>
      <c r="U58" s="63" t="str">
        <f>IF(AND('Mapa final'!$AJ$54="Muy Baja",'Mapa final'!$AL$54="Menor"),CONCATENATE("R2C",'Mapa final'!$S$54),"")</f>
        <v/>
      </c>
      <c r="V58" s="64" t="str">
        <f>IF(AND('Mapa final'!$AJ$55="Muy Baja",'Mapa final'!$AL$55="Menor"),CONCATENATE("R2C",'Mapa final'!$S$55),"")</f>
        <v/>
      </c>
      <c r="W58" s="53" t="str">
        <f>IF(AND('Mapa final'!$AJ$50="Muy Baja",'Mapa final'!$AL$50="Moderado"),CONCATENATE("R2C",'Mapa final'!$S$50),"")</f>
        <v/>
      </c>
      <c r="X58" s="54" t="str">
        <f>IF(AND('Mapa final'!$AJ$51="Muy Baja",'Mapa final'!$AL$51="Moderado"),CONCATENATE("R2C",'Mapa final'!$S$51),"")</f>
        <v/>
      </c>
      <c r="Y58" s="54" t="str">
        <f>IF(AND('Mapa final'!$AJ$52="Muy Baja",'Mapa final'!$AL$52="Moderado"),CONCATENATE("R2C",'Mapa final'!$S$52),"")</f>
        <v/>
      </c>
      <c r="Z58" s="54" t="str">
        <f>IF(AND('Mapa final'!$AJ$53="Muy Baja",'Mapa final'!$AL$53="Moderado"),CONCATENATE("R2C",'Mapa final'!$S$53),"")</f>
        <v/>
      </c>
      <c r="AA58" s="54" t="str">
        <f>IF(AND('Mapa final'!$AJ$54="Muy Baja",'Mapa final'!$AL$54="Moderado"),CONCATENATE("R2C",'Mapa final'!$S$54),"")</f>
        <v/>
      </c>
      <c r="AB58" s="55" t="str">
        <f>IF(AND('Mapa final'!$AJ$55="Muy Baja",'Mapa final'!$AL$55="Moderado"),CONCATENATE("R2C",'Mapa final'!$S$55),"")</f>
        <v/>
      </c>
      <c r="AC58" s="38" t="str">
        <f>IF(AND('Mapa final'!$AJ$50="Muy Baja",'Mapa final'!$AL$50="Mayor"),CONCATENATE("R2C",'Mapa final'!$S$50),"")</f>
        <v/>
      </c>
      <c r="AD58" s="39" t="str">
        <f>IF(AND('Mapa final'!$AJ$51="Muy Baja",'Mapa final'!$AL$51="Mayor"),CONCATENATE("R2C",'Mapa final'!$S$51),"")</f>
        <v/>
      </c>
      <c r="AE58" s="39" t="str">
        <f>IF(AND('Mapa final'!$AJ$52="Muy Baja",'Mapa final'!$AL$52="Mayor"),CONCATENATE("R2C",'Mapa final'!$S$52),"")</f>
        <v/>
      </c>
      <c r="AF58" s="39" t="str">
        <f>IF(AND('Mapa final'!$AJ$53="Muy Baja",'Mapa final'!$AL$53="Mayor"),CONCATENATE("R2C",'Mapa final'!$S$53),"")</f>
        <v/>
      </c>
      <c r="AG58" s="39" t="str">
        <f>IF(AND('Mapa final'!$AJ$54="Muy Baja",'Mapa final'!$AL$54="Mayor"),CONCATENATE("R2C",'Mapa final'!$S$54),"")</f>
        <v/>
      </c>
      <c r="AH58" s="40" t="str">
        <f>IF(AND('Mapa final'!$AJ$55="Muy Baja",'Mapa final'!$AL$55="Mayor"),CONCATENATE("R2C",'Mapa final'!$S$55),"")</f>
        <v/>
      </c>
      <c r="AI58" s="41" t="str">
        <f>IF(AND('Mapa final'!$AJ$50="Muy Baja",'Mapa final'!$AL$50="Catastrófico"),CONCATENATE("R2C",'Mapa final'!$S$50),"")</f>
        <v/>
      </c>
      <c r="AJ58" s="42" t="str">
        <f>IF(AND('Mapa final'!$AJ$51="Muy Baja",'Mapa final'!$AL$51="Catastrófico"),CONCATENATE("R2C",'Mapa final'!$S$51),"")</f>
        <v/>
      </c>
      <c r="AK58" s="42" t="str">
        <f>IF(AND('Mapa final'!$AJ$52="Muy Baja",'Mapa final'!$AL$52="Catastrófico"),CONCATENATE("R2C",'Mapa final'!$S$52),"")</f>
        <v/>
      </c>
      <c r="AL58" s="42" t="str">
        <f>IF(AND('Mapa final'!$AJ$53="Muy Baja",'Mapa final'!$AL$53="Catastrófico"),CONCATENATE("R2C",'Mapa final'!$S$53),"")</f>
        <v/>
      </c>
      <c r="AM58" s="42" t="str">
        <f>IF(AND('Mapa final'!$AJ$54="Muy Baja",'Mapa final'!$AL$54="Catastrófico"),CONCATENATE("R2C",'Mapa final'!$S$54),"")</f>
        <v/>
      </c>
      <c r="AN58" s="43" t="str">
        <f>IF(AND('Mapa final'!$AJ$55="Muy Baja",'Mapa final'!$AL$55="Catastrófico"),CONCATENATE("R2C",'Mapa final'!$S$55),"")</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60"/>
      <c r="D59" s="360"/>
      <c r="E59" s="361"/>
      <c r="F59" s="455"/>
      <c r="G59" s="456"/>
      <c r="H59" s="456"/>
      <c r="I59" s="456"/>
      <c r="J59" s="457"/>
      <c r="K59" s="62" t="str">
        <f>IF(AND('Mapa final'!$AJ$56="Muy Baja",'Mapa final'!$AL$56="Leve"),CONCATENATE("R2C",'Mapa final'!$S$56),"")</f>
        <v/>
      </c>
      <c r="L59" s="63" t="str">
        <f>IF(AND('Mapa final'!$AJ$57="Muy Baja",'Mapa final'!$AL$57="Leve"),CONCATENATE("R2C",'Mapa final'!$S$57),"")</f>
        <v/>
      </c>
      <c r="M59" s="63" t="str">
        <f>IF(AND('Mapa final'!$AJ$58="Muy Baja",'Mapa final'!$AL$58="Leve"),CONCATENATE("R2C",'Mapa final'!$S$58),"")</f>
        <v/>
      </c>
      <c r="N59" s="63" t="str">
        <f>IF(AND('Mapa final'!$AJ$59="Muy Baja",'Mapa final'!$AL$59="Leve"),CONCATENATE("R2C",'Mapa final'!$S$59),"")</f>
        <v/>
      </c>
      <c r="O59" s="63" t="str">
        <f>IF(AND('Mapa final'!$AJ$60="Muy Baja",'Mapa final'!$AL$60="Leve"),CONCATENATE("R2C",'Mapa final'!$S$60),"")</f>
        <v/>
      </c>
      <c r="P59" s="64" t="str">
        <f>IF(AND('Mapa final'!$AJ$61="Muy Baja",'Mapa final'!$AL$61="Leve"),CONCATENATE("R2C",'Mapa final'!$S$61),"")</f>
        <v/>
      </c>
      <c r="Q59" s="62" t="str">
        <f>IF(AND('Mapa final'!$AJ$56="Muy Baja",'Mapa final'!$AL$56="Menor"),CONCATENATE("R2C",'Mapa final'!$S$56),"")</f>
        <v/>
      </c>
      <c r="R59" s="63" t="str">
        <f>IF(AND('Mapa final'!$AJ$57="Muy Baja",'Mapa final'!$AL$57="Menor"),CONCATENATE("R2C",'Mapa final'!$S$57),"")</f>
        <v/>
      </c>
      <c r="S59" s="63" t="str">
        <f>IF(AND('Mapa final'!$AJ$58="Muy Baja",'Mapa final'!$AL$58="Menor"),CONCATENATE("R2C",'Mapa final'!$S$58),"")</f>
        <v/>
      </c>
      <c r="T59" s="63" t="str">
        <f>IF(AND('Mapa final'!$AJ$59="Muy Baja",'Mapa final'!$AL$59="Menor"),CONCATENATE("R2C",'Mapa final'!$S$59),"")</f>
        <v/>
      </c>
      <c r="U59" s="63" t="str">
        <f>IF(AND('Mapa final'!$AJ$60="Muy Baja",'Mapa final'!$AL$60="Menor"),CONCATENATE("R2C",'Mapa final'!$S$60),"")</f>
        <v/>
      </c>
      <c r="V59" s="64" t="str">
        <f>IF(AND('Mapa final'!$AJ$61="Muy Baja",'Mapa final'!$AL$61="Menor"),CONCATENATE("R2C",'Mapa final'!$S$61),"")</f>
        <v/>
      </c>
      <c r="W59" s="53" t="str">
        <f>IF(AND('Mapa final'!$AJ$56="Muy Baja",'Mapa final'!$AL$56="Moderado"),CONCATENATE("R2C",'Mapa final'!$S$56),"")</f>
        <v/>
      </c>
      <c r="X59" s="54" t="str">
        <f>IF(AND('Mapa final'!$AJ$57="Muy Baja",'Mapa final'!$AL$57="Moderado"),CONCATENATE("R2C",'Mapa final'!$S$57),"")</f>
        <v/>
      </c>
      <c r="Y59" s="54" t="str">
        <f>IF(AND('Mapa final'!$AJ$58="Muy Baja",'Mapa final'!$AL$58="Moderado"),CONCATENATE("R2C",'Mapa final'!$S$58),"")</f>
        <v/>
      </c>
      <c r="Z59" s="54" t="str">
        <f>IF(AND('Mapa final'!$AJ$59="Muy Baja",'Mapa final'!$AL$59="Moderado"),CONCATENATE("R2C",'Mapa final'!$S$59),"")</f>
        <v/>
      </c>
      <c r="AA59" s="54" t="str">
        <f>IF(AND('Mapa final'!$AJ$60="Muy Baja",'Mapa final'!$AL$60="Moderado"),CONCATENATE("R2C",'Mapa final'!$S$60),"")</f>
        <v/>
      </c>
      <c r="AB59" s="55" t="str">
        <f>IF(AND('Mapa final'!$AJ$61="Muy Baja",'Mapa final'!$AL$61="Moderado"),CONCATENATE("R2C",'Mapa final'!$S$61),"")</f>
        <v/>
      </c>
      <c r="AC59" s="38" t="str">
        <f>IF(AND('Mapa final'!$AJ$56="Muy Baja",'Mapa final'!$AL$56="Mayor"),CONCATENATE("R2C",'Mapa final'!$S$56),"")</f>
        <v/>
      </c>
      <c r="AD59" s="39" t="str">
        <f>IF(AND('Mapa final'!$AJ$57="Muy Baja",'Mapa final'!$AL$57="Mayor"),CONCATENATE("R2C",'Mapa final'!$S$57),"")</f>
        <v/>
      </c>
      <c r="AE59" s="39" t="str">
        <f>IF(AND('Mapa final'!$AJ$58="Muy Baja",'Mapa final'!$AL$58="Mayor"),CONCATENATE("R2C",'Mapa final'!$S$58),"")</f>
        <v/>
      </c>
      <c r="AF59" s="39" t="str">
        <f>IF(AND('Mapa final'!$AJ$59="Muy Baja",'Mapa final'!$AL$59="Mayor"),CONCATENATE("R2C",'Mapa final'!$S$59),"")</f>
        <v/>
      </c>
      <c r="AG59" s="39" t="str">
        <f>IF(AND('Mapa final'!$AJ$60="Muy Baja",'Mapa final'!$AL$60="Mayor"),CONCATENATE("R2C",'Mapa final'!$S$60),"")</f>
        <v/>
      </c>
      <c r="AH59" s="40" t="str">
        <f>IF(AND('Mapa final'!$AJ$61="Muy Baja",'Mapa final'!$AL$61="Mayor"),CONCATENATE("R2C",'Mapa final'!$S$61),"")</f>
        <v/>
      </c>
      <c r="AI59" s="41" t="str">
        <f>IF(AND('Mapa final'!$AJ$56="Muy Baja",'Mapa final'!$AL$56="Catastrófico"),CONCATENATE("R2C",'Mapa final'!$S$56),"")</f>
        <v/>
      </c>
      <c r="AJ59" s="42" t="str">
        <f>IF(AND('Mapa final'!$AJ$57="Muy Baja",'Mapa final'!$AL$57="Catastrófico"),CONCATENATE("R2C",'Mapa final'!$S$57),"")</f>
        <v/>
      </c>
      <c r="AK59" s="42" t="str">
        <f>IF(AND('Mapa final'!$AJ$58="Muy Baja",'Mapa final'!$AL$58="Catastrófico"),CONCATENATE("R2C",'Mapa final'!$S$58),"")</f>
        <v/>
      </c>
      <c r="AL59" s="42" t="str">
        <f>IF(AND('Mapa final'!$AJ$59="Muy Baja",'Mapa final'!$AL$59="Catastrófico"),CONCATENATE("R2C",'Mapa final'!$S$59),"")</f>
        <v/>
      </c>
      <c r="AM59" s="42" t="str">
        <f>IF(AND('Mapa final'!$AJ$60="Muy Baja",'Mapa final'!$AL$60="Catastrófico"),CONCATENATE("R2C",'Mapa final'!$S$60),"")</f>
        <v/>
      </c>
      <c r="AN59" s="43" t="str">
        <f>IF(AND('Mapa final'!$AJ$61="Muy Baja",'Mapa final'!$AL$61="Catastrófico"),CONCATENATE("R2C",'Mapa final'!$S$61),"")</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60"/>
      <c r="D60" s="360"/>
      <c r="E60" s="361"/>
      <c r="F60" s="455"/>
      <c r="G60" s="456"/>
      <c r="H60" s="456"/>
      <c r="I60" s="456"/>
      <c r="J60" s="457"/>
      <c r="K60" s="62" t="str">
        <f>IF(AND('Mapa final'!$AJ$62="Muy Baja",'Mapa final'!$AL$62="Leve"),CONCATENATE("R2C",'Mapa final'!$S$62),"")</f>
        <v/>
      </c>
      <c r="L60" s="63" t="str">
        <f>IF(AND('Mapa final'!$AJ$63="Muy Baja",'Mapa final'!$AL$63="Leve"),CONCATENATE("R2C",'Mapa final'!$S$63),"")</f>
        <v/>
      </c>
      <c r="M60" s="63" t="str">
        <f>IF(AND('Mapa final'!$AJ$64="Muy Baja",'Mapa final'!$AL$64="Leve"),CONCATENATE("R2C",'Mapa final'!$S$64),"")</f>
        <v/>
      </c>
      <c r="N60" s="63" t="str">
        <f>IF(AND('Mapa final'!$AJ$65="Muy Baja",'Mapa final'!$AL$65="Leve"),CONCATENATE("R2C",'Mapa final'!$S$65),"")</f>
        <v/>
      </c>
      <c r="O60" s="63" t="str">
        <f>IF(AND('Mapa final'!$AJ$66="Muy Baja",'Mapa final'!$AL$66="Leve"),CONCATENATE("R2C",'Mapa final'!$S$66),"")</f>
        <v/>
      </c>
      <c r="P60" s="64" t="str">
        <f>IF(AND('Mapa final'!$AJ$67="Muy Baja",'Mapa final'!$AL$67="Leve"),CONCATENATE("R2C",'Mapa final'!$S$67),"")</f>
        <v/>
      </c>
      <c r="Q60" s="62" t="str">
        <f>IF(AND('Mapa final'!$AJ$62="Muy Baja",'Mapa final'!$AL$62="Menor"),CONCATENATE("R2C",'Mapa final'!$S$62),"")</f>
        <v/>
      </c>
      <c r="R60" s="63" t="str">
        <f>IF(AND('Mapa final'!$AJ$63="Muy Baja",'Mapa final'!$AL$63="Menor"),CONCATENATE("R2C",'Mapa final'!$S$63),"")</f>
        <v/>
      </c>
      <c r="S60" s="63" t="str">
        <f>IF(AND('Mapa final'!$AJ$64="Muy Baja",'Mapa final'!$AL$64="Menor"),CONCATENATE("R2C",'Mapa final'!$S$64),"")</f>
        <v/>
      </c>
      <c r="T60" s="63" t="str">
        <f>IF(AND('Mapa final'!$AJ$65="Muy Baja",'Mapa final'!$AL$65="Menor"),CONCATENATE("R2C",'Mapa final'!$S$65),"")</f>
        <v/>
      </c>
      <c r="U60" s="63" t="str">
        <f>IF(AND('Mapa final'!$AJ$66="Muy Baja",'Mapa final'!$AL$66="Menor"),CONCATENATE("R2C",'Mapa final'!$S$66),"")</f>
        <v/>
      </c>
      <c r="V60" s="64" t="str">
        <f>IF(AND('Mapa final'!$AJ$67="Muy Baja",'Mapa final'!$AL$67="Menor"),CONCATENATE("R2C",'Mapa final'!$S$67),"")</f>
        <v/>
      </c>
      <c r="W60" s="53" t="str">
        <f>IF(AND('Mapa final'!$AJ$62="Muy Baja",'Mapa final'!$AL$62="Moderado"),CONCATENATE("R2C",'Mapa final'!$S$62),"")</f>
        <v/>
      </c>
      <c r="X60" s="54" t="str">
        <f>IF(AND('Mapa final'!$AJ$63="Muy Baja",'Mapa final'!$AL$63="Moderado"),CONCATENATE("R2C",'Mapa final'!$S$63),"")</f>
        <v/>
      </c>
      <c r="Y60" s="54" t="str">
        <f>IF(AND('Mapa final'!$AJ$64="Muy Baja",'Mapa final'!$AL$64="Moderado"),CONCATENATE("R2C",'Mapa final'!$S$64),"")</f>
        <v/>
      </c>
      <c r="Z60" s="54" t="str">
        <f>IF(AND('Mapa final'!$AJ$65="Muy Baja",'Mapa final'!$AL$65="Moderado"),CONCATENATE("R2C",'Mapa final'!$S$65),"")</f>
        <v/>
      </c>
      <c r="AA60" s="54" t="str">
        <f>IF(AND('Mapa final'!$AJ$66="Muy Baja",'Mapa final'!$AL$66="Moderado"),CONCATENATE("R2C",'Mapa final'!$S$66),"")</f>
        <v/>
      </c>
      <c r="AB60" s="55" t="str">
        <f>IF(AND('Mapa final'!$AJ$67="Muy Baja",'Mapa final'!$AL$67="Moderado"),CONCATENATE("R2C",'Mapa final'!$S$67),"")</f>
        <v/>
      </c>
      <c r="AC60" s="38" t="str">
        <f>IF(AND('Mapa final'!$AJ$62="Muy Baja",'Mapa final'!$AL$62="Mayor"),CONCATENATE("R2C",'Mapa final'!$S$62),"")</f>
        <v/>
      </c>
      <c r="AD60" s="39" t="str">
        <f>IF(AND('Mapa final'!$AJ$63="Muy Baja",'Mapa final'!$AL$63="Mayor"),CONCATENATE("R2C",'Mapa final'!$S$63),"")</f>
        <v/>
      </c>
      <c r="AE60" s="39" t="str">
        <f>IF(AND('Mapa final'!$AJ$64="Muy Baja",'Mapa final'!$AL$64="Mayor"),CONCATENATE("R2C",'Mapa final'!$S$64),"")</f>
        <v/>
      </c>
      <c r="AF60" s="39" t="str">
        <f>IF(AND('Mapa final'!$AJ$65="Muy Baja",'Mapa final'!$AL$65="Mayor"),CONCATENATE("R2C",'Mapa final'!$S$65),"")</f>
        <v/>
      </c>
      <c r="AG60" s="39" t="str">
        <f>IF(AND('Mapa final'!$AJ$66="Muy Baja",'Mapa final'!$AL$66="Mayor"),CONCATENATE("R2C",'Mapa final'!$S$66),"")</f>
        <v/>
      </c>
      <c r="AH60" s="40" t="str">
        <f>IF(AND('Mapa final'!$AJ$67="Muy Baja",'Mapa final'!$AL$67="Mayor"),CONCATENATE("R2C",'Mapa final'!$S$67),"")</f>
        <v/>
      </c>
      <c r="AI60" s="41" t="str">
        <f>IF(AND('Mapa final'!$AJ$62="Muy Baja",'Mapa final'!$AL$62="Catastrófico"),CONCATENATE("R2C",'Mapa final'!$S$62),"")</f>
        <v/>
      </c>
      <c r="AJ60" s="42" t="str">
        <f>IF(AND('Mapa final'!$AJ$63="Muy Baja",'Mapa final'!$AL$63="Catastrófico"),CONCATENATE("R2C",'Mapa final'!$S$63),"")</f>
        <v/>
      </c>
      <c r="AK60" s="42" t="str">
        <f>IF(AND('Mapa final'!$AJ$64="Muy Baja",'Mapa final'!$AL$64="Catastrófico"),CONCATENATE("R2C",'Mapa final'!$S$64),"")</f>
        <v/>
      </c>
      <c r="AL60" s="42" t="str">
        <f>IF(AND('Mapa final'!$AJ$65="Muy Baja",'Mapa final'!$AL$65="Catastrófico"),CONCATENATE("R2C",'Mapa final'!$S$65),"")</f>
        <v/>
      </c>
      <c r="AM60" s="42" t="str">
        <f>IF(AND('Mapa final'!$AJ$66="Muy Baja",'Mapa final'!$AL$66="Catastrófico"),CONCATENATE("R2C",'Mapa final'!$S$66),"")</f>
        <v/>
      </c>
      <c r="AN60" s="43" t="str">
        <f>IF(AND('Mapa final'!$AJ$67="Muy Baja",'Mapa final'!$AL$67="Catastrófico"),CONCATENATE("R2C",'Mapa final'!$S$67),"")</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60"/>
      <c r="D61" s="360"/>
      <c r="E61" s="361"/>
      <c r="F61" s="458"/>
      <c r="G61" s="459"/>
      <c r="H61" s="459"/>
      <c r="I61" s="459"/>
      <c r="J61" s="460"/>
      <c r="K61" s="65" t="str">
        <f>IF(AND('Mapa final'!$AJ$68="Muy Baja",'Mapa final'!$AL$68="Leve"),CONCATENATE("R2C",'Mapa final'!$S$68),"")</f>
        <v/>
      </c>
      <c r="L61" s="66" t="str">
        <f>IF(AND('Mapa final'!$AJ$69="Muy Baja",'Mapa final'!$AL$69="Leve"),CONCATENATE("R2C",'Mapa final'!$S$69),"")</f>
        <v/>
      </c>
      <c r="M61" s="66" t="str">
        <f>IF(AND('Mapa final'!$AJ$70="Muy Baja",'Mapa final'!$AL$70="Leve"),CONCATENATE("R2C",'Mapa final'!$S$70),"")</f>
        <v/>
      </c>
      <c r="N61" s="66" t="str">
        <f>IF(AND('Mapa final'!$AJ$71="Muy Baja",'Mapa final'!$AL$71="Leve"),CONCATENATE("R2C",'Mapa final'!$S$71),"")</f>
        <v/>
      </c>
      <c r="O61" s="66" t="str">
        <f>IF(AND('Mapa final'!$AJ$73="Muy Baja",'Mapa final'!$AL$73="Leve"),CONCATENATE("R2C",'Mapa final'!$S$73),"")</f>
        <v/>
      </c>
      <c r="P61" s="67" t="str">
        <f>IF(AND('Mapa final'!$AJ$74="Muy Baja",'Mapa final'!$AL$74="Leve"),CONCATENATE("R2C",'Mapa final'!$S$74),"")</f>
        <v/>
      </c>
      <c r="Q61" s="65" t="str">
        <f>IF(AND('Mapa final'!$AJ$68="Muy Baja",'Mapa final'!$AL$68="Menor"),CONCATENATE("R2C",'Mapa final'!$S$68),"")</f>
        <v/>
      </c>
      <c r="R61" s="66" t="str">
        <f>IF(AND('Mapa final'!$AJ$69="Muy Baja",'Mapa final'!$AL$69="Menor"),CONCATENATE("R2C",'Mapa final'!$S$69),"")</f>
        <v/>
      </c>
      <c r="S61" s="66" t="str">
        <f>IF(AND('Mapa final'!$AJ$70="Muy Baja",'Mapa final'!$AL$70="Menor"),CONCATENATE("R2C",'Mapa final'!$S$70),"")</f>
        <v/>
      </c>
      <c r="T61" s="66" t="str">
        <f>IF(AND('Mapa final'!$AJ$71="Muy Baja",'Mapa final'!$AL$71="Menor"),CONCATENATE("R2C",'Mapa final'!$S$71),"")</f>
        <v/>
      </c>
      <c r="U61" s="66" t="str">
        <f>IF(AND('Mapa final'!$AJ$73="Muy Baja",'Mapa final'!$AL$73="Menor"),CONCATENATE("R2C",'Mapa final'!$S$73),"")</f>
        <v/>
      </c>
      <c r="V61" s="67" t="str">
        <f>IF(AND('Mapa final'!$AJ$74="Muy Baja",'Mapa final'!$AL$74="Menor"),CONCATENATE("R2C",'Mapa final'!$S$74),"")</f>
        <v/>
      </c>
      <c r="W61" s="56" t="str">
        <f>IF(AND('Mapa final'!$AJ$68="Muy Baja",'Mapa final'!$AL$68="Moderado"),CONCATENATE("R2C",'Mapa final'!$S$68),"")</f>
        <v/>
      </c>
      <c r="X61" s="57" t="str">
        <f>IF(AND('Mapa final'!$AJ$69="Muy Baja",'Mapa final'!$AL$69="Moderado"),CONCATENATE("R2C",'Mapa final'!$S$69),"")</f>
        <v/>
      </c>
      <c r="Y61" s="57" t="str">
        <f>IF(AND('Mapa final'!$AJ$70="Muy Baja",'Mapa final'!$AL$70="Moderado"),CONCATENATE("R2C",'Mapa final'!$S$70),"")</f>
        <v/>
      </c>
      <c r="Z61" s="57" t="str">
        <f>IF(AND('Mapa final'!$AJ$71="Muy Baja",'Mapa final'!$AL$71="Moderado"),CONCATENATE("R2C",'Mapa final'!$S$71),"")</f>
        <v/>
      </c>
      <c r="AA61" s="57" t="str">
        <f>IF(AND('Mapa final'!$AJ$73="Muy Baja",'Mapa final'!$AL$73="Moderado"),CONCATENATE("R2C",'Mapa final'!$S$73),"")</f>
        <v/>
      </c>
      <c r="AB61" s="58" t="str">
        <f>IF(AND('Mapa final'!$AJ$74="Muy Baja",'Mapa final'!$AL$74="Moderado"),CONCATENATE("R2C",'Mapa final'!$S$74),"")</f>
        <v/>
      </c>
      <c r="AC61" s="44" t="str">
        <f>IF(AND('Mapa final'!$AJ$68="Muy Baja",'Mapa final'!$AL$68="Mayor"),CONCATENATE("R2C",'Mapa final'!$S$68),"")</f>
        <v/>
      </c>
      <c r="AD61" s="45" t="str">
        <f>IF(AND('Mapa final'!$AJ$69="Muy Baja",'Mapa final'!$AL$69="Mayor"),CONCATENATE("R2C",'Mapa final'!$S$69),"")</f>
        <v/>
      </c>
      <c r="AE61" s="45" t="str">
        <f>IF(AND('Mapa final'!$AJ$70="Muy Baja",'Mapa final'!$AL$70="Mayor"),CONCATENATE("R2C",'Mapa final'!$S$70),"")</f>
        <v/>
      </c>
      <c r="AF61" s="45" t="str">
        <f>IF(AND('Mapa final'!$AJ$71="Muy Baja",'Mapa final'!$AL$71="Mayor"),CONCATENATE("R2C",'Mapa final'!$S$71),"")</f>
        <v/>
      </c>
      <c r="AG61" s="45" t="str">
        <f>IF(AND('Mapa final'!$AJ$73="Muy Baja",'Mapa final'!$AL$73="Mayor"),CONCATENATE("R2C",'Mapa final'!$S$73),"")</f>
        <v/>
      </c>
      <c r="AH61" s="46" t="str">
        <f>IF(AND('Mapa final'!$AJ$74="Muy Baja",'Mapa final'!$AL$74="Mayor"),CONCATENATE("R2C",'Mapa final'!$S$74),"")</f>
        <v/>
      </c>
      <c r="AI61" s="47" t="str">
        <f>IF(AND('Mapa final'!$AJ$68="Muy Baja",'Mapa final'!$AL$68="Catastrófico"),CONCATENATE("R2C",'Mapa final'!$S$68),"")</f>
        <v/>
      </c>
      <c r="AJ61" s="48" t="str">
        <f>IF(AND('Mapa final'!$AJ$69="Muy Baja",'Mapa final'!$AL$69="Catastrófico"),CONCATENATE("R2C",'Mapa final'!$S$69),"")</f>
        <v/>
      </c>
      <c r="AK61" s="48" t="str">
        <f>IF(AND('Mapa final'!$AJ$70="Muy Baja",'Mapa final'!$AL$70="Catastrófico"),CONCATENATE("R2C",'Mapa final'!$S$70),"")</f>
        <v/>
      </c>
      <c r="AL61" s="48" t="str">
        <f>IF(AND('Mapa final'!$AJ$71="Muy Baja",'Mapa final'!$AL$71="Catastrófico"),CONCATENATE("R2C",'Mapa final'!$S$71),"")</f>
        <v/>
      </c>
      <c r="AM61" s="48" t="str">
        <f>IF(AND('Mapa final'!$AJ$73="Muy Baja",'Mapa final'!$AL$73="Catastrófico"),CONCATENATE("R2C",'Mapa final'!$S$73),"")</f>
        <v/>
      </c>
      <c r="AN61" s="49" t="str">
        <f>IF(AND('Mapa final'!$AJ$74="Muy Baja",'Mapa final'!$AL$74="Catastrófico"),CONCATENATE("R2C",'Mapa final'!$S$74),"")</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52" t="s">
        <v>111</v>
      </c>
      <c r="L62" s="453"/>
      <c r="M62" s="453"/>
      <c r="N62" s="453"/>
      <c r="O62" s="453"/>
      <c r="P62" s="454"/>
      <c r="Q62" s="452" t="s">
        <v>110</v>
      </c>
      <c r="R62" s="453"/>
      <c r="S62" s="453"/>
      <c r="T62" s="453"/>
      <c r="U62" s="453"/>
      <c r="V62" s="454"/>
      <c r="W62" s="452" t="s">
        <v>109</v>
      </c>
      <c r="X62" s="453"/>
      <c r="Y62" s="453"/>
      <c r="Z62" s="453"/>
      <c r="AA62" s="453"/>
      <c r="AB62" s="454"/>
      <c r="AC62" s="452" t="s">
        <v>108</v>
      </c>
      <c r="AD62" s="503"/>
      <c r="AE62" s="453"/>
      <c r="AF62" s="453"/>
      <c r="AG62" s="453"/>
      <c r="AH62" s="454"/>
      <c r="AI62" s="452" t="s">
        <v>107</v>
      </c>
      <c r="AJ62" s="453"/>
      <c r="AK62" s="453"/>
      <c r="AL62" s="453"/>
      <c r="AM62" s="453"/>
      <c r="AN62" s="454"/>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55"/>
      <c r="L63" s="456"/>
      <c r="M63" s="456"/>
      <c r="N63" s="456"/>
      <c r="O63" s="456"/>
      <c r="P63" s="457"/>
      <c r="Q63" s="455"/>
      <c r="R63" s="456"/>
      <c r="S63" s="456"/>
      <c r="T63" s="456"/>
      <c r="U63" s="456"/>
      <c r="V63" s="457"/>
      <c r="W63" s="455"/>
      <c r="X63" s="456"/>
      <c r="Y63" s="456"/>
      <c r="Z63" s="456"/>
      <c r="AA63" s="456"/>
      <c r="AB63" s="457"/>
      <c r="AC63" s="455"/>
      <c r="AD63" s="456"/>
      <c r="AE63" s="456"/>
      <c r="AF63" s="456"/>
      <c r="AG63" s="456"/>
      <c r="AH63" s="457"/>
      <c r="AI63" s="455"/>
      <c r="AJ63" s="456"/>
      <c r="AK63" s="456"/>
      <c r="AL63" s="456"/>
      <c r="AM63" s="456"/>
      <c r="AN63" s="457"/>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55"/>
      <c r="L64" s="456"/>
      <c r="M64" s="456"/>
      <c r="N64" s="456"/>
      <c r="O64" s="456"/>
      <c r="P64" s="457"/>
      <c r="Q64" s="455"/>
      <c r="R64" s="456"/>
      <c r="S64" s="456"/>
      <c r="T64" s="456"/>
      <c r="U64" s="456"/>
      <c r="V64" s="457"/>
      <c r="W64" s="455"/>
      <c r="X64" s="456"/>
      <c r="Y64" s="456"/>
      <c r="Z64" s="456"/>
      <c r="AA64" s="456"/>
      <c r="AB64" s="457"/>
      <c r="AC64" s="455"/>
      <c r="AD64" s="456"/>
      <c r="AE64" s="456"/>
      <c r="AF64" s="456"/>
      <c r="AG64" s="456"/>
      <c r="AH64" s="457"/>
      <c r="AI64" s="455"/>
      <c r="AJ64" s="456"/>
      <c r="AK64" s="456"/>
      <c r="AL64" s="456"/>
      <c r="AM64" s="456"/>
      <c r="AN64" s="457"/>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55"/>
      <c r="L65" s="456"/>
      <c r="M65" s="456"/>
      <c r="N65" s="456"/>
      <c r="O65" s="456"/>
      <c r="P65" s="457"/>
      <c r="Q65" s="455"/>
      <c r="R65" s="456"/>
      <c r="S65" s="456"/>
      <c r="T65" s="456"/>
      <c r="U65" s="456"/>
      <c r="V65" s="457"/>
      <c r="W65" s="455"/>
      <c r="X65" s="456"/>
      <c r="Y65" s="456"/>
      <c r="Z65" s="456"/>
      <c r="AA65" s="456"/>
      <c r="AB65" s="457"/>
      <c r="AC65" s="455"/>
      <c r="AD65" s="456"/>
      <c r="AE65" s="456"/>
      <c r="AF65" s="456"/>
      <c r="AG65" s="456"/>
      <c r="AH65" s="457"/>
      <c r="AI65" s="455"/>
      <c r="AJ65" s="456"/>
      <c r="AK65" s="456"/>
      <c r="AL65" s="456"/>
      <c r="AM65" s="456"/>
      <c r="AN65" s="457"/>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55"/>
      <c r="L66" s="456"/>
      <c r="M66" s="456"/>
      <c r="N66" s="456"/>
      <c r="O66" s="456"/>
      <c r="P66" s="457"/>
      <c r="Q66" s="455"/>
      <c r="R66" s="456"/>
      <c r="S66" s="456"/>
      <c r="T66" s="456"/>
      <c r="U66" s="456"/>
      <c r="V66" s="457"/>
      <c r="W66" s="455"/>
      <c r="X66" s="456"/>
      <c r="Y66" s="456"/>
      <c r="Z66" s="456"/>
      <c r="AA66" s="456"/>
      <c r="AB66" s="457"/>
      <c r="AC66" s="455"/>
      <c r="AD66" s="456"/>
      <c r="AE66" s="456"/>
      <c r="AF66" s="456"/>
      <c r="AG66" s="456"/>
      <c r="AH66" s="457"/>
      <c r="AI66" s="455"/>
      <c r="AJ66" s="456"/>
      <c r="AK66" s="456"/>
      <c r="AL66" s="456"/>
      <c r="AM66" s="456"/>
      <c r="AN66" s="457"/>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58"/>
      <c r="L67" s="459"/>
      <c r="M67" s="459"/>
      <c r="N67" s="459"/>
      <c r="O67" s="459"/>
      <c r="P67" s="460"/>
      <c r="Q67" s="458"/>
      <c r="R67" s="459"/>
      <c r="S67" s="459"/>
      <c r="T67" s="459"/>
      <c r="U67" s="459"/>
      <c r="V67" s="460"/>
      <c r="W67" s="458"/>
      <c r="X67" s="459"/>
      <c r="Y67" s="459"/>
      <c r="Z67" s="459"/>
      <c r="AA67" s="459"/>
      <c r="AB67" s="460"/>
      <c r="AC67" s="458"/>
      <c r="AD67" s="459"/>
      <c r="AE67" s="459"/>
      <c r="AF67" s="459"/>
      <c r="AG67" s="459"/>
      <c r="AH67" s="460"/>
      <c r="AI67" s="458"/>
      <c r="AJ67" s="459"/>
      <c r="AK67" s="459"/>
      <c r="AL67" s="459"/>
      <c r="AM67" s="459"/>
      <c r="AN67" s="460"/>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G14" sqref="G14"/>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04" t="s">
        <v>244</v>
      </c>
      <c r="C2" s="507" t="s">
        <v>205</v>
      </c>
      <c r="D2" s="508"/>
      <c r="E2" s="124" t="s">
        <v>390</v>
      </c>
      <c r="F2" s="125"/>
    </row>
    <row r="3" spans="1:6" ht="15.75" customHeight="1" x14ac:dyDescent="0.25">
      <c r="B3" s="505"/>
      <c r="C3" s="234"/>
      <c r="D3" s="236"/>
      <c r="E3" s="124" t="s">
        <v>264</v>
      </c>
      <c r="F3" s="125"/>
    </row>
    <row r="4" spans="1:6" ht="16.5" customHeight="1" x14ac:dyDescent="0.25">
      <c r="B4" s="505"/>
      <c r="C4" s="234"/>
      <c r="D4" s="236"/>
      <c r="E4" s="124" t="s">
        <v>389</v>
      </c>
      <c r="F4" s="125"/>
    </row>
    <row r="5" spans="1:6" ht="15" customHeight="1" thickBot="1" x14ac:dyDescent="0.3">
      <c r="B5" s="506"/>
      <c r="C5" s="509"/>
      <c r="D5" s="510"/>
      <c r="E5" s="124" t="s">
        <v>245</v>
      </c>
      <c r="F5" s="125"/>
    </row>
    <row r="7" spans="1:6" x14ac:dyDescent="0.25">
      <c r="A7" s="511" t="s">
        <v>266</v>
      </c>
      <c r="B7" s="142" t="s">
        <v>246</v>
      </c>
      <c r="C7" s="143" t="s">
        <v>247</v>
      </c>
      <c r="D7" s="143" t="s">
        <v>248</v>
      </c>
      <c r="E7" s="143" t="s">
        <v>249</v>
      </c>
    </row>
    <row r="8" spans="1:6" ht="42.75" x14ac:dyDescent="0.25">
      <c r="A8" s="511"/>
      <c r="B8" s="126">
        <v>45687</v>
      </c>
      <c r="C8" s="127" t="s">
        <v>400</v>
      </c>
      <c r="D8" s="128" t="s">
        <v>428</v>
      </c>
      <c r="E8" s="128" t="s">
        <v>429</v>
      </c>
    </row>
    <row r="9" spans="1:6" x14ac:dyDescent="0.25">
      <c r="A9" s="511"/>
      <c r="B9" s="126"/>
      <c r="C9" s="127"/>
      <c r="D9" s="128"/>
      <c r="E9" s="128"/>
    </row>
    <row r="10" spans="1:6" x14ac:dyDescent="0.25">
      <c r="A10" s="511"/>
      <c r="B10" s="126"/>
      <c r="C10" s="127"/>
      <c r="D10" s="128"/>
      <c r="E10" s="128"/>
    </row>
    <row r="11" spans="1:6" x14ac:dyDescent="0.25">
      <c r="A11" s="511"/>
      <c r="B11" s="126"/>
      <c r="C11" s="127"/>
      <c r="D11" s="128"/>
      <c r="E11" s="128"/>
    </row>
    <row r="12" spans="1:6" x14ac:dyDescent="0.25">
      <c r="A12" s="511"/>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2025-01-31T18:14:02Z</dcterms:modified>
</cp:coreProperties>
</file>