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defaultThemeVersion="124226"/>
  <mc:AlternateContent xmlns:mc="http://schemas.openxmlformats.org/markup-compatibility/2006">
    <mc:Choice Requires="x15">
      <x15ac:absPath xmlns:x15ac="http://schemas.microsoft.com/office/spreadsheetml/2010/11/ac" url="C:\Users\JASAN\Downloads\"/>
    </mc:Choice>
  </mc:AlternateContent>
  <xr:revisionPtr revIDLastSave="172" documentId="13_ncr:1_{1ABD3960-A344-4B91-A3F6-B7814547F93E}" xr6:coauthVersionLast="47" xr6:coauthVersionMax="47" xr10:uidLastSave="{C5733864-DADA-4C56-AE2B-BC5826CC7E4D}"/>
  <bookViews>
    <workbookView xWindow="-108" yWindow="-108" windowWidth="23256" windowHeight="12456" tabRatio="882" firstSheet="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18"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1" l="1"/>
  <c r="Q15" i="1"/>
  <c r="S15" i="1"/>
  <c r="T15" i="1"/>
  <c r="U15" i="1"/>
  <c r="Y15" i="1"/>
  <c r="AB15" i="1"/>
  <c r="AG15" i="1"/>
  <c r="AH15" i="1"/>
  <c r="AI15" i="1"/>
  <c r="AK15" i="1"/>
  <c r="AJ15" i="1" s="1"/>
  <c r="AL15" i="1"/>
  <c r="AG16" i="1"/>
  <c r="AH16" i="1"/>
  <c r="AI16" i="1"/>
  <c r="AK16" i="1"/>
  <c r="AJ16" i="1" s="1"/>
  <c r="AL16" i="1"/>
  <c r="P17" i="1"/>
  <c r="Q17" i="1"/>
  <c r="S17" i="1"/>
  <c r="T17" i="1"/>
  <c r="U17" i="1"/>
  <c r="Y17" i="1"/>
  <c r="AB17" i="1"/>
  <c r="AG17" i="1"/>
  <c r="AH17" i="1"/>
  <c r="AI17" i="1"/>
  <c r="AK17" i="1"/>
  <c r="AJ17" i="1" s="1"/>
  <c r="AL17" i="1"/>
  <c r="Y18" i="1"/>
  <c r="AB18" i="1"/>
  <c r="AG18" i="1"/>
  <c r="AH18" i="1"/>
  <c r="AI18" i="1"/>
  <c r="AK18" i="1"/>
  <c r="AJ18" i="1" s="1"/>
  <c r="AL18" i="1"/>
  <c r="T19" i="1"/>
  <c r="U19" i="1"/>
  <c r="AG19" i="1"/>
  <c r="AH19" i="1"/>
  <c r="AI19" i="1"/>
  <c r="AK19" i="1"/>
  <c r="AJ19" i="1" s="1"/>
  <c r="AL19" i="1"/>
  <c r="AH20" i="1"/>
  <c r="AK20" i="1"/>
  <c r="AJ20" i="1" s="1"/>
  <c r="AL20" i="1"/>
  <c r="P21" i="1"/>
  <c r="Q21" i="1"/>
  <c r="S21" i="1"/>
  <c r="T21" i="1"/>
  <c r="U21" i="1"/>
  <c r="AH21" i="1"/>
  <c r="AI21" i="1"/>
  <c r="AK21" i="1"/>
  <c r="AJ21" i="1" s="1"/>
  <c r="AL21" i="1"/>
  <c r="AH22" i="1"/>
  <c r="AI22" i="1"/>
  <c r="AK22" i="1"/>
  <c r="AJ22" i="1" s="1"/>
  <c r="AL22" i="1"/>
  <c r="P23" i="1"/>
  <c r="Q23" i="1"/>
  <c r="S23" i="1"/>
  <c r="T23" i="1"/>
  <c r="U23" i="1"/>
  <c r="Y23" i="1"/>
  <c r="AB23" i="1"/>
  <c r="AG23" i="1"/>
  <c r="AH23" i="1"/>
  <c r="AI23" i="1"/>
  <c r="AK23" i="1"/>
  <c r="AJ23" i="1" s="1"/>
  <c r="AL23" i="1"/>
  <c r="Y24" i="1"/>
  <c r="AB24" i="1"/>
  <c r="AG24" i="1"/>
  <c r="AH24" i="1"/>
  <c r="AI24" i="1"/>
  <c r="AK24" i="1"/>
  <c r="AJ24" i="1" s="1"/>
  <c r="AL24" i="1"/>
  <c r="P25" i="1"/>
  <c r="Q25" i="1"/>
  <c r="S25" i="1"/>
  <c r="T25" i="1"/>
  <c r="U25" i="1"/>
  <c r="Y25" i="1"/>
  <c r="AB25" i="1"/>
  <c r="AG25" i="1"/>
  <c r="AH25" i="1"/>
  <c r="AI25" i="1"/>
  <c r="AK25" i="1"/>
  <c r="AJ25" i="1" s="1"/>
  <c r="AL25" i="1"/>
  <c r="Y26" i="1"/>
  <c r="AB26" i="1"/>
  <c r="AG26" i="1"/>
  <c r="AH26" i="1"/>
  <c r="AI26" i="1"/>
  <c r="AK26" i="1"/>
  <c r="AJ26" i="1" s="1"/>
  <c r="AL26" i="1"/>
  <c r="P27" i="1"/>
  <c r="Q27" i="1"/>
  <c r="S27" i="1"/>
  <c r="T27" i="1"/>
  <c r="U27" i="1"/>
  <c r="Y27" i="1"/>
  <c r="AB27" i="1"/>
  <c r="AG27" i="1"/>
  <c r="AH27" i="1"/>
  <c r="AI27" i="1"/>
  <c r="AK27" i="1"/>
  <c r="AJ27" i="1" s="1"/>
  <c r="AL27" i="1"/>
  <c r="Y28" i="1"/>
  <c r="AB28" i="1"/>
  <c r="AG28" i="1"/>
  <c r="AH28" i="1"/>
  <c r="AI28" i="1"/>
  <c r="AK28" i="1"/>
  <c r="AJ28" i="1" s="1"/>
  <c r="AL28" i="1"/>
  <c r="P29" i="1"/>
  <c r="Q29" i="1"/>
  <c r="S29" i="1"/>
  <c r="T29" i="1"/>
  <c r="U29" i="1"/>
  <c r="Y29" i="1"/>
  <c r="AB29" i="1"/>
  <c r="AG29" i="1"/>
  <c r="AH29" i="1"/>
  <c r="AI29" i="1"/>
  <c r="AK29" i="1"/>
  <c r="AJ29" i="1" s="1"/>
  <c r="AL29" i="1"/>
  <c r="Y30" i="1"/>
  <c r="AB30" i="1"/>
  <c r="AG30" i="1"/>
  <c r="AH30" i="1"/>
  <c r="AI30" i="1"/>
  <c r="AK30" i="1"/>
  <c r="AJ30" i="1" s="1"/>
  <c r="AL30" i="1"/>
  <c r="AE51" i="19" l="1"/>
  <c r="AN61" i="19" l="1"/>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I53" i="19" l="1"/>
  <c r="AN13" i="18"/>
  <c r="AN29" i="18"/>
  <c r="AN37" i="18"/>
  <c r="AN21" i="18"/>
  <c r="AN45" i="18"/>
  <c r="F29" i="27" l="1"/>
  <c r="E29" i="27"/>
  <c r="G29" i="27" s="1"/>
  <c r="P35"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L21" i="18" l="1"/>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M52" i="19" l="1"/>
  <c r="Z43" i="18"/>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E12" i="19"/>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7319F458-F751-4993-B913-0ED035E30CF3}">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8ADAA9EE-5890-4480-85AE-C33717331CF8}">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975DE72D-945A-4BAE-A64E-E42069A0D1CB}">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837D0758-B511-4B9B-885F-44B15625A2B0}">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<sst xmlns="http://schemas.openxmlformats.org/spreadsheetml/2006/main" count="718" uniqueCount="444">
  <si>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</si>
  <si>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</si>
  <si>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</si>
  <si>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</si>
  <si>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</si>
  <si>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</si>
  <si>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</si>
  <si>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</si>
  <si>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</si>
  <si>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</si>
  <si>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</si>
  <si>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</si>
  <si>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</si>
  <si>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</si>
  <si>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</si>
  <si>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</si>
  <si>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</si>
  <si>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</si>
  <si>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</si>
  <si>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</si>
  <si>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</si>
  <si>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</si>
  <si>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</si>
  <si>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</si>
  <si>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</si>
  <si>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</si>
  <si>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</si>
  <si>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</si>
  <si>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</si>
  <si>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</si>
  <si>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</si>
  <si>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</si>
  <si>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</si>
  <si>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</si>
  <si>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</si>
  <si>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</si>
  <si>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</si>
  <si>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</si>
  <si>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</si>
  <si>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</si>
  <si>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</si>
  <si>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</si>
  <si>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</si>
  <si>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GESTIÓN FINANCIERA</t>
  </si>
  <si>
    <t>Objetivo:</t>
  </si>
  <si>
    <t>Gestionar, registrar, ejecutar, controlar y soportar el manejo de los recursos financieros de la ETITC mediante el uso de herramientas e instrumentos</t>
  </si>
  <si>
    <t>Alcance:</t>
  </si>
  <si>
    <t>Inicia con la ejecución de los planes de necesidades y adquisiciones articulado con el plan de acción y finaliza con el con el cierre de la ejecución contable, presupuestal y de tesorería, contratadas durante la vigencia.</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</si>
  <si>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</si>
  <si>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</si>
  <si>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</si>
  <si>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</si>
  <si>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</si>
  <si>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</si>
  <si>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</si>
  <si>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</si>
  <si>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</si>
  <si>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</si>
  <si>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</si>
  <si>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</si>
  <si>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</si>
  <si>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</si>
  <si>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</si>
  <si>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</si>
  <si>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</si>
  <si>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</si>
  <si>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</si>
  <si>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</si>
  <si>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</si>
  <si>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</si>
  <si>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</si>
  <si>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</si>
  <si>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</si>
  <si>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</si>
  <si>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</si>
  <si>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</si>
  <si>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</si>
  <si>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</si>
  <si>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</si>
  <si>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</si>
  <si>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</si>
  <si>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</si>
  <si>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</si>
  <si>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</si>
  <si>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</si>
  <si>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</si>
  <si>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</si>
  <si>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</si>
  <si>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</si>
  <si>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</si>
  <si>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</si>
  <si>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</si>
  <si>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</si>
  <si>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</si>
  <si>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</si>
  <si>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</si>
  <si>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</si>
  <si>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</si>
  <si>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</si>
  <si>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</si>
  <si>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</si>
  <si>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</si>
  <si>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</si>
  <si>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</si>
  <si>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</si>
  <si>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</si>
  <si>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</si>
  <si>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Gestión</t>
  </si>
  <si>
    <t>Económico</t>
  </si>
  <si>
    <t>Procesos</t>
  </si>
  <si>
    <t>inoportunidad y/o duplicidad en el suministro de Información de las áreas a que remiten los soportes de los pagos</t>
  </si>
  <si>
    <t xml:space="preserve">Insuficiente estandarización de las actividades de validación y verificación durante el reconocimiento y registro contable de los servicios públicos, lo que incrementa la probabilidad de registrar valores diferentes a los soportados en los documentos fuente </t>
  </si>
  <si>
    <t xml:space="preserve">Posibilidad de afectación económica,  por inoportunidad y/o duplicidad en el suministro de Información de las áreas a que remiten los soportes de los pagos, debido Insuficiente estandarización de las actividades de validación y verificación durante el reconocimiento y registro contable de los servicios públicos, lo que incrementa la probabilidad de registrar valores diferentes a los soportados en los documentos fuente </t>
  </si>
  <si>
    <t>Ejecucion y Administracion de procesos</t>
  </si>
  <si>
    <t>Servicios</t>
  </si>
  <si>
    <t>Disponibilidad</t>
  </si>
  <si>
    <t xml:space="preserve">     El riesgo afecta la imagen de la entidad con algunos usuarios de relevancia frente al logro de los objetivos</t>
  </si>
  <si>
    <t xml:space="preserve"> Los profesionales asignados de los grupos internos de trabajo Contabilidad-Presupuesto y Tesoreria de manera permanente realizan los registros repectivo en la  matriz de control los servicios públicos cada vez que se allega un recibo de servicio Publico y culmina el proceso de pago del servicio publico. 
En caso de desviación del control: Al presentarse inconsistencia en los registros de la Matriz, esta se devuelve via correo electronico con la observación para que el GIT competente lo ajuste. </t>
  </si>
  <si>
    <t>Matriz de Control los servicios publicos 
Correo electronico  con observaciones (cuando aplique)</t>
  </si>
  <si>
    <t>Preventivo</t>
  </si>
  <si>
    <t>Manual</t>
  </si>
  <si>
    <t>Documentado</t>
  </si>
  <si>
    <t>Continua</t>
  </si>
  <si>
    <t>Con Registro</t>
  </si>
  <si>
    <t xml:space="preserve">Matriz de Control los servicios publicos </t>
  </si>
  <si>
    <t>Reducir (mitigar)</t>
  </si>
  <si>
    <t xml:space="preserve">Recordatorios de mantener actualizada la matriz a corte de cada mes </t>
  </si>
  <si>
    <t xml:space="preserve">Coordinación Financera </t>
  </si>
  <si>
    <t xml:space="preserve">Correo electronico </t>
  </si>
  <si>
    <t>Fiscal</t>
  </si>
  <si>
    <t>Recursos Públicos</t>
  </si>
  <si>
    <t>Financiero</t>
  </si>
  <si>
    <t>desconocimiento de cambios normativos sobre impuestos que apliquen a la ETITC</t>
  </si>
  <si>
    <t xml:space="preserve">errores, omisiones o deficiencias en la verificación de los impuestos a lugar y de los calendarios tributarios. </t>
  </si>
  <si>
    <t xml:space="preserve">Posibilidad de efecto dañoso sobre los recursos públicos, por desconocimiento de cambios normativos sobre impuestos que apliquen a la ETITC, debido a errores, omisiones o deficiencias en la verificación de los impuestos a lugar y de los calendarios tributarios. </t>
  </si>
  <si>
    <t>Documental</t>
  </si>
  <si>
    <t>NA</t>
  </si>
  <si>
    <t xml:space="preserve">     Afectación menor a 10 SMLMV .</t>
  </si>
  <si>
    <t>La Coordinadora Financiera, de acuerdo con la periodicidad de los impuestos, realiza la verificación de las conciliaciones de impuestos, teniendo en cuenta la normatividad vigente y acorde con el calendario tributario. En caso de desviación de control, se revisará si da alugar la aplicación de la nueva normatividad y se tomarán las medidas.</t>
  </si>
  <si>
    <t xml:space="preserve">conciliaciones de impuestos
Calendarios Tributarios </t>
  </si>
  <si>
    <t xml:space="preserve">Se genera un calendario tributario y las tablas de retención para su publicación en carteleras de los puestos de trabajo.  </t>
  </si>
  <si>
    <t>Carteleraras (registro fotografico)</t>
  </si>
  <si>
    <t>PENDIENTE POR FORMULAR</t>
  </si>
  <si>
    <t xml:space="preserve">Revisar de manera aleatoria las carpetas criticas para verificar que los roles y responsables correspondan. </t>
  </si>
  <si>
    <t>Capturas de pantalla de las carpetas críticas revisadas.</t>
  </si>
  <si>
    <t>15:31K2123:2915:4915:3815:3715:3615:3415:3215:3115:30</t>
  </si>
  <si>
    <r>
      <rPr>
        <sz val="10"/>
        <color theme="9"/>
        <rFont val="Arial"/>
        <family val="2"/>
      </rPr>
      <t xml:space="preserve">*Nota: </t>
    </r>
    <r>
      <rPr>
        <sz val="10"/>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</si>
  <si>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0"/>
        <color rgb="FF000000"/>
        <rFont val="Arial"/>
      </rPr>
      <t>LIDER DEL PROCESO:</t>
    </r>
    <r>
      <rPr>
        <sz val="10"/>
        <color rgb="FF000000"/>
        <rFont val="Arial"/>
      </rPr>
      <t xml:space="preserve"> JENNY ANDREA  LOPEZ MOLINA- PROFESIONAL ESPECIALIZADO</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</si>
  <si>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</si>
  <si>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</si>
  <si>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</si>
  <si>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</si>
  <si>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</si>
  <si>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</si>
  <si>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</si>
  <si>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</si>
  <si>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</si>
  <si>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</si>
  <si>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</si>
  <si>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</si>
  <si>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</si>
  <si>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</si>
  <si>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</si>
  <si>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</si>
  <si>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</si>
  <si>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</si>
  <si>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</si>
  <si>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</si>
  <si>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</si>
  <si>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</si>
  <si>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</si>
  <si>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</si>
  <si>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</si>
  <si>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</si>
  <si>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</si>
  <si>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</si>
  <si>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</si>
  <si>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</si>
  <si>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</si>
  <si>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</si>
  <si>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</si>
  <si>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</si>
  <si>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</si>
  <si>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</si>
  <si>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</si>
  <si>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Evento externo</t>
  </si>
  <si>
    <t>Daños Activos Fisicos</t>
  </si>
  <si>
    <t>Información</t>
  </si>
  <si>
    <t>Confidencialidad</t>
  </si>
  <si>
    <t>Automático</t>
  </si>
  <si>
    <t>Registro Sustancial</t>
  </si>
  <si>
    <t>Aceptar</t>
  </si>
  <si>
    <t>Finalizado</t>
  </si>
  <si>
    <t>Corrupción</t>
  </si>
  <si>
    <t>•	Talento humano</t>
  </si>
  <si>
    <t>Reputacional</t>
  </si>
  <si>
    <t>Bienes Públicos</t>
  </si>
  <si>
    <t xml:space="preserve">Software </t>
  </si>
  <si>
    <t>Detectivo</t>
  </si>
  <si>
    <t>Sin Documentar</t>
  </si>
  <si>
    <t>Aleatoria</t>
  </si>
  <si>
    <t>Registro Material</t>
  </si>
  <si>
    <t>Evitar</t>
  </si>
  <si>
    <t>En curso</t>
  </si>
  <si>
    <t>•	Tecnología</t>
  </si>
  <si>
    <t>Económico y Reputacional</t>
  </si>
  <si>
    <t>Intereses Patrimoniales de Naturaleza Pública</t>
  </si>
  <si>
    <t>Infraestructura</t>
  </si>
  <si>
    <t>Fallas Tecnologicas</t>
  </si>
  <si>
    <t>Hardware</t>
  </si>
  <si>
    <t>Integridad</t>
  </si>
  <si>
    <t>Correctivo</t>
  </si>
  <si>
    <t>Sin registro</t>
  </si>
  <si>
    <t>Reducir</t>
  </si>
  <si>
    <t>•	Infraestructura</t>
  </si>
  <si>
    <t>Fraude Externo</t>
  </si>
  <si>
    <t>NO APLICA</t>
  </si>
  <si>
    <t>•	Evento externo</t>
  </si>
  <si>
    <t>Talento humano</t>
  </si>
  <si>
    <t>Fraude Interno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</si>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</sst>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92">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sz val="11"/>
      <color rgb="FF000000"/>
      <name val="Arial"/>
      <family val="2"/>
    </font>
    <font>
      <sz val="10"/>
      <color theme="0"/>
      <name val="Arial"/>
      <family val="2"/>
    </font>
    <font>
      <u/>
      <sz val="11"/>
      <color theme="10"/>
      <name val="Calibri"/>
      <family val="2"/>
      <scheme val="minor"/>
    </font>
    <font>
      <sz val="11"/>
      <color rgb="FF000000"/>
      <name val="Calibri"/>
      <family val="2"/>
      <scheme val="minor"/>
    </font>
    <font>
      <b/>
      <sz val="10"/>
      <color rgb="FF000000"/>
      <name val="Arial"/>
      <family val="2"/>
    </font>
    <font>
      <u/>
      <sz val="10"/>
      <color theme="10"/>
      <name val="Arial"/>
      <family val="2"/>
    </font>
    <font>
      <sz val="10"/>
      <color theme="9"/>
      <name val="Arial"/>
      <family val="2"/>
    </font>
    <font>
      <sz val="10"/>
      <color rgb="FF000000"/>
      <name val="Arial"/>
      <family val="2"/>
    </font>
    <font>
      <b/>
      <sz val="10"/>
      <color rgb="FF000000"/>
      <name val="Arial"/>
    </font>
    <font>
      <sz val="10"/>
      <color rgb="FF000000"/>
      <name val="Arial"/>
    </font>
    <font>
      <sz val="10"/>
      <color rgb="FFFF0000"/>
      <name val="Arial"/>
      <family val="2"/>
    </font>
    <font>
      <b/>
      <sz val="10"/>
      <color rgb="FFFF0000"/>
      <name val="Arial"/>
      <family val="2"/>
    </font>
    <font>
      <sz val="10"/>
      <color rgb="FFFF0000"/>
      <name val="Arial"/>
    </font>
  </fonts>
  <fills count="2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s>
  <borders count="11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81" fillId="0" borderId="0" applyNumberFormat="0" applyFill="0" applyBorder="0" applyAlignment="0" applyProtection="0"/>
  </cellStyleXfs>
  <cellXfs count="661">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0" fillId="0" borderId="0" xfId="0" applyAlignment="1">
      <alignment wrapText="1"/>
    </xf>
    <xf numFmtId="0" fontId="54" fillId="0" borderId="57" xfId="0" applyFont="1" applyBorder="1" applyAlignment="1">
      <alignment horizontal="left" vertical="center"/>
    </xf>
    <xf numFmtId="0" fontId="0" fillId="17" borderId="0" xfId="0" applyFill="1"/>
    <xf numFmtId="0" fontId="61" fillId="17" borderId="0" xfId="0" applyFont="1" applyFill="1"/>
    <xf numFmtId="14" fontId="61" fillId="0" borderId="74" xfId="0" applyNumberFormat="1" applyFont="1" applyBorder="1" applyAlignment="1" applyProtection="1">
      <alignment horizontal="center" vertical="center"/>
      <protection locked="0"/>
    </xf>
    <xf numFmtId="0" fontId="61" fillId="0" borderId="74" xfId="0" applyFont="1" applyBorder="1" applyAlignment="1" applyProtection="1">
      <alignment horizontal="center" vertical="center"/>
      <protection locked="0"/>
    </xf>
    <xf numFmtId="0" fontId="61" fillId="0" borderId="74" xfId="0" applyFont="1" applyBorder="1" applyAlignment="1" applyProtection="1">
      <alignment horizontal="center" vertical="center" wrapText="1"/>
      <protection locked="0"/>
    </xf>
    <xf numFmtId="0" fontId="61" fillId="0" borderId="74" xfId="0" applyFont="1" applyBorder="1" applyAlignment="1" applyProtection="1">
      <alignment horizontal="justify" wrapText="1"/>
      <protection locked="0"/>
    </xf>
    <xf numFmtId="0" fontId="11" fillId="17" borderId="0" xfId="0" applyFont="1" applyFill="1"/>
    <xf numFmtId="0" fontId="62" fillId="0" borderId="24" xfId="0" applyFont="1" applyBorder="1" applyAlignment="1">
      <alignment horizontal="center" vertical="center"/>
    </xf>
    <xf numFmtId="0" fontId="62" fillId="0" borderId="85" xfId="0" applyFont="1" applyBorder="1" applyAlignment="1">
      <alignment horizontal="center" vertical="center" wrapText="1"/>
    </xf>
    <xf numFmtId="0" fontId="62"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66" fillId="16" borderId="74" xfId="0" applyNumberFormat="1" applyFont="1" applyFill="1" applyBorder="1" applyAlignment="1">
      <alignment horizontal="center" vertical="center" wrapText="1"/>
    </xf>
    <xf numFmtId="0" fontId="66" fillId="16" borderId="74" xfId="0" applyFont="1" applyFill="1" applyBorder="1" applyAlignment="1">
      <alignment horizontal="center" vertical="center" wrapText="1"/>
    </xf>
    <xf numFmtId="0" fontId="72" fillId="17" borderId="0" xfId="0" applyFont="1" applyFill="1" applyAlignment="1">
      <alignment horizontal="center" vertical="center" textRotation="90"/>
    </xf>
    <xf numFmtId="0" fontId="74" fillId="0" borderId="0" xfId="0" applyFont="1" applyAlignment="1">
      <alignment vertical="center"/>
    </xf>
    <xf numFmtId="0" fontId="77" fillId="0" borderId="0" xfId="0" applyFont="1"/>
    <xf numFmtId="0" fontId="72" fillId="0" borderId="0" xfId="0" applyFont="1" applyAlignment="1">
      <alignment horizontal="left" vertical="center"/>
    </xf>
    <xf numFmtId="0" fontId="61" fillId="0" borderId="91" xfId="0" applyFont="1" applyBorder="1" applyAlignment="1">
      <alignment horizontal="left" vertical="center"/>
    </xf>
    <xf numFmtId="0" fontId="61" fillId="0" borderId="92" xfId="0" applyFont="1" applyBorder="1" applyAlignment="1">
      <alignment horizontal="left" vertical="center"/>
    </xf>
    <xf numFmtId="0" fontId="77" fillId="3" borderId="0" xfId="0" applyFont="1" applyFill="1"/>
    <xf numFmtId="0" fontId="78" fillId="3" borderId="0" xfId="0" applyFont="1" applyFill="1" applyAlignment="1">
      <alignment horizontal="center" vertical="center"/>
    </xf>
    <xf numFmtId="0" fontId="0" fillId="0" borderId="85" xfId="0" applyBorder="1" applyAlignment="1">
      <alignment horizontal="center" vertical="center"/>
    </xf>
    <xf numFmtId="0" fontId="66" fillId="19" borderId="85" xfId="0" applyFont="1" applyFill="1" applyBorder="1" applyAlignment="1">
      <alignment horizontal="center" vertical="center"/>
    </xf>
    <xf numFmtId="0" fontId="75" fillId="18" borderId="0" xfId="0" applyFont="1" applyFill="1" applyAlignment="1">
      <alignment horizontal="center" vertical="center"/>
    </xf>
    <xf numFmtId="0" fontId="66" fillId="19" borderId="0" xfId="0" applyFont="1" applyFill="1" applyAlignment="1">
      <alignment horizontal="center" vertical="center"/>
    </xf>
    <xf numFmtId="0" fontId="76" fillId="0" borderId="0" xfId="0" applyFont="1" applyAlignment="1">
      <alignment horizontal="center"/>
    </xf>
    <xf numFmtId="0" fontId="76" fillId="0" borderId="0" xfId="0" applyFont="1" applyAlignment="1">
      <alignment horizontal="center" vertical="center"/>
    </xf>
    <xf numFmtId="0" fontId="68" fillId="21" borderId="27" xfId="0" applyFont="1" applyFill="1" applyBorder="1" applyAlignment="1">
      <alignment horizontal="center" vertical="center" wrapText="1"/>
    </xf>
    <xf numFmtId="0" fontId="68" fillId="21" borderId="28" xfId="0" applyFont="1" applyFill="1" applyBorder="1" applyAlignment="1">
      <alignment horizontal="center" vertical="center" wrapText="1"/>
    </xf>
    <xf numFmtId="0" fontId="79" fillId="3" borderId="21" xfId="0" applyFont="1" applyFill="1" applyBorder="1" applyAlignment="1" applyProtection="1">
      <alignment horizontal="justify" vertical="justify" wrapText="1"/>
      <protection locked="0"/>
    </xf>
    <xf numFmtId="0" fontId="67" fillId="0" borderId="22" xfId="0" applyFont="1" applyBorder="1" applyAlignment="1" applyProtection="1">
      <alignment horizontal="center" vertical="center" wrapText="1"/>
      <protection locked="0"/>
    </xf>
    <xf numFmtId="0" fontId="79" fillId="0" borderId="21" xfId="0" applyFont="1" applyBorder="1" applyAlignment="1" applyProtection="1">
      <alignment horizontal="justify" vertical="justify" wrapText="1"/>
      <protection locked="0"/>
    </xf>
    <xf numFmtId="0" fontId="67" fillId="0" borderId="21" xfId="0" applyFont="1" applyBorder="1" applyAlignment="1" applyProtection="1">
      <alignment horizontal="center" vertical="center" wrapText="1"/>
      <protection locked="0"/>
    </xf>
    <xf numFmtId="0" fontId="79"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68" fillId="21" borderId="25" xfId="0" applyFont="1" applyFill="1" applyBorder="1" applyAlignment="1">
      <alignment horizontal="center" vertical="center" wrapText="1"/>
    </xf>
    <xf numFmtId="0" fontId="67" fillId="21" borderId="21" xfId="0" applyFont="1" applyFill="1" applyBorder="1" applyAlignment="1" applyProtection="1">
      <alignment horizontal="center" vertical="center"/>
      <protection locked="0"/>
    </xf>
    <xf numFmtId="0" fontId="79" fillId="23" borderId="22" xfId="0" applyFont="1" applyFill="1" applyBorder="1" applyAlignment="1" applyProtection="1">
      <alignment horizontal="justify" vertical="justify" wrapText="1"/>
      <protection locked="0"/>
    </xf>
    <xf numFmtId="0" fontId="80" fillId="21" borderId="21" xfId="0" applyFont="1" applyFill="1" applyBorder="1" applyAlignment="1" applyProtection="1">
      <alignment horizontal="center" vertical="center"/>
      <protection locked="0"/>
    </xf>
    <xf numFmtId="0" fontId="79" fillId="24" borderId="21" xfId="0" applyFont="1" applyFill="1" applyBorder="1" applyAlignment="1" applyProtection="1">
      <alignment horizontal="justify" vertical="justify" wrapText="1"/>
      <protection locked="0"/>
    </xf>
    <xf numFmtId="0" fontId="79" fillId="22" borderId="67" xfId="0" applyFont="1" applyFill="1" applyBorder="1" applyAlignment="1" applyProtection="1">
      <alignment wrapText="1"/>
      <protection locked="0"/>
    </xf>
    <xf numFmtId="0" fontId="61"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56" fillId="18" borderId="0" xfId="0" applyFont="1" applyFill="1" applyAlignment="1">
      <alignment horizontal="center" vertical="center"/>
    </xf>
    <xf numFmtId="0" fontId="56" fillId="18" borderId="0" xfId="0" applyFont="1" applyFill="1" applyAlignment="1">
      <alignment horizontal="center" vertical="center" wrapText="1"/>
    </xf>
    <xf numFmtId="0" fontId="11" fillId="18" borderId="0" xfId="0" applyFont="1" applyFill="1" applyAlignment="1">
      <alignment wrapText="1"/>
    </xf>
    <xf numFmtId="0" fontId="61"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3"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43" fillId="0" borderId="108" xfId="0" applyFont="1" applyBorder="1" applyAlignment="1" applyProtection="1">
      <alignment horizontal="center" vertical="center" wrapText="1"/>
      <protection locked="0"/>
    </xf>
    <xf numFmtId="0" fontId="83" fillId="0" borderId="21" xfId="0" applyFont="1" applyBorder="1" applyAlignment="1">
      <alignment horizontal="left" vertical="center"/>
    </xf>
    <xf numFmtId="0" fontId="67" fillId="0" borderId="0" xfId="0" applyFont="1" applyAlignment="1">
      <alignment horizontal="center" vertical="center"/>
    </xf>
    <xf numFmtId="0" fontId="43" fillId="0" borderId="21" xfId="0" applyFont="1" applyBorder="1" applyAlignment="1" applyProtection="1">
      <alignment horizontal="justify" vertical="center" wrapText="1"/>
      <protection locked="0"/>
    </xf>
    <xf numFmtId="0" fontId="43" fillId="0" borderId="21" xfId="0" applyFont="1" applyBorder="1" applyAlignment="1" applyProtection="1">
      <alignment horizontal="left" vertical="center" wrapText="1"/>
      <protection locked="0"/>
    </xf>
    <xf numFmtId="0" fontId="67" fillId="0" borderId="0" xfId="0" applyFont="1"/>
    <xf numFmtId="0" fontId="67" fillId="0" borderId="0" xfId="0" applyFont="1" applyAlignment="1">
      <alignment horizontal="center"/>
    </xf>
    <xf numFmtId="0" fontId="83" fillId="0" borderId="63" xfId="0" applyFont="1" applyBorder="1" applyAlignment="1" applyProtection="1">
      <alignment horizontal="center" wrapText="1"/>
      <protection locked="0"/>
    </xf>
    <xf numFmtId="0" fontId="83" fillId="0" borderId="57" xfId="0" applyFont="1" applyBorder="1" applyAlignment="1" applyProtection="1">
      <alignment horizontal="center" wrapText="1"/>
      <protection locked="0"/>
    </xf>
    <xf numFmtId="0" fontId="83" fillId="0" borderId="57" xfId="0" applyFont="1" applyBorder="1" applyAlignment="1" applyProtection="1">
      <alignment horizontal="center" vertical="center"/>
      <protection locked="0"/>
    </xf>
    <xf numFmtId="0" fontId="67" fillId="3" borderId="0" xfId="0" applyFont="1" applyFill="1"/>
    <xf numFmtId="0" fontId="80" fillId="3" borderId="0" xfId="0" applyFont="1" applyFill="1"/>
    <xf numFmtId="0" fontId="68" fillId="3" borderId="66" xfId="0" applyFont="1" applyFill="1" applyBorder="1" applyAlignment="1">
      <alignment horizontal="center" vertical="center"/>
    </xf>
    <xf numFmtId="0" fontId="68" fillId="3" borderId="67" xfId="0" applyFont="1" applyFill="1" applyBorder="1" applyAlignment="1">
      <alignment horizontal="center" vertical="center"/>
    </xf>
    <xf numFmtId="0" fontId="68" fillId="3" borderId="65" xfId="0" applyFont="1" applyFill="1" applyBorder="1" applyAlignment="1">
      <alignment horizontal="center" vertical="center"/>
    </xf>
    <xf numFmtId="0" fontId="68" fillId="3" borderId="57" xfId="0" applyFont="1" applyFill="1" applyBorder="1" applyAlignment="1">
      <alignment horizontal="center" vertical="center"/>
    </xf>
    <xf numFmtId="0" fontId="68" fillId="3" borderId="0" xfId="0" applyFont="1" applyFill="1" applyAlignment="1">
      <alignment horizontal="center" vertical="center"/>
    </xf>
    <xf numFmtId="0" fontId="68" fillId="3" borderId="40" xfId="0" applyFont="1" applyFill="1" applyBorder="1" applyAlignment="1">
      <alignment vertical="center"/>
    </xf>
    <xf numFmtId="0" fontId="68" fillId="16" borderId="63" xfId="0" applyFont="1" applyFill="1" applyBorder="1" applyAlignment="1">
      <alignment horizontal="center" vertical="center"/>
    </xf>
    <xf numFmtId="0" fontId="68" fillId="16" borderId="21" xfId="0" applyFont="1" applyFill="1" applyBorder="1" applyAlignment="1">
      <alignment horizontal="center" vertical="center" textRotation="90"/>
    </xf>
    <xf numFmtId="0" fontId="68" fillId="16" borderId="21" xfId="0" applyFont="1" applyFill="1" applyBorder="1" applyAlignment="1">
      <alignment horizontal="center" vertical="center" wrapText="1"/>
    </xf>
    <xf numFmtId="0" fontId="69" fillId="3" borderId="0" xfId="0" applyFont="1" applyFill="1" applyAlignment="1">
      <alignment horizontal="center" vertical="center"/>
    </xf>
    <xf numFmtId="0" fontId="69" fillId="2" borderId="0" xfId="0" applyFont="1" applyFill="1" applyAlignment="1">
      <alignment horizontal="center" vertical="center"/>
    </xf>
    <xf numFmtId="0" fontId="43" fillId="0" borderId="21" xfId="0" applyFont="1" applyBorder="1" applyAlignment="1">
      <alignment horizontal="center" vertical="center" wrapText="1"/>
    </xf>
    <xf numFmtId="0" fontId="43" fillId="0" borderId="21" xfId="0" applyFont="1" applyBorder="1" applyAlignment="1" applyProtection="1">
      <alignment horizontal="center" vertical="center" wrapText="1"/>
      <protection hidden="1"/>
    </xf>
    <xf numFmtId="0" fontId="43" fillId="0" borderId="21" xfId="0" applyFont="1" applyBorder="1" applyAlignment="1" applyProtection="1">
      <alignment horizontal="center" vertical="center" textRotation="90" wrapText="1"/>
      <protection locked="0"/>
    </xf>
    <xf numFmtId="9" fontId="43" fillId="0" borderId="21" xfId="0" applyNumberFormat="1" applyFont="1" applyBorder="1" applyAlignment="1" applyProtection="1">
      <alignment horizontal="center" vertical="center" wrapText="1"/>
      <protection hidden="1"/>
    </xf>
    <xf numFmtId="164" fontId="43" fillId="0" borderId="21" xfId="1" applyNumberFormat="1" applyFont="1" applyBorder="1" applyAlignment="1">
      <alignment horizontal="center" vertical="center" wrapText="1"/>
    </xf>
    <xf numFmtId="0" fontId="54" fillId="0" borderId="21" xfId="0" applyFont="1" applyBorder="1" applyAlignment="1" applyProtection="1">
      <alignment horizontal="center" vertical="center" textRotation="90" wrapText="1"/>
      <protection hidden="1"/>
    </xf>
    <xf numFmtId="14" fontId="43" fillId="27" borderId="21" xfId="0" applyNumberFormat="1" applyFont="1" applyFill="1" applyBorder="1" applyAlignment="1" applyProtection="1">
      <alignment horizontal="center" vertical="center" wrapText="1"/>
      <protection locked="0"/>
    </xf>
    <xf numFmtId="0" fontId="43" fillId="17" borderId="21" xfId="0" applyFont="1" applyFill="1" applyBorder="1" applyAlignment="1">
      <alignment horizontal="center" vertical="center" wrapText="1"/>
    </xf>
    <xf numFmtId="14" fontId="84" fillId="17" borderId="21" xfId="5" applyNumberFormat="1" applyFont="1" applyFill="1" applyBorder="1" applyAlignment="1">
      <alignment horizontal="center" vertical="center" wrapText="1"/>
    </xf>
    <xf numFmtId="0" fontId="43" fillId="25" borderId="21" xfId="0" applyFont="1" applyFill="1" applyBorder="1" applyAlignment="1" applyProtection="1">
      <alignment horizontal="center" vertical="center" wrapText="1"/>
      <protection locked="0"/>
    </xf>
    <xf numFmtId="14" fontId="84" fillId="3" borderId="0" xfId="5" applyNumberFormat="1" applyFont="1" applyFill="1" applyAlignment="1">
      <alignment horizontal="center" vertical="center" wrapText="1"/>
    </xf>
    <xf numFmtId="0" fontId="43" fillId="3" borderId="0" xfId="0" applyFont="1" applyFill="1" applyAlignment="1">
      <alignment horizontal="center" vertical="center" wrapText="1"/>
    </xf>
    <xf numFmtId="0" fontId="43" fillId="0" borderId="21" xfId="0" applyFont="1" applyBorder="1" applyAlignment="1">
      <alignment horizontal="center" vertical="center"/>
    </xf>
    <xf numFmtId="0" fontId="84" fillId="17" borderId="21" xfId="5" applyFont="1" applyFill="1" applyBorder="1" applyAlignment="1">
      <alignment horizontal="center" vertical="center" wrapText="1"/>
    </xf>
    <xf numFmtId="0" fontId="84" fillId="3" borderId="0" xfId="5" applyFont="1" applyFill="1" applyAlignment="1">
      <alignment horizontal="center" vertical="center" wrapText="1"/>
    </xf>
    <xf numFmtId="0" fontId="67" fillId="0" borderId="21" xfId="0" applyFont="1" applyBorder="1" applyAlignment="1" applyProtection="1">
      <alignment horizontal="center" vertical="center" textRotation="90" wrapText="1"/>
      <protection locked="0"/>
    </xf>
    <xf numFmtId="0" fontId="67" fillId="17" borderId="21" xfId="0" applyFont="1" applyFill="1" applyBorder="1" applyAlignment="1" applyProtection="1">
      <alignment horizontal="center" vertical="center" wrapText="1"/>
      <protection locked="0"/>
    </xf>
    <xf numFmtId="0" fontId="67" fillId="25" borderId="21" xfId="0" applyFont="1" applyFill="1" applyBorder="1" applyAlignment="1" applyProtection="1">
      <alignment horizontal="center" vertical="center" wrapText="1"/>
      <protection locked="0"/>
    </xf>
    <xf numFmtId="0" fontId="67" fillId="3" borderId="0" xfId="0" applyFont="1" applyFill="1" applyAlignment="1">
      <alignment horizontal="center" vertical="center" wrapText="1"/>
    </xf>
    <xf numFmtId="0" fontId="67" fillId="0" borderId="0" xfId="0" applyFont="1" applyAlignment="1">
      <alignment horizontal="center" vertical="center" wrapText="1"/>
    </xf>
    <xf numFmtId="0" fontId="67" fillId="0" borderId="3" xfId="0" applyFont="1" applyBorder="1" applyAlignment="1">
      <alignment horizontal="center" vertical="center"/>
    </xf>
    <xf numFmtId="0" fontId="67" fillId="0" borderId="2" xfId="0" applyFont="1" applyBorder="1" applyAlignment="1">
      <alignment horizontal="center" vertical="center"/>
    </xf>
    <xf numFmtId="0" fontId="54" fillId="0" borderId="0" xfId="0" applyFont="1" applyAlignment="1">
      <alignment horizontal="center" vertical="center" wrapText="1"/>
    </xf>
    <xf numFmtId="0" fontId="67" fillId="0" borderId="0" xfId="0" applyFont="1" applyAlignment="1">
      <alignment horizontal="center" wrapText="1"/>
    </xf>
    <xf numFmtId="0" fontId="67" fillId="0" borderId="0" xfId="0" applyFont="1" applyAlignment="1">
      <alignment wrapText="1"/>
    </xf>
    <xf numFmtId="0" fontId="67" fillId="0" borderId="0" xfId="0" applyFont="1" applyAlignment="1">
      <alignment vertical="center"/>
    </xf>
    <xf numFmtId="0" fontId="86" fillId="0" borderId="68" xfId="0" applyFont="1" applyBorder="1" applyAlignment="1">
      <alignment horizontal="center" vertical="center" wrapText="1"/>
    </xf>
    <xf numFmtId="0" fontId="86" fillId="0" borderId="0" xfId="0" applyFont="1" applyAlignment="1">
      <alignment vertical="center" wrapText="1"/>
    </xf>
    <xf numFmtId="0" fontId="86" fillId="0" borderId="0" xfId="0" applyFont="1" applyAlignment="1">
      <alignment horizontal="center" vertical="center" wrapText="1"/>
    </xf>
    <xf numFmtId="0" fontId="89" fillId="0" borderId="101" xfId="0" applyFont="1" applyBorder="1" applyAlignment="1" applyProtection="1">
      <alignment horizontal="center" vertical="center" wrapText="1"/>
      <protection locked="0"/>
    </xf>
    <xf numFmtId="0" fontId="89" fillId="0" borderId="0" xfId="0" applyFont="1" applyAlignment="1">
      <alignment horizontal="center" vertical="center" wrapText="1"/>
    </xf>
    <xf numFmtId="0" fontId="89" fillId="0" borderId="21" xfId="0" applyFont="1" applyBorder="1" applyAlignment="1">
      <alignment horizontal="center" vertical="center" wrapText="1"/>
    </xf>
    <xf numFmtId="0" fontId="89" fillId="0" borderId="21" xfId="0" applyFont="1" applyBorder="1" applyAlignment="1" applyProtection="1">
      <alignment horizontal="justify" vertical="center" wrapText="1"/>
      <protection locked="0"/>
    </xf>
    <xf numFmtId="0" fontId="89" fillId="0" borderId="21" xfId="0" applyFont="1" applyBorder="1" applyAlignment="1" applyProtection="1">
      <alignment horizontal="left" vertical="center" wrapText="1"/>
      <protection locked="0"/>
    </xf>
    <xf numFmtId="0" fontId="89" fillId="0" borderId="21" xfId="0" applyFont="1" applyBorder="1" applyAlignment="1" applyProtection="1">
      <alignment horizontal="center" vertical="center" wrapText="1"/>
      <protection hidden="1"/>
    </xf>
    <xf numFmtId="0" fontId="89" fillId="0" borderId="21" xfId="0" applyFont="1" applyBorder="1" applyAlignment="1" applyProtection="1">
      <alignment horizontal="center" vertical="center" textRotation="90" wrapText="1"/>
      <protection locked="0"/>
    </xf>
    <xf numFmtId="9" fontId="89" fillId="0" borderId="21" xfId="0" applyNumberFormat="1" applyFont="1" applyBorder="1" applyAlignment="1" applyProtection="1">
      <alignment horizontal="center" vertical="center" wrapText="1"/>
      <protection hidden="1"/>
    </xf>
    <xf numFmtId="164" fontId="89" fillId="0" borderId="21" xfId="1" applyNumberFormat="1" applyFont="1" applyBorder="1" applyAlignment="1">
      <alignment horizontal="center" vertical="center" wrapText="1"/>
    </xf>
    <xf numFmtId="0" fontId="90" fillId="0" borderId="21" xfId="0" applyFont="1" applyBorder="1" applyAlignment="1" applyProtection="1">
      <alignment horizontal="center" vertical="center" textRotation="90" wrapText="1"/>
      <protection hidden="1"/>
    </xf>
    <xf numFmtId="14" fontId="89" fillId="27" borderId="21" xfId="0" applyNumberFormat="1" applyFont="1" applyFill="1" applyBorder="1" applyAlignment="1" applyProtection="1">
      <alignment horizontal="center" vertical="center" wrapText="1"/>
      <protection locked="0"/>
    </xf>
    <xf numFmtId="0" fontId="89" fillId="17" borderId="21" xfId="0" applyFont="1" applyFill="1" applyBorder="1" applyAlignment="1" applyProtection="1">
      <alignment horizontal="center" vertical="center" wrapText="1"/>
      <protection locked="0"/>
    </xf>
    <xf numFmtId="0" fontId="89" fillId="25" borderId="21" xfId="0" applyFont="1" applyFill="1" applyBorder="1" applyAlignment="1" applyProtection="1">
      <alignment horizontal="center" vertical="center" wrapText="1"/>
      <protection locked="0"/>
    </xf>
    <xf numFmtId="0" fontId="89" fillId="3" borderId="0" xfId="0" applyFont="1" applyFill="1" applyAlignment="1">
      <alignment horizontal="center" vertical="center" wrapText="1"/>
    </xf>
    <xf numFmtId="0" fontId="91" fillId="0" borderId="21" xfId="0" applyFont="1" applyBorder="1" applyAlignment="1" applyProtection="1">
      <alignment horizontal="left" vertical="center" wrapText="1"/>
      <protection locked="0"/>
    </xf>
    <xf numFmtId="0" fontId="89" fillId="0" borderId="21" xfId="0" applyFont="1" applyBorder="1" applyAlignment="1">
      <alignment horizontal="center" vertical="center"/>
    </xf>
    <xf numFmtId="14" fontId="43" fillId="17" borderId="101" xfId="0" applyNumberFormat="1" applyFont="1" applyFill="1" applyBorder="1" applyAlignment="1">
      <alignment horizontal="center" vertical="center" wrapText="1"/>
    </xf>
    <xf numFmtId="14" fontId="43" fillId="17" borderId="102" xfId="0" applyNumberFormat="1" applyFont="1" applyFill="1" applyBorder="1" applyAlignment="1">
      <alignment horizontal="center" vertical="center" wrapText="1"/>
    </xf>
    <xf numFmtId="14" fontId="43" fillId="17" borderId="22" xfId="0" applyNumberFormat="1" applyFont="1" applyFill="1" applyBorder="1" applyAlignment="1">
      <alignment horizontal="center" vertical="center" wrapText="1"/>
    </xf>
    <xf numFmtId="14" fontId="43" fillId="25" borderId="101" xfId="0" applyNumberFormat="1" applyFont="1" applyFill="1" applyBorder="1" applyAlignment="1" applyProtection="1">
      <alignment horizontal="center" vertical="center" wrapText="1"/>
      <protection locked="0"/>
    </xf>
    <xf numFmtId="14" fontId="43" fillId="25" borderId="102" xfId="0" applyNumberFormat="1" applyFont="1" applyFill="1" applyBorder="1" applyAlignment="1" applyProtection="1">
      <alignment horizontal="center" vertical="center" wrapText="1"/>
      <protection locked="0"/>
    </xf>
    <xf numFmtId="14" fontId="43" fillId="25" borderId="22" xfId="0" applyNumberFormat="1" applyFont="1" applyFill="1" applyBorder="1" applyAlignment="1" applyProtection="1">
      <alignment horizontal="center" vertical="center" wrapText="1"/>
      <protection locked="0"/>
    </xf>
    <xf numFmtId="14" fontId="43" fillId="27" borderId="101" xfId="0" applyNumberFormat="1" applyFont="1" applyFill="1" applyBorder="1" applyAlignment="1" applyProtection="1">
      <alignment horizontal="center" vertical="center" wrapText="1"/>
      <protection locked="0"/>
    </xf>
    <xf numFmtId="14" fontId="43" fillId="27" borderId="102" xfId="0" applyNumberFormat="1" applyFont="1" applyFill="1" applyBorder="1" applyAlignment="1" applyProtection="1">
      <alignment horizontal="center" vertical="center" wrapText="1"/>
      <protection locked="0"/>
    </xf>
    <xf numFmtId="14" fontId="43" fillId="27" borderId="22" xfId="0" applyNumberFormat="1" applyFont="1" applyFill="1" applyBorder="1" applyAlignment="1" applyProtection="1">
      <alignment horizontal="center" vertical="center" wrapText="1"/>
      <protection locked="0"/>
    </xf>
    <xf numFmtId="14" fontId="43" fillId="0" borderId="101" xfId="0" applyNumberFormat="1" applyFont="1" applyBorder="1" applyAlignment="1" applyProtection="1">
      <alignment horizontal="center" vertical="center" wrapText="1"/>
      <protection locked="0"/>
    </xf>
    <xf numFmtId="14" fontId="43" fillId="0" borderId="22" xfId="0" applyNumberFormat="1" applyFont="1" applyBorder="1" applyAlignment="1" applyProtection="1">
      <alignment horizontal="center" vertical="center" wrapText="1"/>
      <protection locked="0"/>
    </xf>
    <xf numFmtId="14" fontId="89" fillId="0" borderId="101" xfId="0" applyNumberFormat="1" applyFont="1" applyBorder="1" applyAlignment="1" applyProtection="1">
      <alignment horizontal="center" vertical="center" wrapText="1"/>
      <protection locked="0"/>
    </xf>
    <xf numFmtId="14" fontId="89" fillId="0" borderId="22" xfId="0" applyNumberFormat="1" applyFont="1" applyBorder="1" applyAlignment="1" applyProtection="1">
      <alignment horizontal="center" vertical="center" wrapText="1"/>
      <protection locked="0"/>
    </xf>
    <xf numFmtId="0" fontId="89" fillId="0" borderId="101" xfId="0" applyFont="1" applyBorder="1" applyAlignment="1" applyProtection="1">
      <alignment horizontal="center" vertical="center" wrapText="1"/>
      <protection locked="0"/>
    </xf>
    <xf numFmtId="0" fontId="89" fillId="0" borderId="22" xfId="0" applyFont="1" applyBorder="1" applyAlignment="1" applyProtection="1">
      <alignment horizontal="center" vertical="center" wrapText="1"/>
      <protection locked="0"/>
    </xf>
    <xf numFmtId="0" fontId="43" fillId="0" borderId="101" xfId="0" applyFont="1" applyBorder="1" applyAlignment="1" applyProtection="1">
      <alignment horizontal="center" vertical="center" wrapText="1"/>
      <protection locked="0"/>
    </xf>
    <xf numFmtId="0" fontId="43" fillId="0" borderId="22"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hidden="1"/>
    </xf>
    <xf numFmtId="0" fontId="90" fillId="0" borderId="22" xfId="0" applyFont="1" applyBorder="1" applyAlignment="1" applyProtection="1">
      <alignment horizontal="center" vertical="center" wrapText="1"/>
      <protection hidden="1"/>
    </xf>
    <xf numFmtId="0" fontId="54" fillId="0" borderId="101" xfId="0" applyFont="1" applyBorder="1" applyAlignment="1" applyProtection="1">
      <alignment horizontal="center" vertical="center" wrapText="1"/>
      <protection hidden="1"/>
    </xf>
    <xf numFmtId="0" fontId="54" fillId="0" borderId="22" xfId="0" applyFont="1" applyBorder="1" applyAlignment="1" applyProtection="1">
      <alignment horizontal="center" vertical="center" wrapText="1"/>
      <protection hidden="1"/>
    </xf>
    <xf numFmtId="0" fontId="43" fillId="0" borderId="101" xfId="0" applyFont="1" applyBorder="1" applyAlignment="1" applyProtection="1">
      <alignment horizontal="center" vertical="center" textRotation="90" wrapText="1"/>
      <protection locked="0"/>
    </xf>
    <xf numFmtId="0" fontId="43" fillId="0" borderId="22" xfId="0" applyFont="1" applyBorder="1" applyAlignment="1" applyProtection="1">
      <alignment horizontal="center" vertical="center" textRotation="90" wrapText="1"/>
      <protection locked="0"/>
    </xf>
    <xf numFmtId="0" fontId="89" fillId="0" borderId="101" xfId="0" applyFont="1" applyBorder="1" applyAlignment="1" applyProtection="1">
      <alignment horizontal="center" vertical="center" textRotation="90" wrapText="1"/>
      <protection locked="0"/>
    </xf>
    <xf numFmtId="0" fontId="89" fillId="0" borderId="22" xfId="0" applyFont="1" applyBorder="1" applyAlignment="1" applyProtection="1">
      <alignment horizontal="center" vertical="center" textRotation="90" wrapText="1"/>
      <protection locked="0"/>
    </xf>
    <xf numFmtId="9" fontId="43" fillId="0" borderId="101" xfId="0" applyNumberFormat="1" applyFont="1" applyBorder="1" applyAlignment="1" applyProtection="1">
      <alignment horizontal="center" vertical="center" wrapText="1"/>
      <protection hidden="1"/>
    </xf>
    <xf numFmtId="9" fontId="43" fillId="0" borderId="22" xfId="0" applyNumberFormat="1" applyFont="1" applyBorder="1" applyAlignment="1" applyProtection="1">
      <alignment horizontal="center" vertical="center" wrapText="1"/>
      <protection hidden="1"/>
    </xf>
    <xf numFmtId="9" fontId="89" fillId="0" borderId="101" xfId="0" applyNumberFormat="1" applyFont="1" applyBorder="1" applyAlignment="1" applyProtection="1">
      <alignment horizontal="center" vertical="center" wrapText="1"/>
      <protection hidden="1"/>
    </xf>
    <xf numFmtId="9" fontId="89" fillId="0" borderId="22" xfId="0" applyNumberFormat="1" applyFont="1" applyBorder="1" applyAlignment="1" applyProtection="1">
      <alignment horizontal="center" vertical="center" wrapText="1"/>
      <protection hidden="1"/>
    </xf>
    <xf numFmtId="9" fontId="43" fillId="0" borderId="101" xfId="0" applyNumberFormat="1" applyFont="1" applyBorder="1" applyAlignment="1" applyProtection="1">
      <alignment horizontal="center" vertical="center" wrapText="1"/>
      <protection locked="0"/>
    </xf>
    <xf numFmtId="9" fontId="43" fillId="0" borderId="22" xfId="0" applyNumberFormat="1" applyFont="1" applyBorder="1" applyAlignment="1" applyProtection="1">
      <alignment horizontal="center" vertical="center" wrapText="1"/>
      <protection locked="0"/>
    </xf>
    <xf numFmtId="0" fontId="54" fillId="0" borderId="101" xfId="0" applyFont="1" applyBorder="1" applyAlignment="1">
      <alignment horizontal="center" vertical="center" wrapText="1"/>
    </xf>
    <xf numFmtId="0" fontId="54" fillId="0" borderId="22" xfId="0" applyFont="1" applyBorder="1" applyAlignment="1">
      <alignment horizontal="center" vertical="center" wrapText="1"/>
    </xf>
    <xf numFmtId="0" fontId="43" fillId="0" borderId="101" xfId="0" applyFont="1" applyBorder="1" applyAlignment="1">
      <alignment horizontal="center" vertical="center" wrapText="1"/>
    </xf>
    <xf numFmtId="0" fontId="43" fillId="0" borderId="22" xfId="0" applyFont="1" applyBorder="1" applyAlignment="1">
      <alignment horizontal="center" vertical="center" wrapText="1"/>
    </xf>
    <xf numFmtId="0" fontId="67" fillId="0" borderId="101" xfId="0" applyFont="1" applyBorder="1" applyAlignment="1">
      <alignment horizontal="center" vertical="center" wrapText="1"/>
    </xf>
    <xf numFmtId="0" fontId="67" fillId="0" borderId="22" xfId="0" applyFont="1" applyBorder="1" applyAlignment="1">
      <alignment horizontal="center" vertical="center" wrapText="1"/>
    </xf>
    <xf numFmtId="0" fontId="69" fillId="0" borderId="101" xfId="0" applyFont="1" applyBorder="1" applyAlignment="1">
      <alignment horizontal="center" vertical="center" wrapText="1"/>
    </xf>
    <xf numFmtId="0" fontId="69" fillId="0" borderId="22"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22" xfId="0" applyFont="1" applyBorder="1" applyAlignment="1">
      <alignment horizontal="center" vertical="center" wrapText="1"/>
    </xf>
    <xf numFmtId="0" fontId="83" fillId="0" borderId="95" xfId="0" applyFont="1" applyBorder="1" applyAlignment="1">
      <alignment horizontal="center" vertical="center" wrapText="1"/>
    </xf>
    <xf numFmtId="0" fontId="83" fillId="0" borderId="96" xfId="0" applyFont="1" applyBorder="1" applyAlignment="1">
      <alignment horizontal="center" vertical="center" wrapText="1"/>
    </xf>
    <xf numFmtId="0" fontId="83" fillId="0" borderId="110" xfId="0" applyFont="1" applyBorder="1" applyAlignment="1">
      <alignment horizontal="center" vertical="center" wrapText="1"/>
    </xf>
    <xf numFmtId="0" fontId="83" fillId="0" borderId="86" xfId="0" applyFont="1" applyBorder="1" applyAlignment="1">
      <alignment horizontal="center" vertical="center" wrapText="1"/>
    </xf>
    <xf numFmtId="0" fontId="83" fillId="0" borderId="0" xfId="0" applyFont="1" applyAlignment="1">
      <alignment horizontal="center" vertical="center" wrapText="1"/>
    </xf>
    <xf numFmtId="0" fontId="83" fillId="0" borderId="72" xfId="0" applyFont="1" applyBorder="1" applyAlignment="1">
      <alignment horizontal="center" vertical="center" wrapText="1"/>
    </xf>
    <xf numFmtId="0" fontId="83" fillId="0" borderId="97" xfId="0" applyFont="1" applyBorder="1" applyAlignment="1">
      <alignment horizontal="center" vertical="center" wrapText="1"/>
    </xf>
    <xf numFmtId="0" fontId="83" fillId="0" borderId="98" xfId="0" applyFont="1" applyBorder="1" applyAlignment="1">
      <alignment horizontal="center" vertical="center" wrapText="1"/>
    </xf>
    <xf numFmtId="0" fontId="83" fillId="0" borderId="111" xfId="0" applyFont="1" applyBorder="1" applyAlignment="1">
      <alignment horizontal="center" vertical="center" wrapText="1"/>
    </xf>
    <xf numFmtId="0" fontId="83" fillId="0" borderId="21" xfId="0" applyFont="1" applyBorder="1" applyAlignment="1" applyProtection="1">
      <alignment horizontal="center" vertical="center"/>
      <protection locked="0"/>
    </xf>
    <xf numFmtId="0" fontId="54" fillId="0" borderId="66" xfId="0" applyFont="1" applyBorder="1" applyAlignment="1">
      <alignment horizontal="left" vertical="center"/>
    </xf>
    <xf numFmtId="0" fontId="54" fillId="0" borderId="65" xfId="0" applyFont="1" applyBorder="1" applyAlignment="1">
      <alignment horizontal="left" vertical="center"/>
    </xf>
    <xf numFmtId="0" fontId="68" fillId="16" borderId="21" xfId="0" applyFont="1" applyFill="1" applyBorder="1" applyAlignment="1">
      <alignment horizontal="center" vertical="center" textRotation="90" wrapText="1"/>
    </xf>
    <xf numFmtId="0" fontId="68" fillId="16" borderId="21" xfId="0" applyFont="1" applyFill="1" applyBorder="1" applyAlignment="1">
      <alignment horizontal="center" vertical="center" wrapText="1"/>
    </xf>
    <xf numFmtId="0" fontId="68" fillId="16" borderId="101" xfId="0" applyFont="1" applyFill="1" applyBorder="1" applyAlignment="1">
      <alignment horizontal="center" vertical="center" wrapText="1"/>
    </xf>
    <xf numFmtId="0" fontId="68" fillId="16" borderId="22" xfId="0" applyFont="1" applyFill="1" applyBorder="1" applyAlignment="1">
      <alignment horizontal="center" vertical="center" wrapText="1"/>
    </xf>
    <xf numFmtId="0" fontId="68" fillId="16" borderId="21" xfId="0" applyFont="1" applyFill="1" applyBorder="1" applyAlignment="1">
      <alignment horizontal="center" vertical="center"/>
    </xf>
    <xf numFmtId="0" fontId="68" fillId="16" borderId="22" xfId="0" applyFont="1" applyFill="1" applyBorder="1" applyAlignment="1">
      <alignment horizontal="center" vertical="center"/>
    </xf>
    <xf numFmtId="0" fontId="68" fillId="16" borderId="66" xfId="0" applyFont="1" applyFill="1" applyBorder="1" applyAlignment="1">
      <alignment horizontal="left" vertical="center"/>
    </xf>
    <xf numFmtId="0" fontId="68" fillId="16" borderId="65" xfId="0" applyFont="1" applyFill="1" applyBorder="1" applyAlignment="1">
      <alignment horizontal="left" vertical="center"/>
    </xf>
    <xf numFmtId="0" fontId="68" fillId="16" borderId="67" xfId="0" applyFont="1" applyFill="1" applyBorder="1" applyAlignment="1">
      <alignment horizontal="left" vertical="center"/>
    </xf>
    <xf numFmtId="0" fontId="68" fillId="16" borderId="66" xfId="0" applyFont="1" applyFill="1" applyBorder="1" applyAlignment="1">
      <alignment horizontal="center" vertical="center"/>
    </xf>
    <xf numFmtId="0" fontId="68" fillId="16" borderId="65" xfId="0" applyFont="1" applyFill="1" applyBorder="1" applyAlignment="1">
      <alignment horizontal="center" vertical="center"/>
    </xf>
    <xf numFmtId="0" fontId="68" fillId="16" borderId="104" xfId="0" applyFont="1" applyFill="1" applyBorder="1" applyAlignment="1">
      <alignment horizontal="center" vertical="center" wrapText="1"/>
    </xf>
    <xf numFmtId="14" fontId="43" fillId="26" borderId="109" xfId="0" applyNumberFormat="1" applyFont="1" applyFill="1" applyBorder="1" applyAlignment="1">
      <alignment horizontal="center" vertical="center" wrapText="1"/>
    </xf>
    <xf numFmtId="14" fontId="43" fillId="26" borderId="22" xfId="0" applyNumberFormat="1" applyFont="1" applyFill="1" applyBorder="1" applyAlignment="1">
      <alignment horizontal="center" vertical="center" wrapText="1"/>
    </xf>
    <xf numFmtId="0" fontId="68" fillId="16" borderId="107" xfId="0" applyFont="1" applyFill="1" applyBorder="1" applyAlignment="1">
      <alignment horizontal="center" vertical="center"/>
    </xf>
    <xf numFmtId="0" fontId="83" fillId="0" borderId="68" xfId="0" applyFont="1" applyBorder="1" applyAlignment="1">
      <alignment horizontal="center" vertical="center" wrapText="1"/>
    </xf>
    <xf numFmtId="0" fontId="86" fillId="0" borderId="68" xfId="0" applyFont="1" applyBorder="1" applyAlignment="1">
      <alignment horizontal="center" vertical="center" wrapText="1"/>
    </xf>
    <xf numFmtId="0" fontId="67" fillId="0" borderId="64" xfId="0" applyFont="1" applyBorder="1" applyAlignment="1">
      <alignment horizontal="left" vertical="center" wrapText="1"/>
    </xf>
    <xf numFmtId="9" fontId="89" fillId="0" borderId="101" xfId="0" applyNumberFormat="1" applyFont="1" applyBorder="1" applyAlignment="1" applyProtection="1">
      <alignment horizontal="center" vertical="center" wrapText="1"/>
      <protection locked="0"/>
    </xf>
    <xf numFmtId="9" fontId="89" fillId="0" borderId="22" xfId="0" applyNumberFormat="1" applyFont="1" applyBorder="1" applyAlignment="1" applyProtection="1">
      <alignment horizontal="center" vertical="center" wrapText="1"/>
      <protection locked="0"/>
    </xf>
    <xf numFmtId="0" fontId="54" fillId="0" borderId="66" xfId="0" applyFont="1" applyBorder="1" applyAlignment="1">
      <alignment horizontal="left" vertical="center" wrapText="1"/>
    </xf>
    <xf numFmtId="0" fontId="54" fillId="0" borderId="65" xfId="0" applyFont="1" applyBorder="1" applyAlignment="1">
      <alignment horizontal="left" vertical="center" wrapText="1"/>
    </xf>
    <xf numFmtId="0" fontId="54" fillId="0" borderId="67" xfId="0" applyFont="1" applyBorder="1" applyAlignment="1">
      <alignment horizontal="left" vertical="center" wrapText="1"/>
    </xf>
    <xf numFmtId="0" fontId="88" fillId="0" borderId="21" xfId="0" applyFont="1" applyBorder="1" applyAlignment="1">
      <alignment horizontal="left" vertical="center" wrapText="1"/>
    </xf>
    <xf numFmtId="0" fontId="43" fillId="0" borderId="21" xfId="0" applyFont="1" applyBorder="1" applyAlignment="1">
      <alignment horizontal="left" vertical="center" wrapText="1"/>
    </xf>
    <xf numFmtId="0" fontId="68" fillId="16" borderId="21" xfId="0" applyFont="1" applyFill="1" applyBorder="1" applyAlignment="1">
      <alignment horizontal="center" vertical="center" textRotation="90"/>
    </xf>
    <xf numFmtId="0" fontId="68" fillId="18" borderId="67" xfId="0" applyFont="1" applyFill="1" applyBorder="1" applyAlignment="1">
      <alignment horizontal="center" vertical="center" wrapText="1"/>
    </xf>
    <xf numFmtId="0" fontId="68" fillId="18" borderId="21" xfId="0" applyFont="1" applyFill="1" applyBorder="1" applyAlignment="1">
      <alignment horizontal="center" vertical="center" wrapText="1"/>
    </xf>
    <xf numFmtId="0" fontId="68" fillId="16" borderId="99" xfId="0" applyFont="1" applyFill="1" applyBorder="1" applyAlignment="1">
      <alignment horizontal="center" vertical="center" wrapText="1"/>
    </xf>
    <xf numFmtId="0" fontId="68" fillId="16" borderId="105" xfId="0" applyFont="1" applyFill="1" applyBorder="1" applyAlignment="1">
      <alignment horizontal="center" vertical="center" wrapText="1"/>
    </xf>
    <xf numFmtId="0" fontId="68" fillId="16" borderId="63" xfId="0" applyFont="1" applyFill="1" applyBorder="1" applyAlignment="1">
      <alignment horizontal="center" vertical="center" wrapText="1"/>
    </xf>
    <xf numFmtId="0" fontId="68" fillId="16" borderId="106" xfId="0" applyFont="1" applyFill="1" applyBorder="1" applyAlignment="1">
      <alignment horizontal="center" vertical="center" wrapText="1"/>
    </xf>
    <xf numFmtId="0" fontId="67" fillId="0" borderId="103" xfId="0" applyFont="1" applyBorder="1" applyAlignment="1">
      <alignment horizontal="left" wrapText="1"/>
    </xf>
    <xf numFmtId="0" fontId="67" fillId="0" borderId="103" xfId="0" applyFont="1" applyBorder="1" applyAlignment="1">
      <alignment horizontal="left"/>
    </xf>
    <xf numFmtId="0" fontId="68" fillId="16" borderId="66" xfId="0" applyFont="1" applyFill="1" applyBorder="1" applyAlignment="1">
      <alignment horizontal="center" vertical="center" wrapText="1"/>
    </xf>
    <xf numFmtId="0" fontId="68" fillId="16" borderId="67" xfId="0" applyFont="1" applyFill="1" applyBorder="1" applyAlignment="1">
      <alignment horizontal="center" vertical="center" wrapText="1"/>
    </xf>
    <xf numFmtId="0" fontId="68" fillId="16" borderId="101" xfId="0" applyFont="1" applyFill="1" applyBorder="1" applyAlignment="1">
      <alignment horizontal="center" vertical="center" textRotation="90"/>
    </xf>
    <xf numFmtId="0" fontId="68" fillId="16" borderId="102" xfId="0" applyFont="1" applyFill="1" applyBorder="1" applyAlignment="1">
      <alignment horizontal="center" vertical="center" textRotation="90"/>
    </xf>
    <xf numFmtId="0" fontId="68" fillId="16" borderId="22" xfId="0" applyFont="1" applyFill="1" applyBorder="1" applyAlignment="1">
      <alignment horizontal="center" vertical="center" textRotation="90"/>
    </xf>
    <xf numFmtId="0" fontId="69" fillId="0" borderId="0" xfId="0" applyFont="1" applyAlignment="1">
      <alignment horizontal="center"/>
    </xf>
    <xf numFmtId="0" fontId="69" fillId="0" borderId="72" xfId="0" applyFont="1" applyBorder="1" applyAlignment="1">
      <alignment horizontal="center"/>
    </xf>
    <xf numFmtId="0" fontId="68" fillId="16" borderId="101" xfId="0" applyFont="1" applyFill="1" applyBorder="1" applyAlignment="1">
      <alignment horizontal="center" vertical="center"/>
    </xf>
    <xf numFmtId="0" fontId="57" fillId="0" borderId="0" xfId="0" applyFont="1" applyAlignment="1">
      <alignment horizontal="center" wrapText="1"/>
    </xf>
    <xf numFmtId="0" fontId="60" fillId="0" borderId="88"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75" xfId="0" applyFont="1" applyBorder="1" applyAlignment="1">
      <alignment horizontal="center" vertical="center" wrapText="1"/>
    </xf>
    <xf numFmtId="0" fontId="60" fillId="0" borderId="71" xfId="0" applyFont="1" applyBorder="1" applyAlignment="1">
      <alignment horizontal="center" vertical="center" wrapText="1"/>
    </xf>
    <xf numFmtId="0" fontId="60" fillId="0" borderId="0" xfId="0" applyFont="1" applyAlignment="1">
      <alignment horizontal="center" vertical="center" wrapText="1"/>
    </xf>
    <xf numFmtId="0" fontId="60" fillId="0" borderId="72" xfId="0" applyFont="1" applyBorder="1" applyAlignment="1">
      <alignment horizontal="center" vertical="center" wrapText="1"/>
    </xf>
    <xf numFmtId="0" fontId="60" fillId="0" borderId="89" xfId="0" applyFont="1" applyBorder="1" applyAlignment="1">
      <alignment horizontal="center" vertical="center" wrapText="1"/>
    </xf>
    <xf numFmtId="0" fontId="60" fillId="0" borderId="11" xfId="0" applyFont="1" applyBorder="1" applyAlignment="1">
      <alignment horizontal="center" vertical="center" wrapText="1"/>
    </xf>
    <xf numFmtId="0" fontId="60" fillId="0" borderId="78" xfId="0" applyFont="1" applyBorder="1" applyAlignment="1">
      <alignment horizontal="center" vertical="center" wrapText="1"/>
    </xf>
    <xf numFmtId="0" fontId="58" fillId="0" borderId="5" xfId="0" applyFont="1" applyBorder="1" applyAlignment="1">
      <alignment horizontal="center" wrapText="1"/>
    </xf>
    <xf numFmtId="0" fontId="58" fillId="0" borderId="6" xfId="0" applyFont="1" applyBorder="1" applyAlignment="1">
      <alignment horizontal="center" wrapText="1"/>
    </xf>
    <xf numFmtId="0" fontId="58" fillId="0" borderId="7" xfId="0" applyFont="1" applyBorder="1" applyAlignment="1">
      <alignment horizontal="center" wrapText="1"/>
    </xf>
    <xf numFmtId="0" fontId="58" fillId="0" borderId="8" xfId="0" applyFont="1" applyBorder="1" applyAlignment="1">
      <alignment horizontal="center" wrapText="1"/>
    </xf>
    <xf numFmtId="0" fontId="58" fillId="0" borderId="9" xfId="0" applyFont="1" applyBorder="1" applyAlignment="1">
      <alignment horizontal="center" wrapText="1"/>
    </xf>
    <xf numFmtId="0" fontId="58"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82" fillId="0" borderId="112" xfId="0" applyFont="1" applyBorder="1" applyAlignment="1">
      <alignment horizontal="center" wrapText="1"/>
    </xf>
    <xf numFmtId="0" fontId="82" fillId="0" borderId="113" xfId="0" applyFont="1" applyBorder="1" applyAlignment="1">
      <alignment horizontal="center" wrapText="1"/>
    </xf>
    <xf numFmtId="0" fontId="82" fillId="0" borderId="114" xfId="0" applyFont="1" applyBorder="1" applyAlignment="1">
      <alignment horizontal="center" wrapText="1"/>
    </xf>
    <xf numFmtId="0" fontId="61" fillId="0" borderId="23" xfId="0" applyFont="1" applyBorder="1" applyAlignment="1">
      <alignment horizontal="left" vertical="center" wrapText="1"/>
    </xf>
    <xf numFmtId="0" fontId="61" fillId="0" borderId="35" xfId="0" applyFont="1" applyBorder="1" applyAlignment="1">
      <alignment horizontal="left" vertical="center" wrapText="1"/>
    </xf>
    <xf numFmtId="0" fontId="60" fillId="0" borderId="94" xfId="0" applyFont="1" applyBorder="1" applyAlignment="1">
      <alignment horizontal="center" vertical="center" wrapText="1"/>
    </xf>
    <xf numFmtId="0" fontId="60" fillId="0" borderId="90" xfId="0" applyFont="1" applyBorder="1" applyAlignment="1">
      <alignment horizontal="center" vertical="center" wrapText="1"/>
    </xf>
    <xf numFmtId="0" fontId="60" fillId="0" borderId="93" xfId="0" applyFont="1" applyBorder="1" applyAlignment="1">
      <alignment horizontal="center" vertical="center" wrapText="1"/>
    </xf>
    <xf numFmtId="0" fontId="56" fillId="18" borderId="94" xfId="0" applyFont="1" applyFill="1" applyBorder="1" applyAlignment="1">
      <alignment horizontal="center" vertical="center"/>
    </xf>
    <xf numFmtId="0" fontId="56" fillId="18" borderId="90" xfId="0" applyFont="1" applyFill="1" applyBorder="1" applyAlignment="1">
      <alignment horizontal="center" vertical="center"/>
    </xf>
    <xf numFmtId="0" fontId="56" fillId="18" borderId="93" xfId="0" applyFont="1" applyFill="1" applyBorder="1" applyAlignment="1">
      <alignment horizontal="center" vertical="center"/>
    </xf>
    <xf numFmtId="0" fontId="66" fillId="18" borderId="5" xfId="0" applyFont="1" applyFill="1" applyBorder="1" applyAlignment="1">
      <alignment horizontal="center" vertical="center"/>
    </xf>
    <xf numFmtId="0" fontId="66" fillId="18" borderId="6" xfId="0" applyFont="1" applyFill="1" applyBorder="1" applyAlignment="1">
      <alignment horizontal="center" vertical="center"/>
    </xf>
    <xf numFmtId="0" fontId="66" fillId="18" borderId="9" xfId="0" applyFont="1" applyFill="1" applyBorder="1" applyAlignment="1">
      <alignment horizontal="center" vertical="center"/>
    </xf>
    <xf numFmtId="0" fontId="66" fillId="18" borderId="10" xfId="0" applyFont="1" applyFill="1" applyBorder="1" applyAlignment="1">
      <alignment horizontal="center" vertical="center"/>
    </xf>
    <xf numFmtId="0" fontId="66" fillId="19" borderId="9" xfId="0" applyFont="1" applyFill="1" applyBorder="1" applyAlignment="1">
      <alignment horizontal="center" vertical="center"/>
    </xf>
    <xf numFmtId="0" fontId="66" fillId="19" borderId="10" xfId="0" applyFont="1" applyFill="1" applyBorder="1" applyAlignment="1">
      <alignment horizontal="center" vertical="center"/>
    </xf>
    <xf numFmtId="0" fontId="66" fillId="18" borderId="5" xfId="0" applyFont="1" applyFill="1" applyBorder="1" applyAlignment="1">
      <alignment horizontal="center" vertical="center" wrapText="1"/>
    </xf>
    <xf numFmtId="0" fontId="66" fillId="18" borderId="6" xfId="0" applyFont="1" applyFill="1" applyBorder="1" applyAlignment="1">
      <alignment horizontal="center" vertical="center" wrapText="1"/>
    </xf>
    <xf numFmtId="0" fontId="66" fillId="18" borderId="9" xfId="0" applyFont="1" applyFill="1" applyBorder="1" applyAlignment="1">
      <alignment horizontal="center" vertical="center" wrapText="1"/>
    </xf>
    <xf numFmtId="0" fontId="66"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0" fillId="5" borderId="0" xfId="0" applyFill="1" applyAlignment="1">
      <alignment horizontal="center"/>
    </xf>
    <xf numFmtId="0" fontId="72" fillId="20" borderId="91" xfId="0" applyFont="1" applyFill="1" applyBorder="1" applyAlignment="1">
      <alignment horizontal="center" vertical="center" wrapText="1"/>
    </xf>
    <xf numFmtId="0" fontId="72" fillId="20" borderId="100" xfId="0" applyFont="1" applyFill="1" applyBorder="1" applyAlignment="1">
      <alignment horizontal="center" vertical="center" wrapText="1"/>
    </xf>
    <xf numFmtId="0" fontId="72" fillId="20" borderId="25" xfId="0" applyFont="1" applyFill="1" applyBorder="1" applyAlignment="1">
      <alignment horizontal="center" vertical="center" wrapText="1"/>
    </xf>
    <xf numFmtId="0" fontId="72"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3" fillId="0" borderId="5" xfId="0" applyFont="1" applyBorder="1" applyAlignment="1">
      <alignment horizontal="center" wrapText="1"/>
    </xf>
    <xf numFmtId="0" fontId="63" fillId="0" borderId="12" xfId="0" applyFont="1" applyBorder="1" applyAlignment="1">
      <alignment horizontal="center" wrapText="1"/>
    </xf>
    <xf numFmtId="0" fontId="63" fillId="0" borderId="6" xfId="0" applyFont="1" applyBorder="1" applyAlignment="1">
      <alignment horizontal="center" wrapText="1"/>
    </xf>
    <xf numFmtId="0" fontId="63" fillId="0" borderId="7" xfId="0" applyFont="1" applyBorder="1" applyAlignment="1">
      <alignment horizontal="center" wrapText="1"/>
    </xf>
    <xf numFmtId="0" fontId="63" fillId="0" borderId="0" xfId="0" applyFont="1" applyAlignment="1">
      <alignment horizontal="center" wrapText="1"/>
    </xf>
    <xf numFmtId="0" fontId="63" fillId="0" borderId="8" xfId="0" applyFont="1" applyBorder="1" applyAlignment="1">
      <alignment horizontal="center" wrapText="1"/>
    </xf>
    <xf numFmtId="0" fontId="63" fillId="0" borderId="9" xfId="0" applyFont="1" applyBorder="1" applyAlignment="1">
      <alignment horizontal="center" wrapText="1"/>
    </xf>
    <xf numFmtId="0" fontId="63" fillId="0" borderId="11" xfId="0" applyFont="1" applyBorder="1" applyAlignment="1">
      <alignment horizontal="center" wrapText="1"/>
    </xf>
    <xf numFmtId="0" fontId="63"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72" fillId="0" borderId="0" xfId="0" applyFont="1" applyAlignment="1">
      <alignment horizontal="center"/>
    </xf>
    <xf numFmtId="0" fontId="72" fillId="0" borderId="72" xfId="0" applyFont="1" applyBorder="1" applyAlignment="1">
      <alignment horizontal="center"/>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57" fillId="0" borderId="0" xfId="0" applyFont="1" applyAlignment="1">
      <alignment horizontal="center"/>
    </xf>
    <xf numFmtId="0" fontId="39" fillId="0" borderId="12" xfId="0" applyFont="1" applyBorder="1" applyAlignment="1">
      <alignment horizontal="center" vertical="center" wrapText="1"/>
    </xf>
    <xf numFmtId="0" fontId="58" fillId="0" borderId="95" xfId="0" applyFont="1" applyBorder="1" applyAlignment="1">
      <alignment horizontal="center" wrapText="1"/>
    </xf>
    <xf numFmtId="0" fontId="62" fillId="0" borderId="86" xfId="0" applyFont="1" applyBorder="1" applyAlignment="1">
      <alignment horizontal="center" wrapText="1"/>
    </xf>
    <xf numFmtId="0" fontId="62" fillId="0" borderId="97" xfId="0" applyFont="1" applyBorder="1" applyAlignment="1">
      <alignment horizontal="center" wrapText="1"/>
    </xf>
    <xf numFmtId="0" fontId="60" fillId="0" borderId="5"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9" xfId="0" applyFont="1" applyBorder="1" applyAlignment="1">
      <alignment horizontal="center" vertical="center" wrapText="1"/>
    </xf>
    <xf numFmtId="0" fontId="72"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5" fontId="61" fillId="0" borderId="23" xfId="0" applyNumberFormat="1" applyFont="1" applyBorder="1" applyAlignment="1">
      <alignment horizontal="center" vertical="center"/>
    </xf>
    <xf numFmtId="165" fontId="61" fillId="0" borderId="35" xfId="0" applyNumberFormat="1" applyFont="1" applyBorder="1" applyAlignment="1">
      <alignment horizontal="center" vertical="center"/>
    </xf>
    <xf numFmtId="0" fontId="61" fillId="0" borderId="81" xfId="0" applyFont="1" applyBorder="1" applyAlignment="1">
      <alignment horizontal="center" vertical="center" wrapText="1"/>
    </xf>
    <xf numFmtId="0" fontId="61" fillId="0" borderId="33" xfId="0" applyFont="1" applyBorder="1" applyAlignment="1">
      <alignment horizontal="center" vertical="center" wrapText="1"/>
    </xf>
    <xf numFmtId="0" fontId="61" fillId="0" borderId="33" xfId="0" applyFont="1" applyBorder="1" applyAlignment="1">
      <alignment horizontal="left" vertical="center" wrapText="1"/>
    </xf>
    <xf numFmtId="0" fontId="61" fillId="0" borderId="34" xfId="0" applyFont="1" applyBorder="1" applyAlignment="1">
      <alignment horizontal="left" vertical="center" wrapText="1"/>
    </xf>
    <xf numFmtId="0" fontId="71" fillId="0" borderId="0" xfId="0" applyFont="1" applyAlignment="1">
      <alignment horizontal="left" wrapText="1"/>
    </xf>
    <xf numFmtId="0" fontId="69" fillId="0" borderId="7" xfId="0" applyFont="1" applyBorder="1" applyAlignment="1">
      <alignment horizontal="center" vertical="center" wrapText="1"/>
    </xf>
    <xf numFmtId="0" fontId="70" fillId="0" borderId="0" xfId="0" applyFont="1" applyAlignment="1">
      <alignment horizontal="center" vertical="center" wrapText="1"/>
    </xf>
    <xf numFmtId="0" fontId="69" fillId="0" borderId="0" xfId="0" applyFont="1" applyAlignment="1">
      <alignment horizontal="center" vertical="center" wrapText="1"/>
    </xf>
    <xf numFmtId="0" fontId="69" fillId="0" borderId="8" xfId="0" applyFont="1" applyBorder="1" applyAlignment="1">
      <alignment horizontal="center" vertical="center" wrapText="1"/>
    </xf>
    <xf numFmtId="0" fontId="61" fillId="0" borderId="9"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0" xfId="0" applyFont="1" applyBorder="1" applyAlignment="1">
      <alignment horizontal="center" vertical="center" wrapText="1"/>
    </xf>
    <xf numFmtId="0" fontId="61" fillId="0" borderId="11" xfId="0" applyFont="1" applyBorder="1" applyAlignment="1">
      <alignment horizontal="center"/>
    </xf>
    <xf numFmtId="0" fontId="62" fillId="0" borderId="23"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35" xfId="0" applyFont="1" applyBorder="1" applyAlignment="1">
      <alignment horizontal="center" vertical="center" wrapText="1"/>
    </xf>
    <xf numFmtId="0" fontId="67" fillId="0" borderId="0" xfId="0" applyFont="1" applyAlignment="1">
      <alignment horizontal="center" vertical="center"/>
    </xf>
    <xf numFmtId="0" fontId="68" fillId="16" borderId="82" xfId="0" applyFont="1" applyFill="1" applyBorder="1" applyAlignment="1">
      <alignment horizontal="center" vertical="center" wrapText="1"/>
    </xf>
    <xf numFmtId="0" fontId="68" fillId="16" borderId="83" xfId="0" applyFont="1" applyFill="1" applyBorder="1" applyAlignment="1">
      <alignment horizontal="center" vertical="center" wrapText="1"/>
    </xf>
    <xf numFmtId="0" fontId="68" fillId="16" borderId="8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68" fillId="16" borderId="12" xfId="0" applyFont="1" applyFill="1" applyBorder="1" applyAlignment="1">
      <alignment horizontal="center" vertical="center" wrapText="1"/>
    </xf>
    <xf numFmtId="0" fontId="68" fillId="16" borderId="6" xfId="0" applyFont="1" applyFill="1" applyBorder="1" applyAlignment="1">
      <alignment horizontal="center" vertical="center" wrapText="1"/>
    </xf>
    <xf numFmtId="0" fontId="68" fillId="16" borderId="75" xfId="0" applyFont="1" applyFill="1" applyBorder="1" applyAlignment="1">
      <alignment horizontal="center" vertical="center" wrapText="1"/>
    </xf>
    <xf numFmtId="0" fontId="68" fillId="16" borderId="76" xfId="0" applyFont="1" applyFill="1" applyBorder="1" applyAlignment="1">
      <alignment horizontal="center" vertic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1" fillId="0" borderId="12" xfId="0" applyFont="1" applyBorder="1" applyAlignment="1">
      <alignment horizontal="center"/>
    </xf>
    <xf numFmtId="0" fontId="61" fillId="0" borderId="6" xfId="0" applyFont="1" applyBorder="1" applyAlignment="1">
      <alignment horizontal="center"/>
    </xf>
    <xf numFmtId="0" fontId="66" fillId="16" borderId="32" xfId="0" applyFont="1" applyFill="1" applyBorder="1" applyAlignment="1">
      <alignment horizontal="center" vertical="center" wrapText="1"/>
    </xf>
    <xf numFmtId="0" fontId="66" fillId="16" borderId="33" xfId="0" applyFont="1" applyFill="1" applyBorder="1" applyAlignment="1">
      <alignment horizontal="center" vertical="center" wrapText="1"/>
    </xf>
    <xf numFmtId="0" fontId="66" fillId="16" borderId="80" xfId="0" applyFont="1" applyFill="1" applyBorder="1" applyAlignment="1">
      <alignment horizontal="center" vertical="center" wrapText="1"/>
    </xf>
    <xf numFmtId="0" fontId="66" fillId="16" borderId="81" xfId="0" applyFont="1" applyFill="1" applyBorder="1" applyAlignment="1">
      <alignment horizontal="center" vertical="center" wrapText="1"/>
    </xf>
    <xf numFmtId="0" fontId="66" fillId="16" borderId="24" xfId="0" applyFont="1" applyFill="1" applyBorder="1" applyAlignment="1">
      <alignment horizontal="center" vertical="center" wrapText="1"/>
    </xf>
    <xf numFmtId="0" fontId="66" fillId="16" borderId="35" xfId="0" applyFont="1" applyFill="1" applyBorder="1" applyAlignment="1">
      <alignment horizontal="center" vertical="center" wrapText="1"/>
    </xf>
    <xf numFmtId="0" fontId="63" fillId="0" borderId="69" xfId="0" applyFont="1" applyBorder="1" applyAlignment="1">
      <alignment horizontal="center" wrapText="1"/>
    </xf>
    <xf numFmtId="0" fontId="62" fillId="0" borderId="70" xfId="0" applyFont="1" applyBorder="1" applyAlignment="1">
      <alignment horizontal="center" wrapText="1"/>
    </xf>
    <xf numFmtId="0" fontId="62" fillId="0" borderId="73" xfId="0" applyFont="1" applyBorder="1" applyAlignment="1">
      <alignment horizontal="center" wrapText="1"/>
    </xf>
    <xf numFmtId="0" fontId="65" fillId="0" borderId="5" xfId="0" applyFont="1" applyBorder="1" applyAlignment="1">
      <alignment horizontal="center" vertical="center" wrapText="1"/>
    </xf>
    <xf numFmtId="0" fontId="65" fillId="0" borderId="12"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0" xfId="0" applyFont="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89" fillId="13" borderId="101" xfId="0" applyFont="1" applyFill="1" applyBorder="1" applyAlignment="1">
      <alignment horizontal="center" vertical="center" wrapText="1"/>
    </xf>
    <xf numFmtId="0" fontId="89" fillId="13" borderId="101" xfId="0" applyFont="1" applyFill="1" applyBorder="1" applyAlignment="1" applyProtection="1">
      <alignment horizontal="center" vertical="center" wrapText="1"/>
      <protection locked="0"/>
    </xf>
    <xf numFmtId="0" fontId="89" fillId="13" borderId="22" xfId="0" applyFont="1" applyFill="1" applyBorder="1" applyAlignment="1">
      <alignment horizontal="center" vertical="center" wrapText="1"/>
    </xf>
    <xf numFmtId="0" fontId="89" fillId="13" borderId="22" xfId="0" applyFont="1" applyFill="1" applyBorder="1" applyAlignment="1" applyProtection="1">
      <alignment horizontal="center" vertical="center" wrapText="1"/>
      <protection locked="0"/>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642811" y="1797217"/>
          <a:ext cx="8417093" cy="3853113"/>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7</xdr:row>
      <xdr:rowOff>972910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43</xdr:row>
      <xdr:rowOff>0</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0500"/>
          <a:ext cx="676275" cy="7715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18"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5" zoomScale="95" zoomScaleNormal="95" workbookViewId="0"/>
  </sheetViews>
  <sheetFormatPr defaultColWidth="11.42578125" defaultRowHeight="14.45"/>
  <cols>
    <col min="1" max="1" width="3.7109375" style="68" customWidth="1"/>
    <col min="2" max="2" width="16.7109375" customWidth="1"/>
    <col min="3" max="3" width="25" customWidth="1"/>
    <col min="4" max="12" width="10.7109375" customWidth="1"/>
    <col min="13" max="13" width="13.28515625" customWidth="1"/>
    <col min="14" max="14" width="15.5703125" customWidth="1"/>
    <col min="15" max="16384" width="11.42578125" style="68"/>
  </cols>
  <sheetData>
    <row r="1" spans="2:14" ht="12.75" customHeight="1" thickBot="1">
      <c r="B1" s="68"/>
      <c r="C1" s="68"/>
      <c r="D1" s="68"/>
      <c r="E1" s="68"/>
      <c r="F1" s="68"/>
      <c r="G1" s="68"/>
      <c r="H1" s="68"/>
      <c r="I1" s="68"/>
      <c r="J1" s="68"/>
      <c r="K1" s="68"/>
      <c r="L1" s="68"/>
      <c r="M1" s="68"/>
      <c r="N1" s="68"/>
    </row>
    <row r="2" spans="2:14" ht="18.75" customHeight="1">
      <c r="B2" s="349" t="s">
        <v>0</v>
      </c>
      <c r="C2" s="350"/>
      <c r="D2" s="340" t="s">
        <v>1</v>
      </c>
      <c r="E2" s="341"/>
      <c r="F2" s="341"/>
      <c r="G2" s="341"/>
      <c r="H2" s="341"/>
      <c r="I2" s="341"/>
      <c r="J2" s="341"/>
      <c r="K2" s="341"/>
      <c r="L2" s="342"/>
      <c r="M2" s="355" t="s">
        <v>2</v>
      </c>
      <c r="N2" s="356"/>
    </row>
    <row r="3" spans="2:14" ht="15.75" customHeight="1">
      <c r="B3" s="351"/>
      <c r="C3" s="352"/>
      <c r="D3" s="343"/>
      <c r="E3" s="344"/>
      <c r="F3" s="344"/>
      <c r="G3" s="344"/>
      <c r="H3" s="344"/>
      <c r="I3" s="344"/>
      <c r="J3" s="344"/>
      <c r="K3" s="344"/>
      <c r="L3" s="345"/>
      <c r="M3" s="357" t="s">
        <v>3</v>
      </c>
      <c r="N3" s="358"/>
    </row>
    <row r="4" spans="2:14" ht="18.75" customHeight="1">
      <c r="B4" s="351"/>
      <c r="C4" s="352"/>
      <c r="D4" s="343"/>
      <c r="E4" s="344"/>
      <c r="F4" s="344"/>
      <c r="G4" s="344"/>
      <c r="H4" s="344"/>
      <c r="I4" s="344"/>
      <c r="J4" s="344"/>
      <c r="K4" s="344"/>
      <c r="L4" s="345"/>
      <c r="M4" s="357" t="s">
        <v>4</v>
      </c>
      <c r="N4" s="358"/>
    </row>
    <row r="5" spans="2:14" ht="29.25" customHeight="1" thickBot="1">
      <c r="B5" s="353"/>
      <c r="C5" s="354"/>
      <c r="D5" s="346"/>
      <c r="E5" s="347"/>
      <c r="F5" s="347"/>
      <c r="G5" s="347"/>
      <c r="H5" s="347"/>
      <c r="I5" s="347"/>
      <c r="J5" s="347"/>
      <c r="K5" s="347"/>
      <c r="L5" s="348"/>
      <c r="M5" s="359" t="s">
        <v>5</v>
      </c>
      <c r="N5" s="360"/>
    </row>
    <row r="6" spans="2:14" ht="7.5" customHeight="1" thickBot="1"/>
    <row r="7" spans="2:14">
      <c r="B7" s="120"/>
      <c r="C7" s="121"/>
      <c r="D7" s="121"/>
      <c r="E7" s="121"/>
      <c r="F7" s="121"/>
      <c r="G7" s="121"/>
      <c r="H7" s="121"/>
      <c r="I7" s="121"/>
      <c r="J7" s="121"/>
      <c r="K7" s="121"/>
      <c r="L7" s="121"/>
      <c r="M7" s="121"/>
      <c r="N7" s="122"/>
    </row>
    <row r="8" spans="2:14">
      <c r="B8" s="123"/>
      <c r="N8" s="124"/>
    </row>
    <row r="9" spans="2:14">
      <c r="B9" s="123"/>
      <c r="N9" s="124"/>
    </row>
    <row r="10" spans="2:14">
      <c r="B10" s="123"/>
      <c r="N10" s="124"/>
    </row>
    <row r="11" spans="2:14">
      <c r="B11" s="123"/>
      <c r="N11" s="124"/>
    </row>
    <row r="12" spans="2:14">
      <c r="B12" s="123"/>
      <c r="N12" s="124"/>
    </row>
    <row r="13" spans="2:14">
      <c r="B13" s="123"/>
      <c r="N13" s="124"/>
    </row>
    <row r="14" spans="2:14">
      <c r="B14" s="123"/>
      <c r="N14" s="124"/>
    </row>
    <row r="15" spans="2:14">
      <c r="B15" s="123"/>
      <c r="N15" s="124"/>
    </row>
    <row r="16" spans="2:14" ht="21" customHeight="1">
      <c r="B16" s="123"/>
      <c r="N16" s="124"/>
    </row>
    <row r="17" spans="2:14" ht="18.75" customHeight="1">
      <c r="B17" s="123"/>
      <c r="N17" s="124"/>
    </row>
    <row r="18" spans="2:14" ht="17.25" customHeight="1">
      <c r="B18" s="123"/>
      <c r="N18" s="124"/>
    </row>
    <row r="19" spans="2:14" ht="18.75" customHeight="1">
      <c r="B19" s="123"/>
      <c r="N19" s="124"/>
    </row>
    <row r="20" spans="2:14" ht="21" customHeight="1">
      <c r="B20" s="123"/>
      <c r="N20" s="124"/>
    </row>
    <row r="21" spans="2:14">
      <c r="B21" s="123"/>
      <c r="N21" s="124"/>
    </row>
    <row r="22" spans="2:14">
      <c r="B22" s="123"/>
      <c r="N22" s="124"/>
    </row>
    <row r="23" spans="2:14">
      <c r="B23" s="123"/>
      <c r="N23" s="124"/>
    </row>
    <row r="24" spans="2:14">
      <c r="B24" s="123"/>
      <c r="N24" s="124"/>
    </row>
    <row r="25" spans="2:14">
      <c r="B25" s="123"/>
      <c r="N25" s="124"/>
    </row>
    <row r="26" spans="2:14">
      <c r="B26" s="123"/>
      <c r="N26" s="124"/>
    </row>
    <row r="27" spans="2:14">
      <c r="B27" s="123"/>
      <c r="N27" s="124"/>
    </row>
    <row r="28" spans="2:14">
      <c r="B28" s="123"/>
      <c r="N28" s="124"/>
    </row>
    <row r="29" spans="2:14">
      <c r="B29" s="123"/>
      <c r="N29" s="124"/>
    </row>
    <row r="30" spans="2:14">
      <c r="B30" s="123"/>
      <c r="N30" s="124"/>
    </row>
    <row r="31" spans="2:14">
      <c r="B31" s="123"/>
      <c r="D31" s="339" t="s">
        <v>6</v>
      </c>
      <c r="E31" s="339"/>
      <c r="N31" s="124"/>
    </row>
    <row r="32" spans="2:14">
      <c r="B32" s="123"/>
      <c r="D32" s="339"/>
      <c r="E32" s="339"/>
      <c r="N32" s="124"/>
    </row>
    <row r="33" spans="2:14">
      <c r="B33" s="123"/>
      <c r="N33" s="124"/>
    </row>
    <row r="34" spans="2:14">
      <c r="B34" s="123"/>
      <c r="N34" s="124"/>
    </row>
    <row r="35" spans="2:14">
      <c r="B35" s="123"/>
      <c r="N35" s="124"/>
    </row>
    <row r="36" spans="2:14">
      <c r="B36" s="123"/>
      <c r="N36" s="124"/>
    </row>
    <row r="37" spans="2:14">
      <c r="B37" s="123"/>
      <c r="N37" s="124"/>
    </row>
    <row r="38" spans="2:14" ht="15" thickBot="1">
      <c r="B38" s="125"/>
      <c r="C38" s="126"/>
      <c r="D38" s="126"/>
      <c r="E38" s="126"/>
      <c r="F38" s="126"/>
      <c r="G38" s="126"/>
      <c r="H38" s="126"/>
      <c r="I38" s="126"/>
      <c r="J38" s="126"/>
      <c r="K38" s="126"/>
      <c r="L38" s="126"/>
      <c r="M38" s="126"/>
      <c r="N38" s="127"/>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defaultColWidth="11.42578125" defaultRowHeight="14.45"/>
  <cols>
    <col min="1" max="1" width="10.28515625" style="110" customWidth="1"/>
    <col min="2" max="2" width="32.42578125" style="110" customWidth="1"/>
    <col min="3" max="3" width="77" style="110" customWidth="1"/>
    <col min="4" max="4" width="21" style="110" customWidth="1"/>
    <col min="5" max="5" width="23.7109375" style="110" customWidth="1"/>
    <col min="6" max="16384" width="11.42578125" style="110"/>
  </cols>
  <sheetData>
    <row r="1" spans="1:6" ht="7.9" customHeight="1"/>
    <row r="2" spans="1:6" ht="15.75" customHeight="1">
      <c r="B2" s="551" t="s">
        <v>298</v>
      </c>
      <c r="C2" s="554" t="s">
        <v>1</v>
      </c>
      <c r="D2" s="341"/>
      <c r="E2" s="166" t="s">
        <v>2</v>
      </c>
      <c r="F2" s="111"/>
    </row>
    <row r="3" spans="1:6" ht="15.75" customHeight="1">
      <c r="B3" s="552"/>
      <c r="C3" s="555"/>
      <c r="D3" s="344"/>
      <c r="E3" s="167" t="s">
        <v>3</v>
      </c>
      <c r="F3" s="111"/>
    </row>
    <row r="4" spans="1:6" ht="16.5" customHeight="1">
      <c r="B4" s="552"/>
      <c r="C4" s="555"/>
      <c r="D4" s="344"/>
      <c r="E4" s="167" t="s">
        <v>4</v>
      </c>
      <c r="F4" s="111"/>
    </row>
    <row r="5" spans="1:6" ht="15" customHeight="1">
      <c r="B5" s="553"/>
      <c r="C5" s="556"/>
      <c r="D5" s="347"/>
      <c r="E5" s="168" t="s">
        <v>5</v>
      </c>
      <c r="F5" s="111"/>
    </row>
    <row r="7" spans="1:6">
      <c r="A7" s="557" t="s">
        <v>9</v>
      </c>
      <c r="B7" s="128" t="s">
        <v>299</v>
      </c>
      <c r="C7" s="129" t="s">
        <v>300</v>
      </c>
      <c r="D7" s="129" t="s">
        <v>301</v>
      </c>
      <c r="E7" s="129" t="s">
        <v>302</v>
      </c>
    </row>
    <row r="8" spans="1:6" ht="27.6">
      <c r="A8" s="557"/>
      <c r="B8" s="112">
        <v>45687</v>
      </c>
      <c r="C8" s="163" t="s">
        <v>303</v>
      </c>
      <c r="D8" s="114" t="s">
        <v>304</v>
      </c>
      <c r="E8" s="114" t="s">
        <v>305</v>
      </c>
    </row>
    <row r="9" spans="1:6" ht="161.44999999999999" customHeight="1">
      <c r="A9" s="557"/>
      <c r="B9" s="112">
        <v>45777</v>
      </c>
      <c r="C9" s="163" t="s">
        <v>306</v>
      </c>
      <c r="D9" s="114" t="s">
        <v>304</v>
      </c>
      <c r="E9" s="114" t="s">
        <v>305</v>
      </c>
    </row>
    <row r="10" spans="1:6">
      <c r="A10" s="557"/>
      <c r="B10" s="112"/>
      <c r="C10" s="113"/>
      <c r="D10" s="114"/>
      <c r="E10" s="114"/>
    </row>
    <row r="11" spans="1:6">
      <c r="A11" s="557"/>
      <c r="B11" s="112"/>
      <c r="C11" s="113"/>
      <c r="D11" s="114"/>
      <c r="E11" s="114"/>
    </row>
    <row r="12" spans="1:6">
      <c r="A12" s="557"/>
      <c r="B12" s="112"/>
      <c r="C12" s="113"/>
      <c r="D12" s="114"/>
      <c r="E12" s="114"/>
    </row>
    <row r="13" spans="1:6">
      <c r="A13" s="130"/>
      <c r="B13" s="112"/>
      <c r="C13" s="113"/>
      <c r="D13" s="114"/>
      <c r="E13" s="114"/>
    </row>
    <row r="14" spans="1:6">
      <c r="A14" s="130"/>
      <c r="B14" s="112"/>
      <c r="C14" s="113"/>
      <c r="D14" s="114"/>
      <c r="E14" s="114"/>
    </row>
    <row r="15" spans="1:6">
      <c r="A15" s="130"/>
      <c r="B15" s="112"/>
      <c r="C15" s="113"/>
      <c r="D15" s="114"/>
      <c r="E15" s="114"/>
    </row>
    <row r="16" spans="1:6">
      <c r="A16" s="130"/>
      <c r="B16" s="112"/>
      <c r="C16" s="113"/>
      <c r="D16" s="114"/>
      <c r="E16" s="114"/>
    </row>
    <row r="17" spans="1:5">
      <c r="A17" s="130"/>
      <c r="B17" s="112"/>
      <c r="C17" s="113"/>
      <c r="D17" s="114"/>
      <c r="E17" s="114"/>
    </row>
    <row r="18" spans="1:5">
      <c r="A18" s="130"/>
      <c r="B18" s="112"/>
      <c r="C18" s="113"/>
      <c r="D18" s="114"/>
      <c r="E18" s="114"/>
    </row>
    <row r="19" spans="1:5">
      <c r="B19" s="112"/>
      <c r="C19" s="115"/>
      <c r="D19" s="114"/>
      <c r="E19" s="114"/>
    </row>
    <row r="20" spans="1:5">
      <c r="B20" s="112"/>
      <c r="C20" s="113"/>
      <c r="D20" s="114"/>
      <c r="E20" s="114"/>
    </row>
    <row r="25" spans="1:5">
      <c r="C25" s="116"/>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defaultColWidth="11.42578125" defaultRowHeight="14.4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defaultColWidth="11.42578125" defaultRowHeight="14.45"/>
  <cols>
    <col min="1" max="1" width="2.7109375" style="68" customWidth="1"/>
    <col min="2" max="3" width="24.7109375" style="68" customWidth="1"/>
    <col min="4" max="4" width="16" style="68" customWidth="1"/>
    <col min="5" max="5" width="24.7109375" style="68" customWidth="1"/>
    <col min="6" max="6" width="27.7109375" style="68" customWidth="1"/>
    <col min="7" max="8" width="24.7109375" style="68" customWidth="1"/>
    <col min="9" max="10" width="11.42578125" style="136"/>
    <col min="11" max="16384" width="11.42578125" style="68"/>
  </cols>
  <sheetData>
    <row r="1" spans="2:10" ht="15" thickBot="1"/>
    <row r="2" spans="2:10" ht="18" customHeight="1">
      <c r="B2" s="575" t="s">
        <v>307</v>
      </c>
      <c r="C2" s="576"/>
      <c r="D2" s="576"/>
      <c r="E2" s="576"/>
      <c r="F2" s="576"/>
      <c r="G2" s="576"/>
      <c r="H2" s="577"/>
      <c r="J2" s="137" t="s">
        <v>17</v>
      </c>
    </row>
    <row r="3" spans="2:10" ht="20.45">
      <c r="B3" s="69"/>
      <c r="C3" s="70"/>
      <c r="D3" s="70"/>
      <c r="E3" s="70"/>
      <c r="F3" s="70"/>
      <c r="G3" s="70"/>
      <c r="H3" s="71"/>
      <c r="J3" s="137"/>
    </row>
    <row r="4" spans="2:10" ht="63" customHeight="1">
      <c r="B4" s="578" t="s">
        <v>308</v>
      </c>
      <c r="C4" s="579"/>
      <c r="D4" s="579"/>
      <c r="E4" s="579"/>
      <c r="F4" s="579"/>
      <c r="G4" s="579"/>
      <c r="H4" s="580"/>
    </row>
    <row r="5" spans="2:10" ht="63" customHeight="1">
      <c r="B5" s="581"/>
      <c r="C5" s="582"/>
      <c r="D5" s="582"/>
      <c r="E5" s="582"/>
      <c r="F5" s="582"/>
      <c r="G5" s="582"/>
      <c r="H5" s="583"/>
    </row>
    <row r="6" spans="2:10">
      <c r="B6" s="584" t="s">
        <v>309</v>
      </c>
      <c r="C6" s="585"/>
      <c r="D6" s="585"/>
      <c r="E6" s="585"/>
      <c r="F6" s="585"/>
      <c r="G6" s="585"/>
      <c r="H6" s="586"/>
    </row>
    <row r="7" spans="2:10" ht="95.25" customHeight="1">
      <c r="B7" s="594" t="s">
        <v>310</v>
      </c>
      <c r="C7" s="595"/>
      <c r="D7" s="595"/>
      <c r="E7" s="595"/>
      <c r="F7" s="595"/>
      <c r="G7" s="595"/>
      <c r="H7" s="596"/>
    </row>
    <row r="8" spans="2:10">
      <c r="B8" s="101"/>
      <c r="C8" s="102"/>
      <c r="D8" s="102"/>
      <c r="E8" s="102"/>
      <c r="F8" s="102"/>
      <c r="G8" s="102"/>
      <c r="H8" s="103"/>
    </row>
    <row r="9" spans="2:10" ht="16.5" customHeight="1">
      <c r="B9" s="587" t="s">
        <v>311</v>
      </c>
      <c r="C9" s="588"/>
      <c r="D9" s="588"/>
      <c r="E9" s="588"/>
      <c r="F9" s="588"/>
      <c r="G9" s="588"/>
      <c r="H9" s="589"/>
    </row>
    <row r="10" spans="2:10" ht="44.25" customHeight="1">
      <c r="B10" s="587"/>
      <c r="C10" s="588"/>
      <c r="D10" s="588"/>
      <c r="E10" s="588"/>
      <c r="F10" s="588"/>
      <c r="G10" s="588"/>
      <c r="H10" s="589"/>
    </row>
    <row r="11" spans="2:10" ht="15" thickBot="1">
      <c r="B11" s="90"/>
      <c r="C11" s="93"/>
      <c r="D11" s="98"/>
      <c r="E11" s="99"/>
      <c r="F11" s="99"/>
      <c r="G11" s="100"/>
      <c r="H11" s="94"/>
    </row>
    <row r="12" spans="2:10" ht="15" thickTop="1">
      <c r="B12" s="90"/>
      <c r="C12" s="590" t="s">
        <v>312</v>
      </c>
      <c r="D12" s="591"/>
      <c r="E12" s="592" t="s">
        <v>313</v>
      </c>
      <c r="F12" s="593"/>
      <c r="G12" s="93"/>
      <c r="H12" s="94"/>
    </row>
    <row r="13" spans="2:10" ht="35.25" customHeight="1">
      <c r="B13" s="90"/>
      <c r="C13" s="562" t="s">
        <v>314</v>
      </c>
      <c r="D13" s="563"/>
      <c r="E13" s="564" t="s">
        <v>315</v>
      </c>
      <c r="F13" s="565"/>
      <c r="G13" s="93"/>
      <c r="H13" s="94"/>
    </row>
    <row r="14" spans="2:10" ht="17.25" customHeight="1">
      <c r="B14" s="90"/>
      <c r="C14" s="562" t="s">
        <v>316</v>
      </c>
      <c r="D14" s="563"/>
      <c r="E14" s="564" t="s">
        <v>317</v>
      </c>
      <c r="F14" s="565"/>
      <c r="G14" s="93"/>
      <c r="H14" s="94"/>
    </row>
    <row r="15" spans="2:10" ht="19.5" customHeight="1">
      <c r="B15" s="90"/>
      <c r="C15" s="562" t="s">
        <v>318</v>
      </c>
      <c r="D15" s="563"/>
      <c r="E15" s="564" t="s">
        <v>319</v>
      </c>
      <c r="F15" s="565"/>
      <c r="G15" s="93"/>
      <c r="H15" s="94"/>
    </row>
    <row r="16" spans="2:10" ht="69.75" customHeight="1">
      <c r="B16" s="90"/>
      <c r="C16" s="562" t="s">
        <v>320</v>
      </c>
      <c r="D16" s="563"/>
      <c r="E16" s="564" t="s">
        <v>321</v>
      </c>
      <c r="F16" s="565"/>
      <c r="G16" s="93"/>
      <c r="H16" s="94"/>
    </row>
    <row r="17" spans="2:8" ht="34.5" customHeight="1">
      <c r="B17" s="90"/>
      <c r="C17" s="566" t="s">
        <v>60</v>
      </c>
      <c r="D17" s="567"/>
      <c r="E17" s="558" t="s">
        <v>322</v>
      </c>
      <c r="F17" s="559"/>
      <c r="G17" s="93"/>
      <c r="H17" s="94"/>
    </row>
    <row r="18" spans="2:8" ht="27.75" customHeight="1">
      <c r="B18" s="90"/>
      <c r="C18" s="566" t="s">
        <v>323</v>
      </c>
      <c r="D18" s="567"/>
      <c r="E18" s="558" t="s">
        <v>324</v>
      </c>
      <c r="F18" s="559"/>
      <c r="G18" s="93"/>
      <c r="H18" s="94"/>
    </row>
    <row r="19" spans="2:8" ht="28.5" customHeight="1">
      <c r="B19" s="90"/>
      <c r="C19" s="566" t="s">
        <v>325</v>
      </c>
      <c r="D19" s="567"/>
      <c r="E19" s="558" t="s">
        <v>326</v>
      </c>
      <c r="F19" s="559"/>
      <c r="G19" s="93"/>
      <c r="H19" s="94"/>
    </row>
    <row r="20" spans="2:8" ht="72.75" customHeight="1">
      <c r="B20" s="90"/>
      <c r="C20" s="566" t="s">
        <v>327</v>
      </c>
      <c r="D20" s="567"/>
      <c r="E20" s="558" t="s">
        <v>328</v>
      </c>
      <c r="F20" s="559"/>
      <c r="G20" s="93"/>
      <c r="H20" s="94"/>
    </row>
    <row r="21" spans="2:8" ht="64.5" customHeight="1">
      <c r="B21" s="90"/>
      <c r="C21" s="566" t="s">
        <v>66</v>
      </c>
      <c r="D21" s="567"/>
      <c r="E21" s="558" t="s">
        <v>329</v>
      </c>
      <c r="F21" s="559"/>
      <c r="G21" s="93"/>
      <c r="H21" s="94"/>
    </row>
    <row r="22" spans="2:8" ht="71.25" customHeight="1">
      <c r="B22" s="90"/>
      <c r="C22" s="566" t="s">
        <v>330</v>
      </c>
      <c r="D22" s="567"/>
      <c r="E22" s="558" t="s">
        <v>331</v>
      </c>
      <c r="F22" s="559"/>
      <c r="G22" s="93"/>
      <c r="H22" s="94"/>
    </row>
    <row r="23" spans="2:8" ht="55.5" customHeight="1">
      <c r="B23" s="90"/>
      <c r="C23" s="560" t="s">
        <v>332</v>
      </c>
      <c r="D23" s="561"/>
      <c r="E23" s="558" t="s">
        <v>333</v>
      </c>
      <c r="F23" s="559"/>
      <c r="G23" s="93"/>
      <c r="H23" s="94"/>
    </row>
    <row r="24" spans="2:8" ht="42" customHeight="1">
      <c r="B24" s="90"/>
      <c r="C24" s="560" t="s">
        <v>73</v>
      </c>
      <c r="D24" s="561"/>
      <c r="E24" s="558" t="s">
        <v>334</v>
      </c>
      <c r="F24" s="559"/>
      <c r="G24" s="93"/>
      <c r="H24" s="94"/>
    </row>
    <row r="25" spans="2:8" ht="59.25" customHeight="1">
      <c r="B25" s="90"/>
      <c r="C25" s="560" t="s">
        <v>335</v>
      </c>
      <c r="D25" s="561"/>
      <c r="E25" s="558" t="s">
        <v>336</v>
      </c>
      <c r="F25" s="559"/>
      <c r="G25" s="93"/>
      <c r="H25" s="94"/>
    </row>
    <row r="26" spans="2:8" ht="23.25" customHeight="1">
      <c r="B26" s="90"/>
      <c r="C26" s="560" t="s">
        <v>77</v>
      </c>
      <c r="D26" s="561"/>
      <c r="E26" s="558" t="s">
        <v>337</v>
      </c>
      <c r="F26" s="559"/>
      <c r="G26" s="93"/>
      <c r="H26" s="94"/>
    </row>
    <row r="27" spans="2:8" ht="30.75" customHeight="1">
      <c r="B27" s="90"/>
      <c r="C27" s="560" t="s">
        <v>338</v>
      </c>
      <c r="D27" s="561"/>
      <c r="E27" s="558" t="s">
        <v>339</v>
      </c>
      <c r="F27" s="559"/>
      <c r="G27" s="93"/>
      <c r="H27" s="94"/>
    </row>
    <row r="28" spans="2:8" ht="35.25" customHeight="1">
      <c r="B28" s="90"/>
      <c r="C28" s="560" t="s">
        <v>340</v>
      </c>
      <c r="D28" s="561"/>
      <c r="E28" s="558" t="s">
        <v>341</v>
      </c>
      <c r="F28" s="559"/>
      <c r="G28" s="93"/>
      <c r="H28" s="94"/>
    </row>
    <row r="29" spans="2:8" ht="33" customHeight="1">
      <c r="B29" s="90"/>
      <c r="C29" s="560" t="s">
        <v>340</v>
      </c>
      <c r="D29" s="561"/>
      <c r="E29" s="558" t="s">
        <v>341</v>
      </c>
      <c r="F29" s="559"/>
      <c r="G29" s="93"/>
      <c r="H29" s="94"/>
    </row>
    <row r="30" spans="2:8" ht="30" customHeight="1">
      <c r="B30" s="90"/>
      <c r="C30" s="560" t="s">
        <v>342</v>
      </c>
      <c r="D30" s="561"/>
      <c r="E30" s="558" t="s">
        <v>343</v>
      </c>
      <c r="F30" s="559"/>
      <c r="G30" s="93"/>
      <c r="H30" s="94"/>
    </row>
    <row r="31" spans="2:8" ht="35.25" customHeight="1">
      <c r="B31" s="90"/>
      <c r="C31" s="560" t="s">
        <v>344</v>
      </c>
      <c r="D31" s="561"/>
      <c r="E31" s="558" t="s">
        <v>345</v>
      </c>
      <c r="F31" s="559"/>
      <c r="G31" s="93"/>
      <c r="H31" s="94"/>
    </row>
    <row r="32" spans="2:8" ht="31.5" customHeight="1">
      <c r="B32" s="90"/>
      <c r="C32" s="560" t="s">
        <v>346</v>
      </c>
      <c r="D32" s="561"/>
      <c r="E32" s="558" t="s">
        <v>347</v>
      </c>
      <c r="F32" s="559"/>
      <c r="G32" s="93"/>
      <c r="H32" s="94"/>
    </row>
    <row r="33" spans="2:8" ht="35.25" customHeight="1">
      <c r="B33" s="90"/>
      <c r="C33" s="560" t="s">
        <v>348</v>
      </c>
      <c r="D33" s="561"/>
      <c r="E33" s="558" t="s">
        <v>349</v>
      </c>
      <c r="F33" s="559"/>
      <c r="G33" s="93"/>
      <c r="H33" s="94"/>
    </row>
    <row r="34" spans="2:8" ht="59.25" customHeight="1">
      <c r="B34" s="90"/>
      <c r="C34" s="560" t="s">
        <v>350</v>
      </c>
      <c r="D34" s="561"/>
      <c r="E34" s="558" t="s">
        <v>351</v>
      </c>
      <c r="F34" s="559"/>
      <c r="G34" s="93"/>
      <c r="H34" s="94"/>
    </row>
    <row r="35" spans="2:8" ht="29.25" customHeight="1">
      <c r="B35" s="90"/>
      <c r="C35" s="560" t="s">
        <v>83</v>
      </c>
      <c r="D35" s="561"/>
      <c r="E35" s="558" t="s">
        <v>352</v>
      </c>
      <c r="F35" s="559"/>
      <c r="G35" s="93"/>
      <c r="H35" s="94"/>
    </row>
    <row r="36" spans="2:8" ht="82.5" customHeight="1">
      <c r="B36" s="90"/>
      <c r="C36" s="560" t="s">
        <v>353</v>
      </c>
      <c r="D36" s="561"/>
      <c r="E36" s="558" t="s">
        <v>354</v>
      </c>
      <c r="F36" s="559"/>
      <c r="G36" s="93"/>
      <c r="H36" s="94"/>
    </row>
    <row r="37" spans="2:8" ht="46.5" customHeight="1">
      <c r="B37" s="90"/>
      <c r="C37" s="560" t="s">
        <v>355</v>
      </c>
      <c r="D37" s="561"/>
      <c r="E37" s="558" t="s">
        <v>356</v>
      </c>
      <c r="F37" s="559"/>
      <c r="G37" s="93"/>
      <c r="H37" s="94"/>
    </row>
    <row r="38" spans="2:8" ht="6.75" customHeight="1" thickBot="1">
      <c r="B38" s="90"/>
      <c r="C38" s="571"/>
      <c r="D38" s="572"/>
      <c r="E38" s="573"/>
      <c r="F38" s="574"/>
      <c r="G38" s="93"/>
      <c r="H38" s="94"/>
    </row>
    <row r="39" spans="2:8" ht="15" thickTop="1">
      <c r="B39" s="90"/>
      <c r="C39" s="91"/>
      <c r="D39" s="91"/>
      <c r="E39" s="92"/>
      <c r="F39" s="92"/>
      <c r="G39" s="93"/>
      <c r="H39" s="94"/>
    </row>
    <row r="40" spans="2:8" ht="21" customHeight="1">
      <c r="B40" s="568" t="s">
        <v>357</v>
      </c>
      <c r="C40" s="569"/>
      <c r="D40" s="569"/>
      <c r="E40" s="569"/>
      <c r="F40" s="569"/>
      <c r="G40" s="569"/>
      <c r="H40" s="570"/>
    </row>
    <row r="41" spans="2:8" ht="20.25" customHeight="1">
      <c r="B41" s="568" t="s">
        <v>358</v>
      </c>
      <c r="C41" s="569"/>
      <c r="D41" s="569"/>
      <c r="E41" s="569"/>
      <c r="F41" s="569"/>
      <c r="G41" s="569"/>
      <c r="H41" s="570"/>
    </row>
    <row r="42" spans="2:8" ht="20.25" customHeight="1">
      <c r="B42" s="568" t="s">
        <v>359</v>
      </c>
      <c r="C42" s="569"/>
      <c r="D42" s="569"/>
      <c r="E42" s="569"/>
      <c r="F42" s="569"/>
      <c r="G42" s="569"/>
      <c r="H42" s="570"/>
    </row>
    <row r="43" spans="2:8" ht="20.25" customHeight="1">
      <c r="B43" s="568" t="s">
        <v>360</v>
      </c>
      <c r="C43" s="569"/>
      <c r="D43" s="569"/>
      <c r="E43" s="569"/>
      <c r="F43" s="569"/>
      <c r="G43" s="569"/>
      <c r="H43" s="570"/>
    </row>
    <row r="44" spans="2:8" ht="15" customHeight="1">
      <c r="B44" s="568" t="s">
        <v>361</v>
      </c>
      <c r="C44" s="569"/>
      <c r="D44" s="569"/>
      <c r="E44" s="569"/>
      <c r="F44" s="569"/>
      <c r="G44" s="569"/>
      <c r="H44" s="570"/>
    </row>
    <row r="45" spans="2:8" ht="15" thickBot="1">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defaultColWidth="11.42578125" defaultRowHeight="14.4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defaultColWidth="11.42578125" defaultRowHeight="14.45"/>
  <sheetData>
    <row r="1" spans="1:4">
      <c r="A1" t="s">
        <v>362</v>
      </c>
      <c r="B1" t="s">
        <v>62</v>
      </c>
      <c r="C1" t="s">
        <v>181</v>
      </c>
      <c r="D1" t="s">
        <v>182</v>
      </c>
    </row>
    <row r="2" spans="1:4">
      <c r="A2" t="s">
        <v>363</v>
      </c>
      <c r="B2" t="s">
        <v>185</v>
      </c>
      <c r="C2" t="s">
        <v>209</v>
      </c>
      <c r="D2" t="s">
        <v>188</v>
      </c>
    </row>
    <row r="3" spans="1:4">
      <c r="A3" t="s">
        <v>193</v>
      </c>
      <c r="B3" t="s">
        <v>131</v>
      </c>
      <c r="C3" t="s">
        <v>364</v>
      </c>
      <c r="D3" t="s">
        <v>115</v>
      </c>
    </row>
    <row r="4" spans="1:4">
      <c r="A4" t="s">
        <v>365</v>
      </c>
      <c r="B4" t="s">
        <v>207</v>
      </c>
      <c r="C4" t="s">
        <v>114</v>
      </c>
      <c r="D4" t="s">
        <v>210</v>
      </c>
    </row>
    <row r="5" spans="1:4">
      <c r="A5" t="s">
        <v>131</v>
      </c>
      <c r="B5" t="s">
        <v>109</v>
      </c>
      <c r="C5" t="s">
        <v>135</v>
      </c>
      <c r="D5" t="s">
        <v>136</v>
      </c>
    </row>
    <row r="6" spans="1:4">
      <c r="A6" t="s">
        <v>107</v>
      </c>
      <c r="B6" t="s">
        <v>218</v>
      </c>
      <c r="C6" t="s">
        <v>136</v>
      </c>
    </row>
    <row r="7" spans="1:4">
      <c r="A7" t="s">
        <v>366</v>
      </c>
      <c r="B7" t="s">
        <v>222</v>
      </c>
    </row>
    <row r="8" spans="1:4">
      <c r="A8" t="s">
        <v>367</v>
      </c>
    </row>
    <row r="9" spans="1:4">
      <c r="A9" t="s">
        <v>368</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defaultColWidth="11.42578125" defaultRowHeight="14.4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defaultColWidth="11.42578125" defaultRowHeight="14.45"/>
  <cols>
    <col min="1" max="1" width="2.5703125" style="68" customWidth="1"/>
    <col min="2" max="2" width="33.28515625" style="68" customWidth="1"/>
    <col min="3" max="4" width="11.42578125" style="68"/>
    <col min="5" max="5" width="5.7109375" style="68" customWidth="1"/>
    <col min="6" max="6" width="16.28515625" style="68" customWidth="1"/>
    <col min="7" max="7" width="11.42578125" style="68"/>
    <col min="8" max="8" width="13.7109375" style="68" customWidth="1"/>
    <col min="9" max="9" width="14.28515625" style="68" customWidth="1"/>
    <col min="10" max="10" width="14.7109375" style="68" customWidth="1"/>
    <col min="11" max="11" width="7.5703125" style="68" customWidth="1"/>
    <col min="12" max="12" width="2.28515625" style="68" customWidth="1"/>
    <col min="13" max="16384" width="11.42578125" style="68"/>
  </cols>
  <sheetData>
    <row r="1" spans="2:11" ht="6" customHeight="1" thickBot="1"/>
    <row r="2" spans="2:11" ht="15" customHeight="1">
      <c r="B2" s="634" t="s">
        <v>278</v>
      </c>
      <c r="C2" s="637" t="s">
        <v>1</v>
      </c>
      <c r="D2" s="638"/>
      <c r="E2" s="638"/>
      <c r="F2" s="638"/>
      <c r="G2" s="638"/>
      <c r="H2" s="638"/>
      <c r="I2" s="638"/>
      <c r="J2" s="382" t="s">
        <v>279</v>
      </c>
      <c r="K2" s="356"/>
    </row>
    <row r="3" spans="2:11" ht="15" customHeight="1">
      <c r="B3" s="635"/>
      <c r="C3" s="639"/>
      <c r="D3" s="640"/>
      <c r="E3" s="640"/>
      <c r="F3" s="640"/>
      <c r="G3" s="640"/>
      <c r="H3" s="640"/>
      <c r="I3" s="640"/>
      <c r="J3" s="383" t="s">
        <v>369</v>
      </c>
      <c r="K3" s="358"/>
    </row>
    <row r="4" spans="2:11" ht="15" customHeight="1">
      <c r="B4" s="635"/>
      <c r="C4" s="639"/>
      <c r="D4" s="640"/>
      <c r="E4" s="640"/>
      <c r="F4" s="640"/>
      <c r="G4" s="640"/>
      <c r="H4" s="640"/>
      <c r="I4" s="640"/>
      <c r="J4" s="383" t="s">
        <v>280</v>
      </c>
      <c r="K4" s="358" t="s">
        <v>280</v>
      </c>
    </row>
    <row r="5" spans="2:11" ht="15" customHeight="1" thickBot="1">
      <c r="B5" s="636"/>
      <c r="C5" s="641"/>
      <c r="D5" s="642"/>
      <c r="E5" s="642"/>
      <c r="F5" s="642"/>
      <c r="G5" s="642"/>
      <c r="H5" s="642"/>
      <c r="I5" s="642"/>
      <c r="J5" s="384" t="s">
        <v>5</v>
      </c>
      <c r="K5" s="360" t="s">
        <v>5</v>
      </c>
    </row>
    <row r="6" spans="2:11" ht="15" thickBot="1"/>
    <row r="7" spans="2:11" customFormat="1" ht="15" thickBot="1">
      <c r="B7" s="628" t="s">
        <v>299</v>
      </c>
      <c r="C7" s="629"/>
      <c r="D7" s="630" t="s">
        <v>370</v>
      </c>
      <c r="E7" s="631"/>
      <c r="F7" s="630" t="s">
        <v>371</v>
      </c>
      <c r="G7" s="632"/>
      <c r="H7" s="632"/>
      <c r="I7" s="632"/>
      <c r="J7" s="632"/>
      <c r="K7" s="633"/>
    </row>
    <row r="8" spans="2:11" customFormat="1" ht="18" customHeight="1" thickBot="1">
      <c r="B8" s="597"/>
      <c r="C8" s="598"/>
      <c r="D8" s="599">
        <v>1</v>
      </c>
      <c r="E8" s="600"/>
      <c r="F8" s="601"/>
      <c r="G8" s="601"/>
      <c r="H8" s="601"/>
      <c r="I8" s="601"/>
      <c r="J8" s="601"/>
      <c r="K8" s="602"/>
    </row>
    <row r="9" spans="2:11" customFormat="1" ht="18" customHeight="1" thickBot="1">
      <c r="B9" s="597"/>
      <c r="C9" s="598"/>
      <c r="D9" s="599">
        <v>2</v>
      </c>
      <c r="E9" s="600"/>
      <c r="F9" s="601"/>
      <c r="G9" s="601"/>
      <c r="H9" s="601"/>
      <c r="I9" s="601"/>
      <c r="J9" s="601"/>
      <c r="K9" s="602"/>
    </row>
    <row r="10" spans="2:11" customFormat="1" ht="18" customHeight="1" thickBot="1">
      <c r="B10" s="597"/>
      <c r="C10" s="598"/>
      <c r="D10" s="599">
        <v>3</v>
      </c>
      <c r="E10" s="600"/>
      <c r="F10" s="601"/>
      <c r="G10" s="601"/>
      <c r="H10" s="601"/>
      <c r="I10" s="601"/>
      <c r="J10" s="601"/>
      <c r="K10" s="602"/>
    </row>
    <row r="11" spans="2:11" customFormat="1" ht="18" customHeight="1" thickBot="1">
      <c r="B11" s="597"/>
      <c r="C11" s="598"/>
      <c r="D11" s="599">
        <v>4</v>
      </c>
      <c r="E11" s="600"/>
      <c r="F11" s="601"/>
      <c r="G11" s="601"/>
      <c r="H11" s="601"/>
      <c r="I11" s="601"/>
      <c r="J11" s="601"/>
      <c r="K11" s="602"/>
    </row>
    <row r="12" spans="2:11" customFormat="1" ht="18" customHeight="1" thickBot="1">
      <c r="B12" s="597"/>
      <c r="C12" s="598"/>
      <c r="D12" s="599">
        <v>5</v>
      </c>
      <c r="E12" s="600"/>
      <c r="F12" s="601"/>
      <c r="G12" s="601"/>
      <c r="H12" s="601"/>
      <c r="I12" s="601"/>
      <c r="J12" s="601"/>
      <c r="K12" s="602"/>
    </row>
    <row r="13" spans="2:11" customFormat="1" ht="18" customHeight="1" thickBot="1">
      <c r="B13" s="597"/>
      <c r="C13" s="598"/>
      <c r="D13" s="599">
        <v>6</v>
      </c>
      <c r="E13" s="600"/>
      <c r="F13" s="601"/>
      <c r="G13" s="601"/>
      <c r="H13" s="601"/>
      <c r="I13" s="601"/>
      <c r="J13" s="601"/>
      <c r="K13" s="602"/>
    </row>
    <row r="14" spans="2:11" customFormat="1" ht="18" customHeight="1" thickBot="1">
      <c r="B14" s="597"/>
      <c r="C14" s="598"/>
      <c r="D14" s="599">
        <v>7</v>
      </c>
      <c r="E14" s="600"/>
      <c r="F14" s="601"/>
      <c r="G14" s="601"/>
      <c r="H14" s="601"/>
      <c r="I14" s="601"/>
      <c r="J14" s="601"/>
      <c r="K14" s="602"/>
    </row>
    <row r="15" spans="2:11" customFormat="1" ht="18" customHeight="1">
      <c r="B15" s="597">
        <v>45352</v>
      </c>
      <c r="C15" s="598"/>
      <c r="D15" s="599">
        <v>8</v>
      </c>
      <c r="E15" s="600"/>
      <c r="F15" s="601" t="s">
        <v>372</v>
      </c>
      <c r="G15" s="601"/>
      <c r="H15" s="601"/>
      <c r="I15" s="601"/>
      <c r="J15" s="601"/>
      <c r="K15" s="602"/>
    </row>
    <row r="16" spans="2:11" customFormat="1" ht="150.75" customHeight="1">
      <c r="B16" s="597" t="s">
        <v>373</v>
      </c>
      <c r="C16" s="598"/>
      <c r="D16" s="599">
        <v>9</v>
      </c>
      <c r="E16" s="600"/>
      <c r="F16" s="601" t="s">
        <v>374</v>
      </c>
      <c r="G16" s="601"/>
      <c r="H16" s="601"/>
      <c r="I16" s="601"/>
      <c r="J16" s="601"/>
      <c r="K16" s="602"/>
    </row>
    <row r="17" spans="2:12" customFormat="1" ht="15.75" customHeight="1">
      <c r="B17" s="615"/>
      <c r="C17" s="615"/>
      <c r="D17" s="615"/>
      <c r="E17" s="615"/>
      <c r="F17" s="615"/>
      <c r="G17" s="615"/>
      <c r="H17" s="615"/>
      <c r="I17" s="615"/>
      <c r="J17" s="615"/>
      <c r="K17" s="615"/>
    </row>
    <row r="18" spans="2:12" customFormat="1" ht="15.75" customHeight="1" thickBot="1">
      <c r="B18" s="616" t="s">
        <v>375</v>
      </c>
      <c r="C18" s="617"/>
      <c r="D18" s="617"/>
      <c r="E18" s="618"/>
      <c r="F18" s="619" t="s">
        <v>376</v>
      </c>
      <c r="G18" s="620"/>
      <c r="H18" s="621"/>
      <c r="I18" s="622" t="s">
        <v>377</v>
      </c>
      <c r="J18" s="623"/>
      <c r="K18" s="618"/>
    </row>
    <row r="19" spans="2:12" customFormat="1" ht="27" customHeight="1">
      <c r="B19" s="624"/>
      <c r="C19" s="625"/>
      <c r="D19" s="625"/>
      <c r="E19" s="625"/>
      <c r="F19" s="625"/>
      <c r="G19" s="625"/>
      <c r="H19" s="625"/>
      <c r="I19" s="626"/>
      <c r="J19" s="626"/>
      <c r="K19" s="627"/>
    </row>
    <row r="20" spans="2:12" customFormat="1" ht="15" customHeight="1">
      <c r="B20" s="604" t="s">
        <v>378</v>
      </c>
      <c r="C20" s="605"/>
      <c r="D20" s="605"/>
      <c r="E20" s="605"/>
      <c r="F20" s="606" t="s">
        <v>379</v>
      </c>
      <c r="G20" s="606"/>
      <c r="H20" s="607"/>
      <c r="I20" s="606" t="s">
        <v>379</v>
      </c>
      <c r="J20" s="606"/>
      <c r="K20" s="607"/>
    </row>
    <row r="21" spans="2:12" customFormat="1" ht="22.5" customHeight="1" thickBot="1">
      <c r="B21" s="608" t="s">
        <v>380</v>
      </c>
      <c r="C21" s="609"/>
      <c r="D21" s="609"/>
      <c r="E21" s="609"/>
      <c r="F21" s="609" t="s">
        <v>381</v>
      </c>
      <c r="G21" s="609"/>
      <c r="H21" s="610"/>
      <c r="I21" s="609" t="s">
        <v>381</v>
      </c>
      <c r="J21" s="609"/>
      <c r="K21" s="610"/>
    </row>
    <row r="22" spans="2:12" customFormat="1" ht="9" customHeight="1" thickBot="1">
      <c r="B22" s="611"/>
      <c r="C22" s="611"/>
      <c r="D22" s="611"/>
      <c r="E22" s="611"/>
      <c r="F22" s="611"/>
      <c r="G22" s="611"/>
      <c r="H22" s="611"/>
      <c r="I22" s="611"/>
      <c r="J22" s="611"/>
      <c r="K22" s="611"/>
    </row>
    <row r="23" spans="2:12" customFormat="1" ht="15" thickBot="1">
      <c r="B23" s="612" t="s">
        <v>150</v>
      </c>
      <c r="C23" s="613"/>
      <c r="D23" s="614"/>
      <c r="E23" s="117" t="s">
        <v>151</v>
      </c>
      <c r="F23" s="612" t="s">
        <v>152</v>
      </c>
      <c r="G23" s="614"/>
      <c r="H23" s="118" t="s">
        <v>153</v>
      </c>
      <c r="I23" s="612" t="s">
        <v>154</v>
      </c>
      <c r="J23" s="614"/>
      <c r="K23" s="119">
        <v>1</v>
      </c>
    </row>
    <row r="24" spans="2:12" ht="8.25" customHeight="1"/>
    <row r="25" spans="2:12">
      <c r="B25" s="603" t="s">
        <v>382</v>
      </c>
      <c r="C25" s="603"/>
      <c r="D25" s="603"/>
      <c r="E25" s="603"/>
      <c r="F25" s="603"/>
      <c r="G25" s="603"/>
      <c r="H25" s="603"/>
      <c r="I25" s="603"/>
      <c r="J25" s="603"/>
      <c r="K25" s="603"/>
      <c r="L25" s="603"/>
    </row>
    <row r="26" spans="2:12">
      <c r="B26" s="603" t="s">
        <v>383</v>
      </c>
      <c r="C26" s="603"/>
      <c r="D26" s="603"/>
      <c r="E26" s="603"/>
      <c r="F26" s="603"/>
      <c r="G26" s="603"/>
      <c r="H26" s="603"/>
      <c r="I26" s="603"/>
      <c r="J26" s="603"/>
      <c r="K26" s="603"/>
      <c r="L26" s="603"/>
    </row>
    <row r="27" spans="2:12" ht="9" customHeight="1"/>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C6" sqref="C6"/>
    </sheetView>
  </sheetViews>
  <sheetFormatPr defaultColWidth="11.42578125" defaultRowHeight="14.45"/>
  <cols>
    <col min="2" max="2" width="24.28515625" customWidth="1"/>
    <col min="3" max="3" width="70.28515625" customWidth="1"/>
    <col min="4" max="4" width="29.7109375" customWidth="1"/>
  </cols>
  <sheetData>
    <row r="1" spans="1:37" ht="23.45">
      <c r="A1" s="68"/>
      <c r="B1" s="643" t="s">
        <v>384</v>
      </c>
      <c r="C1" s="643"/>
      <c r="D1" s="643"/>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15">
      <c r="A3" s="68"/>
      <c r="B3" s="3"/>
      <c r="C3" s="4" t="s">
        <v>385</v>
      </c>
      <c r="D3" s="4" t="s">
        <v>282</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0.45">
      <c r="A4" s="68"/>
      <c r="B4" s="5" t="s">
        <v>386</v>
      </c>
      <c r="C4" s="6" t="s">
        <v>387</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0.45">
      <c r="A5" s="68"/>
      <c r="B5" s="8" t="s">
        <v>388</v>
      </c>
      <c r="C5" s="9" t="s">
        <v>389</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0.45">
      <c r="A6" s="68"/>
      <c r="B6" s="11" t="s">
        <v>390</v>
      </c>
      <c r="C6" s="9" t="s">
        <v>391</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5.599999999999994">
      <c r="A7" s="68"/>
      <c r="B7" s="12" t="s">
        <v>392</v>
      </c>
      <c r="C7" s="9" t="s">
        <v>393</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0.45">
      <c r="A8" s="68"/>
      <c r="B8" s="13" t="s">
        <v>394</v>
      </c>
      <c r="C8" s="9" t="s">
        <v>395</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 zoomScale="55" zoomScaleNormal="55" workbookViewId="0">
      <selection activeCell="E5" sqref="E5"/>
    </sheetView>
  </sheetViews>
  <sheetFormatPr defaultColWidth="11.42578125" defaultRowHeight="14.45"/>
  <cols>
    <col min="2" max="2" width="40.42578125" customWidth="1"/>
    <col min="3" max="3" width="74.7109375" customWidth="1"/>
    <col min="4" max="4" width="135" bestFit="1" customWidth="1"/>
    <col min="5" max="5" width="144.7109375" bestFit="1" customWidth="1"/>
    <col min="6" max="6" width="136.5703125" bestFit="1" customWidth="1"/>
  </cols>
  <sheetData>
    <row r="1" spans="1:21" ht="32.450000000000003">
      <c r="A1" s="68"/>
      <c r="B1" s="644" t="s">
        <v>396</v>
      </c>
      <c r="C1" s="644"/>
      <c r="D1" s="644"/>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0">
      <c r="A3" s="68"/>
      <c r="B3" s="85"/>
      <c r="C3" s="22" t="s">
        <v>397</v>
      </c>
      <c r="D3" s="22" t="s">
        <v>398</v>
      </c>
      <c r="E3" s="68"/>
      <c r="F3" s="68"/>
      <c r="G3" s="68"/>
      <c r="H3" s="68"/>
      <c r="I3" s="68"/>
      <c r="J3" s="68"/>
      <c r="K3" s="68"/>
      <c r="L3" s="68"/>
      <c r="M3" s="68"/>
      <c r="N3" s="68"/>
      <c r="O3" s="68"/>
      <c r="P3" s="68"/>
      <c r="Q3" s="68"/>
      <c r="R3" s="68"/>
      <c r="S3" s="68"/>
      <c r="T3" s="68"/>
      <c r="U3" s="68"/>
    </row>
    <row r="4" spans="1:21" ht="32.450000000000003">
      <c r="A4" s="84" t="s">
        <v>399</v>
      </c>
      <c r="B4" s="25" t="s">
        <v>400</v>
      </c>
      <c r="C4" s="30" t="s">
        <v>401</v>
      </c>
      <c r="D4" s="23" t="s">
        <v>402</v>
      </c>
      <c r="E4" s="68"/>
      <c r="F4" s="68"/>
      <c r="G4" s="68"/>
      <c r="H4" s="68"/>
      <c r="I4" s="68"/>
      <c r="J4" s="68"/>
      <c r="K4" s="68"/>
      <c r="L4" s="68"/>
      <c r="M4" s="68"/>
      <c r="N4" s="68"/>
      <c r="O4" s="68"/>
      <c r="P4" s="68"/>
      <c r="Q4" s="68"/>
      <c r="R4" s="68"/>
      <c r="S4" s="68"/>
      <c r="T4" s="68"/>
      <c r="U4" s="68"/>
    </row>
    <row r="5" spans="1:21" ht="64.900000000000006">
      <c r="A5" s="84" t="s">
        <v>161</v>
      </c>
      <c r="B5" s="26" t="s">
        <v>403</v>
      </c>
      <c r="C5" s="31" t="s">
        <v>404</v>
      </c>
      <c r="D5" s="24" t="s">
        <v>405</v>
      </c>
      <c r="E5" s="68"/>
      <c r="F5" s="68"/>
      <c r="G5" s="68"/>
      <c r="H5" s="68"/>
      <c r="I5" s="68"/>
      <c r="J5" s="68"/>
      <c r="K5" s="68"/>
      <c r="L5" s="68"/>
      <c r="M5" s="68"/>
      <c r="N5" s="68"/>
      <c r="O5" s="68"/>
      <c r="P5" s="68"/>
      <c r="Q5" s="68"/>
      <c r="R5" s="68"/>
      <c r="S5" s="68"/>
      <c r="T5" s="68"/>
      <c r="U5" s="68"/>
    </row>
    <row r="6" spans="1:21" ht="64.900000000000006">
      <c r="A6" s="84" t="s">
        <v>163</v>
      </c>
      <c r="B6" s="27" t="s">
        <v>406</v>
      </c>
      <c r="C6" s="31" t="s">
        <v>407</v>
      </c>
      <c r="D6" s="24" t="s">
        <v>408</v>
      </c>
      <c r="E6" s="68"/>
      <c r="F6" s="68"/>
      <c r="G6" s="68"/>
      <c r="H6" s="68"/>
      <c r="I6" s="68"/>
      <c r="J6" s="68"/>
      <c r="K6" s="68"/>
      <c r="L6" s="68"/>
      <c r="M6" s="68"/>
      <c r="N6" s="68"/>
      <c r="O6" s="68"/>
      <c r="P6" s="68"/>
      <c r="Q6" s="68"/>
      <c r="R6" s="68"/>
      <c r="S6" s="68"/>
      <c r="T6" s="68"/>
      <c r="U6" s="68"/>
    </row>
    <row r="7" spans="1:21" ht="64.900000000000006">
      <c r="A7" s="84" t="s">
        <v>165</v>
      </c>
      <c r="B7" s="28" t="s">
        <v>409</v>
      </c>
      <c r="C7" s="31" t="s">
        <v>410</v>
      </c>
      <c r="D7" s="24" t="s">
        <v>411</v>
      </c>
      <c r="E7" s="68"/>
      <c r="F7" s="68"/>
      <c r="G7" s="68"/>
      <c r="H7" s="68"/>
      <c r="I7" s="68"/>
      <c r="J7" s="68"/>
      <c r="K7" s="68"/>
      <c r="L7" s="68"/>
      <c r="M7" s="68"/>
      <c r="N7" s="68"/>
      <c r="O7" s="68"/>
      <c r="P7" s="68"/>
      <c r="Q7" s="68"/>
      <c r="R7" s="68"/>
      <c r="S7" s="68"/>
      <c r="T7" s="68"/>
      <c r="U7" s="68"/>
    </row>
    <row r="8" spans="1:21" ht="64.900000000000006">
      <c r="A8" s="84" t="s">
        <v>167</v>
      </c>
      <c r="B8" s="29" t="s">
        <v>412</v>
      </c>
      <c r="C8" s="31" t="s">
        <v>413</v>
      </c>
      <c r="D8" s="24" t="s">
        <v>414</v>
      </c>
      <c r="E8" s="68"/>
      <c r="F8" s="68"/>
      <c r="G8" s="68"/>
      <c r="H8" s="68"/>
      <c r="I8" s="68"/>
      <c r="J8" s="68"/>
      <c r="K8" s="68"/>
      <c r="L8" s="68"/>
      <c r="M8" s="68"/>
      <c r="N8" s="68"/>
      <c r="O8" s="68"/>
      <c r="P8" s="68"/>
      <c r="Q8" s="68"/>
      <c r="R8" s="68"/>
      <c r="S8" s="68"/>
      <c r="T8" s="68"/>
      <c r="U8" s="68"/>
    </row>
    <row r="9" spans="1:21" ht="20.45">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415</v>
      </c>
      <c r="C11" s="84" t="s">
        <v>137</v>
      </c>
      <c r="D11" s="84" t="s">
        <v>168</v>
      </c>
      <c r="E11" s="68"/>
      <c r="F11" s="68"/>
      <c r="G11" s="68"/>
      <c r="H11" s="68"/>
      <c r="I11" s="68"/>
      <c r="J11" s="68"/>
      <c r="K11" s="68"/>
      <c r="L11" s="68"/>
      <c r="M11" s="68"/>
      <c r="N11" s="68"/>
      <c r="O11" s="68"/>
      <c r="P11" s="68"/>
      <c r="Q11" s="68"/>
      <c r="R11" s="68"/>
      <c r="S11" s="68"/>
      <c r="T11" s="68"/>
      <c r="U11" s="68"/>
    </row>
    <row r="12" spans="1:21">
      <c r="A12" s="84"/>
      <c r="B12" s="84" t="s">
        <v>416</v>
      </c>
      <c r="C12" s="84" t="s">
        <v>160</v>
      </c>
      <c r="D12" s="84" t="s">
        <v>169</v>
      </c>
      <c r="E12" s="68"/>
      <c r="F12" s="68"/>
      <c r="G12" s="68"/>
      <c r="H12" s="68"/>
      <c r="I12" s="68"/>
      <c r="J12" s="68"/>
      <c r="K12" s="68"/>
      <c r="L12" s="68"/>
      <c r="M12" s="68"/>
      <c r="N12" s="68"/>
      <c r="O12" s="68"/>
      <c r="P12" s="68"/>
      <c r="Q12" s="68"/>
      <c r="R12" s="68"/>
      <c r="S12" s="68"/>
      <c r="T12" s="68"/>
      <c r="U12" s="68"/>
    </row>
    <row r="13" spans="1:21">
      <c r="A13" s="84"/>
      <c r="B13" s="84"/>
      <c r="C13" s="84" t="s">
        <v>162</v>
      </c>
      <c r="D13" s="84" t="s">
        <v>116</v>
      </c>
      <c r="E13" s="68"/>
      <c r="F13" s="68"/>
      <c r="G13" s="68"/>
      <c r="H13" s="68"/>
      <c r="I13" s="68"/>
      <c r="J13" s="68"/>
      <c r="K13" s="68"/>
      <c r="L13" s="68"/>
      <c r="M13" s="68"/>
      <c r="N13" s="68"/>
      <c r="O13" s="68"/>
      <c r="P13" s="68"/>
      <c r="Q13" s="68"/>
      <c r="R13" s="68"/>
      <c r="S13" s="68"/>
      <c r="T13" s="68"/>
      <c r="U13" s="68"/>
    </row>
    <row r="14" spans="1:21">
      <c r="A14" s="84"/>
      <c r="B14" s="84"/>
      <c r="C14" s="84" t="s">
        <v>164</v>
      </c>
      <c r="D14" s="84" t="s">
        <v>170</v>
      </c>
      <c r="E14" s="68"/>
      <c r="F14" s="68"/>
      <c r="G14" s="68"/>
      <c r="H14" s="68"/>
      <c r="I14" s="68"/>
      <c r="J14" s="68"/>
      <c r="K14" s="68"/>
      <c r="L14" s="68"/>
      <c r="M14" s="68"/>
      <c r="N14" s="68"/>
      <c r="O14" s="68"/>
      <c r="P14" s="68"/>
      <c r="Q14" s="68"/>
      <c r="R14" s="68"/>
      <c r="S14" s="68"/>
      <c r="T14" s="68"/>
      <c r="U14" s="68"/>
    </row>
    <row r="15" spans="1:21">
      <c r="A15" s="84"/>
      <c r="B15" s="84"/>
      <c r="C15" s="84" t="s">
        <v>166</v>
      </c>
      <c r="D15" s="84" t="s">
        <v>171</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45">
      <c r="A22" s="84"/>
      <c r="B22" s="84"/>
      <c r="C22" s="86"/>
      <c r="D22" s="86"/>
      <c r="E22" s="68"/>
      <c r="F22" s="68"/>
      <c r="G22" s="68"/>
      <c r="H22" s="68"/>
      <c r="I22" s="68"/>
      <c r="J22" s="68"/>
      <c r="K22" s="68"/>
      <c r="L22" s="68"/>
      <c r="M22" s="68"/>
      <c r="N22" s="68"/>
      <c r="O22" s="68"/>
    </row>
    <row r="23" spans="1:15" ht="20.45">
      <c r="A23" s="84"/>
      <c r="B23" s="84"/>
      <c r="C23" s="86"/>
      <c r="D23" s="86"/>
      <c r="E23" s="68"/>
      <c r="F23" s="68"/>
      <c r="G23" s="68"/>
      <c r="H23" s="68"/>
      <c r="I23" s="68"/>
      <c r="J23" s="68"/>
      <c r="K23" s="68"/>
      <c r="L23" s="68"/>
      <c r="M23" s="68"/>
      <c r="N23" s="68"/>
      <c r="O23" s="68"/>
    </row>
    <row r="24" spans="1:15" ht="20.45">
      <c r="A24" s="84"/>
      <c r="B24" s="84"/>
      <c r="C24" s="86"/>
      <c r="D24" s="86"/>
      <c r="E24" s="68"/>
      <c r="F24" s="68"/>
      <c r="G24" s="68"/>
      <c r="H24" s="68"/>
      <c r="I24" s="68"/>
      <c r="J24" s="68"/>
      <c r="K24" s="68"/>
      <c r="L24" s="68"/>
      <c r="M24" s="68"/>
      <c r="N24" s="68"/>
      <c r="O24" s="68"/>
    </row>
    <row r="25" spans="1:15" ht="20.45">
      <c r="A25" s="84"/>
      <c r="B25" s="84"/>
      <c r="C25" s="86"/>
      <c r="D25" s="86"/>
      <c r="E25" s="68"/>
      <c r="F25" s="68"/>
      <c r="G25" s="68"/>
      <c r="H25" s="68"/>
      <c r="I25" s="68"/>
      <c r="J25" s="68"/>
      <c r="K25" s="68"/>
      <c r="L25" s="68"/>
      <c r="M25" s="68"/>
      <c r="N25" s="68"/>
      <c r="O25" s="68"/>
    </row>
    <row r="26" spans="1:15" ht="20.45">
      <c r="A26" s="84"/>
      <c r="B26" s="84"/>
      <c r="C26" s="86"/>
      <c r="D26" s="86"/>
      <c r="E26" s="68"/>
      <c r="F26" s="68"/>
      <c r="G26" s="68"/>
      <c r="H26" s="68"/>
      <c r="I26" s="68"/>
      <c r="J26" s="68"/>
      <c r="K26" s="68"/>
      <c r="L26" s="68"/>
      <c r="M26" s="68"/>
      <c r="N26" s="68"/>
      <c r="O26" s="68"/>
    </row>
    <row r="27" spans="1:15" ht="20.45">
      <c r="A27" s="84"/>
      <c r="B27" s="84"/>
      <c r="C27" s="86"/>
      <c r="D27" s="86"/>
      <c r="E27" s="68"/>
      <c r="F27" s="68"/>
      <c r="G27" s="68"/>
      <c r="H27" s="68"/>
      <c r="I27" s="68"/>
      <c r="J27" s="68"/>
      <c r="K27" s="68"/>
      <c r="L27" s="68"/>
      <c r="M27" s="68"/>
      <c r="N27" s="68"/>
      <c r="O27" s="68"/>
    </row>
    <row r="28" spans="1:15" ht="20.45">
      <c r="A28" s="84"/>
      <c r="B28" s="84"/>
      <c r="C28" s="86"/>
      <c r="D28" s="86"/>
      <c r="E28" s="68"/>
      <c r="F28" s="68"/>
      <c r="G28" s="68"/>
      <c r="H28" s="68"/>
      <c r="I28" s="68"/>
      <c r="J28" s="68"/>
      <c r="K28" s="68"/>
      <c r="L28" s="68"/>
      <c r="M28" s="68"/>
      <c r="N28" s="68"/>
      <c r="O28" s="68"/>
    </row>
    <row r="29" spans="1:15" ht="20.45">
      <c r="A29" s="84"/>
      <c r="B29" s="84"/>
      <c r="C29" s="86"/>
      <c r="D29" s="86"/>
      <c r="E29" s="68"/>
      <c r="F29" s="68"/>
      <c r="G29" s="68"/>
      <c r="H29" s="68"/>
      <c r="I29" s="68"/>
      <c r="J29" s="68"/>
      <c r="K29" s="68"/>
      <c r="L29" s="68"/>
      <c r="M29" s="68"/>
      <c r="N29" s="68"/>
      <c r="O29" s="68"/>
    </row>
    <row r="30" spans="1:15" ht="20.45">
      <c r="A30" s="84"/>
      <c r="B30" s="84"/>
      <c r="C30" s="86"/>
      <c r="D30" s="86"/>
      <c r="E30" s="68"/>
      <c r="F30" s="68"/>
      <c r="G30" s="68"/>
      <c r="H30" s="68"/>
      <c r="I30" s="68"/>
      <c r="J30" s="68"/>
      <c r="K30" s="68"/>
      <c r="L30" s="68"/>
      <c r="M30" s="68"/>
      <c r="N30" s="68"/>
      <c r="O30" s="68"/>
    </row>
    <row r="31" spans="1:15" ht="20.45">
      <c r="A31" s="84"/>
      <c r="B31" s="84"/>
      <c r="C31" s="86"/>
      <c r="D31" s="86"/>
      <c r="E31" s="68"/>
      <c r="F31" s="68"/>
      <c r="G31" s="68"/>
      <c r="H31" s="68"/>
      <c r="I31" s="68"/>
      <c r="J31" s="68"/>
      <c r="K31" s="68"/>
      <c r="L31" s="68"/>
      <c r="M31" s="68"/>
      <c r="N31" s="68"/>
      <c r="O31" s="68"/>
    </row>
    <row r="32" spans="1:15" ht="20.45">
      <c r="A32" s="84"/>
      <c r="B32" s="84"/>
      <c r="C32" s="86"/>
      <c r="D32" s="86"/>
      <c r="E32" s="68"/>
      <c r="F32" s="68"/>
      <c r="G32" s="68"/>
      <c r="H32" s="68"/>
      <c r="I32" s="68"/>
      <c r="J32" s="68"/>
      <c r="K32" s="68"/>
      <c r="L32" s="68"/>
      <c r="M32" s="68"/>
      <c r="N32" s="68"/>
      <c r="O32" s="68"/>
    </row>
    <row r="33" spans="1:15" ht="20.45">
      <c r="A33" s="84"/>
      <c r="B33" s="84"/>
      <c r="C33" s="86"/>
      <c r="D33" s="86"/>
      <c r="E33" s="68"/>
      <c r="F33" s="68"/>
      <c r="G33" s="68"/>
      <c r="H33" s="68"/>
      <c r="I33" s="68"/>
      <c r="J33" s="68"/>
      <c r="K33" s="68"/>
      <c r="L33" s="68"/>
      <c r="M33" s="68"/>
      <c r="N33" s="68"/>
      <c r="O33" s="68"/>
    </row>
    <row r="34" spans="1:15" ht="20.45">
      <c r="A34" s="84"/>
      <c r="B34" s="84"/>
      <c r="C34" s="86"/>
      <c r="D34" s="86"/>
      <c r="E34" s="68"/>
      <c r="F34" s="68"/>
      <c r="G34" s="68"/>
      <c r="H34" s="68"/>
      <c r="I34" s="68"/>
      <c r="J34" s="68"/>
      <c r="K34" s="68"/>
      <c r="L34" s="68"/>
      <c r="M34" s="68"/>
      <c r="N34" s="68"/>
      <c r="O34" s="68"/>
    </row>
    <row r="35" spans="1:15" ht="20.45">
      <c r="A35" s="84"/>
      <c r="B35" s="84"/>
      <c r="C35" s="86"/>
      <c r="D35" s="86"/>
      <c r="E35" s="68"/>
      <c r="F35" s="68"/>
      <c r="G35" s="68"/>
      <c r="H35" s="68"/>
      <c r="I35" s="68"/>
      <c r="J35" s="68"/>
      <c r="K35" s="68"/>
      <c r="L35" s="68"/>
      <c r="M35" s="68"/>
      <c r="N35" s="68"/>
      <c r="O35" s="68"/>
    </row>
    <row r="36" spans="1:15" ht="20.45">
      <c r="A36" s="84"/>
      <c r="B36" s="84"/>
      <c r="C36" s="86"/>
      <c r="D36" s="86"/>
      <c r="E36" s="68"/>
      <c r="F36" s="68"/>
      <c r="G36" s="68"/>
      <c r="H36" s="68"/>
      <c r="I36" s="68"/>
      <c r="J36" s="68"/>
      <c r="K36" s="68"/>
      <c r="L36" s="68"/>
      <c r="M36" s="68"/>
      <c r="N36" s="68"/>
      <c r="O36" s="68"/>
    </row>
    <row r="37" spans="1:15" ht="20.45">
      <c r="A37" s="84"/>
      <c r="B37" s="84"/>
      <c r="C37" s="86"/>
      <c r="D37" s="86"/>
      <c r="E37" s="68"/>
      <c r="F37" s="68"/>
      <c r="G37" s="68"/>
      <c r="H37" s="68"/>
      <c r="I37" s="68"/>
      <c r="J37" s="68"/>
      <c r="K37" s="68"/>
      <c r="L37" s="68"/>
      <c r="M37" s="68"/>
      <c r="N37" s="68"/>
      <c r="O37" s="68"/>
    </row>
    <row r="38" spans="1:15" ht="20.45">
      <c r="A38" s="84"/>
      <c r="B38" s="84"/>
      <c r="C38" s="86"/>
      <c r="D38" s="86"/>
      <c r="E38" s="68"/>
      <c r="F38" s="68"/>
      <c r="G38" s="68"/>
      <c r="H38" s="68"/>
      <c r="I38" s="68"/>
      <c r="J38" s="68"/>
      <c r="K38" s="68"/>
      <c r="L38" s="68"/>
      <c r="M38" s="68"/>
      <c r="N38" s="68"/>
      <c r="O38" s="68"/>
    </row>
    <row r="39" spans="1:15" ht="20.45">
      <c r="A39" s="84"/>
      <c r="B39" s="84"/>
      <c r="C39" s="86"/>
      <c r="D39" s="86"/>
      <c r="E39" s="68"/>
      <c r="F39" s="68"/>
      <c r="G39" s="68"/>
      <c r="H39" s="68"/>
      <c r="I39" s="68"/>
      <c r="J39" s="68"/>
      <c r="K39" s="68"/>
      <c r="L39" s="68"/>
      <c r="M39" s="68"/>
      <c r="N39" s="68"/>
      <c r="O39" s="68"/>
    </row>
    <row r="40" spans="1:15" ht="20.45">
      <c r="A40" s="84"/>
      <c r="B40" s="84"/>
      <c r="C40" s="86"/>
      <c r="D40" s="86"/>
      <c r="E40" s="68"/>
      <c r="F40" s="68"/>
      <c r="G40" s="68"/>
      <c r="H40" s="68"/>
      <c r="I40" s="68"/>
      <c r="J40" s="68"/>
      <c r="K40" s="68"/>
      <c r="L40" s="68"/>
      <c r="M40" s="68"/>
      <c r="N40" s="68"/>
      <c r="O40" s="68"/>
    </row>
    <row r="41" spans="1:15" ht="20.45">
      <c r="A41" s="84"/>
      <c r="B41" s="84"/>
      <c r="C41" s="86"/>
      <c r="D41" s="86"/>
      <c r="E41" s="68"/>
      <c r="F41" s="68"/>
      <c r="G41" s="68"/>
      <c r="H41" s="68"/>
      <c r="I41" s="68"/>
      <c r="J41" s="68"/>
      <c r="K41" s="68"/>
      <c r="L41" s="68"/>
      <c r="M41" s="68"/>
      <c r="N41" s="68"/>
      <c r="O41" s="68"/>
    </row>
    <row r="42" spans="1:15" ht="20.45">
      <c r="A42" s="84"/>
      <c r="B42" s="84"/>
      <c r="C42" s="86"/>
      <c r="D42" s="86"/>
      <c r="E42" s="68"/>
      <c r="F42" s="68"/>
      <c r="G42" s="68"/>
      <c r="H42" s="68"/>
      <c r="I42" s="68"/>
      <c r="J42" s="68"/>
      <c r="K42" s="68"/>
      <c r="L42" s="68"/>
      <c r="M42" s="68"/>
      <c r="N42" s="68"/>
      <c r="O42" s="68"/>
    </row>
    <row r="43" spans="1:15" ht="20.45">
      <c r="A43" s="84"/>
      <c r="B43" s="84"/>
      <c r="C43" s="86"/>
      <c r="D43" s="86"/>
      <c r="E43" s="68"/>
      <c r="F43" s="68"/>
      <c r="G43" s="68"/>
      <c r="H43" s="68"/>
      <c r="I43" s="68"/>
      <c r="J43" s="68"/>
      <c r="K43" s="68"/>
      <c r="L43" s="68"/>
      <c r="M43" s="68"/>
      <c r="N43" s="68"/>
      <c r="O43" s="68"/>
    </row>
    <row r="44" spans="1:15" ht="20.45">
      <c r="A44" s="84"/>
      <c r="B44" s="84"/>
      <c r="C44" s="86"/>
      <c r="D44" s="86"/>
      <c r="E44" s="68"/>
      <c r="F44" s="68"/>
      <c r="G44" s="68"/>
      <c r="H44" s="68"/>
      <c r="I44" s="68"/>
      <c r="J44" s="68"/>
      <c r="K44" s="68"/>
      <c r="L44" s="68"/>
      <c r="M44" s="68"/>
      <c r="N44" s="68"/>
      <c r="O44" s="68"/>
    </row>
    <row r="45" spans="1:15" ht="20.45">
      <c r="A45" s="84"/>
      <c r="B45" s="84"/>
      <c r="C45" s="86"/>
      <c r="D45" s="86"/>
      <c r="E45" s="68"/>
      <c r="F45" s="68"/>
      <c r="G45" s="68"/>
      <c r="H45" s="68"/>
      <c r="I45" s="68"/>
      <c r="J45" s="68"/>
      <c r="K45" s="68"/>
      <c r="L45" s="68"/>
      <c r="M45" s="68"/>
      <c r="N45" s="68"/>
      <c r="O45" s="68"/>
    </row>
    <row r="46" spans="1:15" ht="20.45">
      <c r="A46" s="84"/>
      <c r="B46" s="84"/>
      <c r="C46" s="86"/>
      <c r="D46" s="86"/>
      <c r="E46" s="68"/>
      <c r="F46" s="68"/>
      <c r="G46" s="68"/>
      <c r="H46" s="68"/>
      <c r="I46" s="68"/>
      <c r="J46" s="68"/>
      <c r="K46" s="68"/>
      <c r="L46" s="68"/>
      <c r="M46" s="68"/>
      <c r="N46" s="68"/>
      <c r="O46" s="68"/>
    </row>
    <row r="47" spans="1:15" ht="20.45">
      <c r="A47" s="84"/>
      <c r="B47" s="84"/>
      <c r="C47" s="86"/>
      <c r="D47" s="86"/>
      <c r="E47" s="68"/>
      <c r="F47" s="68"/>
      <c r="G47" s="68"/>
      <c r="H47" s="68"/>
      <c r="I47" s="68"/>
      <c r="J47" s="68"/>
      <c r="K47" s="68"/>
      <c r="L47" s="68"/>
      <c r="M47" s="68"/>
      <c r="N47" s="68"/>
      <c r="O47" s="68"/>
    </row>
    <row r="48" spans="1:15" ht="20.45">
      <c r="A48" s="84"/>
      <c r="B48" s="84"/>
      <c r="C48" s="86"/>
      <c r="D48" s="86"/>
      <c r="E48" s="68"/>
      <c r="F48" s="68"/>
      <c r="G48" s="68"/>
      <c r="H48" s="68"/>
      <c r="I48" s="68"/>
      <c r="J48" s="68"/>
      <c r="K48" s="68"/>
      <c r="L48" s="68"/>
      <c r="M48" s="68"/>
      <c r="N48" s="68"/>
      <c r="O48" s="68"/>
    </row>
    <row r="49" spans="1:15" ht="20.45">
      <c r="A49" s="84"/>
      <c r="B49" s="84"/>
      <c r="C49" s="86"/>
      <c r="D49" s="86"/>
      <c r="E49" s="68"/>
      <c r="F49" s="68"/>
      <c r="G49" s="68"/>
      <c r="H49" s="68"/>
      <c r="I49" s="68"/>
      <c r="J49" s="68"/>
      <c r="K49" s="68"/>
      <c r="L49" s="68"/>
      <c r="M49" s="68"/>
      <c r="N49" s="68"/>
      <c r="O49" s="68"/>
    </row>
    <row r="50" spans="1:15" ht="20.45">
      <c r="A50" s="84"/>
      <c r="B50" s="84"/>
      <c r="C50" s="86"/>
      <c r="D50" s="86"/>
      <c r="E50" s="68"/>
      <c r="F50" s="68"/>
      <c r="G50" s="68"/>
      <c r="H50" s="68"/>
      <c r="I50" s="68"/>
      <c r="J50" s="68"/>
      <c r="K50" s="68"/>
      <c r="L50" s="68"/>
      <c r="M50" s="68"/>
      <c r="N50" s="68"/>
      <c r="O50" s="68"/>
    </row>
    <row r="51" spans="1:15" ht="20.45">
      <c r="A51" s="84"/>
      <c r="B51" s="84"/>
      <c r="C51" s="86"/>
      <c r="D51" s="86"/>
      <c r="E51" s="68"/>
      <c r="F51" s="68"/>
      <c r="G51" s="68"/>
      <c r="H51" s="68"/>
      <c r="I51" s="68"/>
      <c r="J51" s="68"/>
      <c r="K51" s="68"/>
      <c r="L51" s="68"/>
      <c r="M51" s="68"/>
      <c r="N51" s="68"/>
      <c r="O51" s="68"/>
    </row>
    <row r="52" spans="1:15" ht="20.45">
      <c r="A52" s="84"/>
      <c r="B52" s="15"/>
      <c r="C52" s="20"/>
      <c r="D52" s="20"/>
    </row>
    <row r="53" spans="1:15" ht="20.45">
      <c r="A53" s="84"/>
      <c r="B53" s="15"/>
      <c r="C53" s="20"/>
      <c r="D53" s="20"/>
    </row>
    <row r="54" spans="1:15" ht="20.45">
      <c r="A54" s="84"/>
      <c r="B54" s="15"/>
      <c r="C54" s="20"/>
      <c r="D54" s="20"/>
    </row>
    <row r="55" spans="1:15" ht="20.45">
      <c r="A55" s="84"/>
      <c r="B55" s="15"/>
      <c r="C55" s="20"/>
      <c r="D55" s="20"/>
    </row>
    <row r="56" spans="1:15" ht="20.45">
      <c r="A56" s="84"/>
      <c r="B56" s="15"/>
      <c r="C56" s="20"/>
      <c r="D56" s="20"/>
    </row>
    <row r="57" spans="1:15" ht="20.45">
      <c r="A57" s="84"/>
      <c r="B57" s="15"/>
      <c r="C57" s="20"/>
      <c r="D57" s="20"/>
    </row>
    <row r="58" spans="1:15" ht="20.45">
      <c r="A58" s="84"/>
      <c r="B58" s="15"/>
      <c r="C58" s="20"/>
      <c r="D58" s="20"/>
    </row>
    <row r="59" spans="1:15" ht="20.45">
      <c r="A59" s="84"/>
      <c r="B59" s="15"/>
      <c r="C59" s="20"/>
      <c r="D59" s="20"/>
    </row>
    <row r="60" spans="1:15" ht="20.45">
      <c r="A60" s="84"/>
      <c r="B60" s="15"/>
      <c r="C60" s="20"/>
      <c r="D60" s="20"/>
    </row>
    <row r="61" spans="1:15" ht="20.45">
      <c r="A61" s="84"/>
      <c r="B61" s="15"/>
      <c r="C61" s="20"/>
      <c r="D61" s="20"/>
    </row>
    <row r="62" spans="1:15" ht="20.45">
      <c r="A62" s="84"/>
      <c r="B62" s="15"/>
      <c r="C62" s="20"/>
      <c r="D62" s="20"/>
    </row>
    <row r="63" spans="1:15" ht="20.45">
      <c r="A63" s="84"/>
      <c r="B63" s="15"/>
      <c r="C63" s="20"/>
      <c r="D63" s="20"/>
    </row>
    <row r="64" spans="1:15" ht="20.45">
      <c r="A64" s="84"/>
      <c r="B64" s="15"/>
      <c r="C64" s="20"/>
      <c r="D64" s="20"/>
    </row>
    <row r="65" spans="1:4" ht="20.45">
      <c r="A65" s="84"/>
      <c r="B65" s="15"/>
      <c r="C65" s="20"/>
      <c r="D65" s="20"/>
    </row>
    <row r="66" spans="1:4" ht="20.45">
      <c r="A66" s="84"/>
      <c r="B66" s="15"/>
      <c r="C66" s="20"/>
      <c r="D66" s="20"/>
    </row>
    <row r="67" spans="1:4" ht="20.45">
      <c r="A67" s="84"/>
      <c r="B67" s="15"/>
      <c r="C67" s="20"/>
      <c r="D67" s="20"/>
    </row>
    <row r="68" spans="1:4" ht="20.45">
      <c r="A68" s="84"/>
      <c r="B68" s="15"/>
      <c r="C68" s="20"/>
      <c r="D68" s="20"/>
    </row>
    <row r="69" spans="1:4" ht="20.45">
      <c r="A69" s="84"/>
      <c r="B69" s="15"/>
      <c r="C69" s="20"/>
      <c r="D69" s="20"/>
    </row>
    <row r="70" spans="1:4" ht="20.45">
      <c r="A70" s="84"/>
      <c r="B70" s="15"/>
      <c r="C70" s="20"/>
      <c r="D70" s="20"/>
    </row>
    <row r="71" spans="1:4" ht="20.45">
      <c r="A71" s="84"/>
      <c r="B71" s="15"/>
      <c r="C71" s="20"/>
      <c r="D71" s="20"/>
    </row>
    <row r="72" spans="1:4" ht="20.45">
      <c r="A72" s="84"/>
      <c r="B72" s="15"/>
      <c r="C72" s="20"/>
      <c r="D72" s="20"/>
    </row>
    <row r="73" spans="1:4" ht="20.45">
      <c r="A73" s="84"/>
      <c r="B73" s="15"/>
      <c r="C73" s="20"/>
      <c r="D73" s="20"/>
    </row>
    <row r="74" spans="1:4" ht="20.45">
      <c r="A74" s="84"/>
      <c r="B74" s="15"/>
      <c r="C74" s="20"/>
      <c r="D74" s="20"/>
    </row>
    <row r="75" spans="1:4" ht="20.45">
      <c r="A75" s="84"/>
      <c r="B75" s="15"/>
      <c r="C75" s="20"/>
      <c r="D75" s="20"/>
    </row>
    <row r="76" spans="1:4" ht="20.45">
      <c r="A76" s="84"/>
      <c r="B76" s="15"/>
      <c r="C76" s="20"/>
      <c r="D76" s="20"/>
    </row>
    <row r="77" spans="1:4" ht="20.45">
      <c r="A77" s="84"/>
      <c r="B77" s="15"/>
      <c r="C77" s="20"/>
      <c r="D77" s="20"/>
    </row>
    <row r="78" spans="1:4" ht="20.45">
      <c r="A78" s="84"/>
      <c r="B78" s="15"/>
      <c r="C78" s="20"/>
      <c r="D78" s="20"/>
    </row>
    <row r="79" spans="1:4" ht="20.45">
      <c r="A79" s="84"/>
      <c r="B79" s="15"/>
      <c r="C79" s="20"/>
      <c r="D79" s="20"/>
    </row>
    <row r="80" spans="1:4" ht="20.45">
      <c r="A80" s="84"/>
      <c r="B80" s="15"/>
      <c r="C80" s="20"/>
      <c r="D80" s="20"/>
    </row>
    <row r="81" spans="1:4" ht="20.45">
      <c r="A81" s="84"/>
      <c r="B81" s="15"/>
      <c r="C81" s="20"/>
      <c r="D81" s="20"/>
    </row>
    <row r="82" spans="1:4" ht="20.45">
      <c r="A82" s="84"/>
      <c r="B82" s="15"/>
      <c r="C82" s="20"/>
      <c r="D82" s="20"/>
    </row>
    <row r="83" spans="1:4" ht="20.45">
      <c r="A83" s="84"/>
      <c r="B83" s="15"/>
      <c r="C83" s="20"/>
      <c r="D83" s="20"/>
    </row>
    <row r="84" spans="1:4" ht="20.45">
      <c r="A84" s="84"/>
      <c r="B84" s="15"/>
      <c r="C84" s="20"/>
      <c r="D84" s="20"/>
    </row>
    <row r="85" spans="1:4" ht="20.45">
      <c r="A85" s="84"/>
      <c r="B85" s="15"/>
      <c r="C85" s="20"/>
      <c r="D85" s="20"/>
    </row>
    <row r="86" spans="1:4" ht="20.45">
      <c r="A86" s="84"/>
      <c r="B86" s="15"/>
      <c r="C86" s="20"/>
      <c r="D86" s="20"/>
    </row>
    <row r="87" spans="1:4" ht="20.45">
      <c r="A87" s="84"/>
      <c r="B87" s="15"/>
      <c r="C87" s="20"/>
      <c r="D87" s="20"/>
    </row>
    <row r="88" spans="1:4" ht="20.45">
      <c r="A88" s="84"/>
      <c r="B88" s="15"/>
      <c r="C88" s="20"/>
      <c r="D88" s="20"/>
    </row>
    <row r="89" spans="1:4" ht="20.45">
      <c r="A89" s="84"/>
      <c r="B89" s="15"/>
      <c r="C89" s="20"/>
      <c r="D89" s="20"/>
    </row>
    <row r="90" spans="1:4" ht="20.45">
      <c r="A90" s="84"/>
      <c r="B90" s="15"/>
      <c r="C90" s="20"/>
      <c r="D90" s="20"/>
    </row>
    <row r="91" spans="1:4" ht="20.45">
      <c r="A91" s="84"/>
      <c r="B91" s="15"/>
      <c r="C91" s="20"/>
      <c r="D91" s="20"/>
    </row>
    <row r="92" spans="1:4" ht="20.45">
      <c r="A92" s="84"/>
      <c r="B92" s="15"/>
      <c r="C92" s="20"/>
      <c r="D92" s="20"/>
    </row>
    <row r="93" spans="1:4" ht="20.45">
      <c r="A93" s="84"/>
      <c r="B93" s="15"/>
      <c r="C93" s="20"/>
      <c r="D93" s="20"/>
    </row>
    <row r="94" spans="1:4" ht="20.45">
      <c r="A94" s="84"/>
      <c r="B94" s="15"/>
      <c r="C94" s="20"/>
      <c r="D94" s="20"/>
    </row>
    <row r="95" spans="1:4" ht="20.45">
      <c r="A95" s="84"/>
      <c r="B95" s="15"/>
      <c r="C95" s="20"/>
      <c r="D95" s="20"/>
    </row>
    <row r="96" spans="1:4" ht="20.45">
      <c r="A96" s="84"/>
      <c r="B96" s="15"/>
      <c r="C96" s="20"/>
      <c r="D96" s="20"/>
    </row>
    <row r="97" spans="1:4" ht="20.45">
      <c r="A97" s="84"/>
      <c r="B97" s="15"/>
      <c r="C97" s="20"/>
      <c r="D97" s="20"/>
    </row>
    <row r="98" spans="1:4" ht="20.45">
      <c r="A98" s="84"/>
      <c r="B98" s="15"/>
      <c r="C98" s="20"/>
      <c r="D98" s="20"/>
    </row>
    <row r="99" spans="1:4" ht="20.45">
      <c r="A99" s="84"/>
      <c r="B99" s="15"/>
      <c r="C99" s="20"/>
      <c r="D99" s="20"/>
    </row>
    <row r="100" spans="1:4" ht="20.45">
      <c r="A100" s="84"/>
      <c r="B100" s="15"/>
      <c r="C100" s="20"/>
      <c r="D100" s="20"/>
    </row>
    <row r="101" spans="1:4" ht="20.45">
      <c r="A101" s="84"/>
      <c r="B101" s="15"/>
      <c r="C101" s="20"/>
      <c r="D101" s="20"/>
    </row>
    <row r="102" spans="1:4" ht="20.45">
      <c r="A102" s="84"/>
      <c r="B102" s="15"/>
      <c r="C102" s="20"/>
      <c r="D102" s="20"/>
    </row>
    <row r="103" spans="1:4" ht="20.45">
      <c r="A103" s="84"/>
      <c r="B103" s="15"/>
      <c r="C103" s="20"/>
      <c r="D103" s="20"/>
    </row>
    <row r="104" spans="1:4" ht="20.45">
      <c r="A104" s="84"/>
      <c r="B104" s="15"/>
      <c r="C104" s="20"/>
      <c r="D104" s="20"/>
    </row>
    <row r="105" spans="1:4" ht="20.45">
      <c r="A105" s="84"/>
      <c r="B105" s="15"/>
      <c r="C105" s="20"/>
      <c r="D105" s="20"/>
    </row>
    <row r="106" spans="1:4" ht="20.45">
      <c r="A106" s="84"/>
      <c r="B106" s="15"/>
      <c r="C106" s="20"/>
      <c r="D106" s="20"/>
    </row>
    <row r="107" spans="1:4" ht="20.45">
      <c r="A107" s="84"/>
      <c r="B107" s="15"/>
      <c r="C107" s="20"/>
      <c r="D107" s="20"/>
    </row>
    <row r="108" spans="1:4" ht="20.45">
      <c r="A108" s="84"/>
      <c r="B108" s="15"/>
      <c r="C108" s="20"/>
      <c r="D108" s="20"/>
    </row>
    <row r="109" spans="1:4" ht="20.45">
      <c r="A109" s="84"/>
      <c r="B109" s="15"/>
      <c r="C109" s="20"/>
      <c r="D109" s="20"/>
    </row>
    <row r="110" spans="1:4" ht="20.45">
      <c r="A110" s="84"/>
      <c r="B110" s="15"/>
      <c r="C110" s="20"/>
      <c r="D110" s="20"/>
    </row>
    <row r="111" spans="1:4" ht="20.45">
      <c r="A111" s="84"/>
      <c r="B111" s="15"/>
      <c r="C111" s="20"/>
      <c r="D111" s="20"/>
    </row>
    <row r="112" spans="1:4" ht="20.45">
      <c r="A112" s="84"/>
      <c r="B112" s="15"/>
      <c r="C112" s="20"/>
      <c r="D112" s="20"/>
    </row>
    <row r="113" spans="1:4" ht="20.45">
      <c r="A113" s="84"/>
      <c r="B113" s="15"/>
      <c r="C113" s="20"/>
      <c r="D113" s="20"/>
    </row>
    <row r="114" spans="1:4" ht="20.45">
      <c r="A114" s="84"/>
      <c r="B114" s="15"/>
      <c r="C114" s="20"/>
      <c r="D114" s="20"/>
    </row>
    <row r="115" spans="1:4" ht="20.45">
      <c r="A115" s="84"/>
      <c r="B115" s="15"/>
      <c r="C115" s="20"/>
      <c r="D115" s="20"/>
    </row>
    <row r="116" spans="1:4" ht="20.45">
      <c r="A116" s="84"/>
      <c r="B116" s="15"/>
      <c r="C116" s="20"/>
      <c r="D116" s="20"/>
    </row>
    <row r="117" spans="1:4" ht="20.45">
      <c r="A117" s="84"/>
      <c r="B117" s="15"/>
      <c r="C117" s="20"/>
      <c r="D117" s="20"/>
    </row>
    <row r="118" spans="1:4" ht="20.45">
      <c r="A118" s="84"/>
      <c r="B118" s="15"/>
      <c r="C118" s="20"/>
      <c r="D118" s="20"/>
    </row>
    <row r="119" spans="1:4" ht="20.45">
      <c r="A119" s="84"/>
      <c r="B119" s="15"/>
      <c r="C119" s="20"/>
      <c r="D119" s="20"/>
    </row>
    <row r="120" spans="1:4" ht="20.45">
      <c r="A120" s="84"/>
      <c r="B120" s="15"/>
      <c r="C120" s="20"/>
      <c r="D120" s="20"/>
    </row>
    <row r="121" spans="1:4" ht="20.45">
      <c r="A121" s="84"/>
      <c r="B121" s="15"/>
      <c r="C121" s="20"/>
      <c r="D121" s="20"/>
    </row>
    <row r="122" spans="1:4" ht="20.45">
      <c r="A122" s="84"/>
      <c r="B122" s="15"/>
      <c r="C122" s="20"/>
      <c r="D122" s="20"/>
    </row>
    <row r="123" spans="1:4" ht="20.45">
      <c r="A123" s="84"/>
      <c r="B123" s="15"/>
      <c r="C123" s="20"/>
      <c r="D123" s="20"/>
    </row>
    <row r="124" spans="1:4" ht="20.45">
      <c r="A124" s="84"/>
      <c r="B124" s="15"/>
      <c r="C124" s="20"/>
      <c r="D124" s="20"/>
    </row>
    <row r="125" spans="1:4" ht="20.45">
      <c r="A125" s="84"/>
      <c r="B125" s="15"/>
      <c r="C125" s="20"/>
      <c r="D125" s="20"/>
    </row>
    <row r="126" spans="1:4" ht="20.45">
      <c r="A126" s="84"/>
      <c r="B126" s="15"/>
      <c r="C126" s="20"/>
      <c r="D126" s="20"/>
    </row>
    <row r="127" spans="1:4" ht="20.45">
      <c r="A127" s="84"/>
      <c r="B127" s="15"/>
      <c r="C127" s="20"/>
      <c r="D127" s="20"/>
    </row>
    <row r="128" spans="1:4" ht="20.45">
      <c r="A128" s="84"/>
      <c r="B128" s="15"/>
      <c r="C128" s="20"/>
      <c r="D128" s="20"/>
    </row>
    <row r="129" spans="1:4" ht="20.45">
      <c r="A129" s="84"/>
      <c r="B129" s="15"/>
      <c r="C129" s="20"/>
      <c r="D129" s="20"/>
    </row>
    <row r="130" spans="1:4" ht="20.45">
      <c r="A130" s="84"/>
      <c r="B130" s="15"/>
      <c r="C130" s="20"/>
      <c r="D130" s="20"/>
    </row>
    <row r="131" spans="1:4" ht="20.45">
      <c r="A131" s="84"/>
      <c r="B131" s="15"/>
      <c r="C131" s="20"/>
      <c r="D131" s="20"/>
    </row>
    <row r="132" spans="1:4" ht="20.45">
      <c r="A132" s="84"/>
      <c r="B132" s="15"/>
      <c r="C132" s="20"/>
      <c r="D132" s="20"/>
    </row>
    <row r="133" spans="1:4" ht="20.45">
      <c r="A133" s="84"/>
      <c r="B133" s="15"/>
      <c r="C133" s="20"/>
      <c r="D133" s="20"/>
    </row>
    <row r="134" spans="1:4" ht="20.45">
      <c r="A134" s="84"/>
      <c r="B134" s="15"/>
      <c r="C134" s="20"/>
      <c r="D134" s="20"/>
    </row>
    <row r="135" spans="1:4" ht="20.45">
      <c r="A135" s="84"/>
      <c r="B135" s="15"/>
      <c r="C135" s="20"/>
      <c r="D135" s="20"/>
    </row>
    <row r="136" spans="1:4" ht="20.45">
      <c r="A136" s="84"/>
      <c r="B136" s="15"/>
      <c r="C136" s="20"/>
      <c r="D136" s="20"/>
    </row>
    <row r="137" spans="1:4" ht="20.45">
      <c r="A137" s="84"/>
      <c r="B137" s="15"/>
      <c r="C137" s="20"/>
      <c r="D137" s="20"/>
    </row>
    <row r="138" spans="1:4" ht="20.45">
      <c r="A138" s="84"/>
      <c r="B138" s="15"/>
      <c r="C138" s="20"/>
      <c r="D138" s="20"/>
    </row>
    <row r="139" spans="1:4" ht="20.45">
      <c r="A139" s="84"/>
      <c r="B139" s="15"/>
      <c r="C139" s="20"/>
      <c r="D139" s="20"/>
    </row>
    <row r="140" spans="1:4" ht="20.45">
      <c r="A140" s="84"/>
      <c r="B140" s="15"/>
      <c r="C140" s="20"/>
      <c r="D140" s="20"/>
    </row>
    <row r="141" spans="1:4" ht="20.45">
      <c r="A141" s="84"/>
      <c r="B141" s="15"/>
      <c r="C141" s="20"/>
      <c r="D141" s="20"/>
    </row>
    <row r="142" spans="1:4" ht="20.45">
      <c r="A142" s="84"/>
      <c r="B142" s="15"/>
      <c r="C142" s="20"/>
      <c r="D142" s="20"/>
    </row>
    <row r="143" spans="1:4" ht="20.45">
      <c r="A143" s="84"/>
      <c r="B143" s="15"/>
      <c r="C143" s="20"/>
      <c r="D143" s="20"/>
    </row>
    <row r="144" spans="1:4" ht="20.45">
      <c r="A144" s="84"/>
      <c r="B144" s="15"/>
      <c r="C144" s="20"/>
      <c r="D144" s="20"/>
    </row>
    <row r="145" spans="1:4" ht="20.45">
      <c r="A145" s="84"/>
      <c r="B145" s="15"/>
      <c r="C145" s="20"/>
      <c r="D145" s="20"/>
    </row>
    <row r="146" spans="1:4" ht="20.45">
      <c r="A146" s="84"/>
      <c r="B146" s="15"/>
      <c r="C146" s="20"/>
      <c r="D146" s="20"/>
    </row>
    <row r="147" spans="1:4" ht="20.45">
      <c r="A147" s="84"/>
      <c r="B147" s="15"/>
      <c r="C147" s="20"/>
      <c r="D147" s="20"/>
    </row>
    <row r="148" spans="1:4" ht="20.45">
      <c r="A148" s="84"/>
      <c r="B148" s="15"/>
      <c r="C148" s="20"/>
      <c r="D148" s="20"/>
    </row>
    <row r="149" spans="1:4" ht="20.45">
      <c r="A149" s="84"/>
      <c r="B149" s="15"/>
      <c r="C149" s="20"/>
      <c r="D149" s="20"/>
    </row>
    <row r="150" spans="1:4" ht="20.45">
      <c r="A150" s="84"/>
      <c r="B150" s="15"/>
      <c r="C150" s="20"/>
      <c r="D150" s="20"/>
    </row>
    <row r="151" spans="1:4" ht="20.45">
      <c r="A151" s="84"/>
      <c r="B151" s="15"/>
      <c r="C151" s="20"/>
      <c r="D151" s="20"/>
    </row>
    <row r="152" spans="1:4" ht="20.45">
      <c r="A152" s="84"/>
      <c r="B152" s="15"/>
      <c r="C152" s="20"/>
      <c r="D152" s="20"/>
    </row>
    <row r="153" spans="1:4" ht="20.45">
      <c r="A153" s="84"/>
      <c r="B153" s="15"/>
      <c r="C153" s="20"/>
      <c r="D153" s="20"/>
    </row>
    <row r="154" spans="1:4" ht="20.45">
      <c r="A154" s="84"/>
      <c r="B154" s="15"/>
      <c r="C154" s="20"/>
      <c r="D154" s="20"/>
    </row>
    <row r="155" spans="1:4" ht="20.45">
      <c r="A155" s="84"/>
      <c r="B155" s="15"/>
      <c r="C155" s="20"/>
      <c r="D155" s="20"/>
    </row>
    <row r="156" spans="1:4" ht="20.45">
      <c r="A156" s="84"/>
      <c r="B156" s="15"/>
      <c r="C156" s="20"/>
      <c r="D156" s="20"/>
    </row>
    <row r="157" spans="1:4" ht="20.45">
      <c r="A157" s="84"/>
      <c r="B157" s="15"/>
      <c r="C157" s="20"/>
      <c r="D157" s="20"/>
    </row>
    <row r="158" spans="1:4" ht="20.45">
      <c r="A158" s="84"/>
      <c r="B158" s="15"/>
      <c r="C158" s="20"/>
      <c r="D158" s="20"/>
    </row>
    <row r="159" spans="1:4" ht="20.45">
      <c r="A159" s="84"/>
      <c r="B159" s="15"/>
      <c r="C159" s="20"/>
      <c r="D159" s="20"/>
    </row>
    <row r="160" spans="1:4" ht="20.45">
      <c r="A160" s="84"/>
      <c r="B160" s="15"/>
      <c r="C160" s="20"/>
      <c r="D160" s="20"/>
    </row>
    <row r="161" spans="1:4" ht="20.45">
      <c r="A161" s="84"/>
      <c r="B161" s="15"/>
      <c r="C161" s="20"/>
      <c r="D161" s="20"/>
    </row>
    <row r="162" spans="1:4" ht="20.45">
      <c r="A162" s="84"/>
      <c r="B162" s="15"/>
      <c r="C162" s="20"/>
      <c r="D162" s="20"/>
    </row>
    <row r="163" spans="1:4" ht="20.45">
      <c r="A163" s="84"/>
      <c r="B163" s="15"/>
      <c r="C163" s="20"/>
      <c r="D163" s="20"/>
    </row>
    <row r="164" spans="1:4" ht="20.45">
      <c r="A164" s="84"/>
      <c r="B164" s="15"/>
      <c r="C164" s="20"/>
      <c r="D164" s="20"/>
    </row>
    <row r="165" spans="1:4" ht="20.45">
      <c r="A165" s="84"/>
      <c r="B165" s="15"/>
      <c r="C165" s="20"/>
      <c r="D165" s="20"/>
    </row>
    <row r="166" spans="1:4" ht="20.45">
      <c r="A166" s="84"/>
      <c r="B166" s="15"/>
      <c r="C166" s="20"/>
      <c r="D166" s="20"/>
    </row>
    <row r="167" spans="1:4" ht="20.45">
      <c r="A167" s="84"/>
      <c r="B167" s="15"/>
      <c r="C167" s="20"/>
      <c r="D167" s="20"/>
    </row>
    <row r="168" spans="1:4" ht="20.45">
      <c r="A168" s="84"/>
      <c r="B168" s="15"/>
      <c r="C168" s="20"/>
      <c r="D168" s="20"/>
    </row>
    <row r="169" spans="1:4" ht="20.45">
      <c r="A169" s="84"/>
      <c r="B169" s="15"/>
      <c r="C169" s="20"/>
      <c r="D169" s="20"/>
    </row>
    <row r="170" spans="1:4" ht="20.45">
      <c r="A170" s="84"/>
      <c r="B170" s="15"/>
      <c r="C170" s="20"/>
      <c r="D170" s="20"/>
    </row>
    <row r="171" spans="1:4" ht="20.45">
      <c r="A171" s="84"/>
      <c r="B171" s="15"/>
      <c r="C171" s="20"/>
      <c r="D171" s="20"/>
    </row>
    <row r="172" spans="1:4" ht="20.45">
      <c r="A172" s="84"/>
      <c r="B172" s="15"/>
      <c r="C172" s="20"/>
      <c r="D172" s="20"/>
    </row>
    <row r="173" spans="1:4" ht="20.45">
      <c r="A173" s="84"/>
      <c r="B173" s="15"/>
      <c r="C173" s="20"/>
      <c r="D173" s="20"/>
    </row>
    <row r="174" spans="1:4" ht="20.45">
      <c r="A174" s="84"/>
      <c r="B174" s="15"/>
      <c r="C174" s="20"/>
      <c r="D174" s="20"/>
    </row>
    <row r="175" spans="1:4" ht="20.45">
      <c r="A175" s="84"/>
      <c r="B175" s="15"/>
      <c r="C175" s="20"/>
      <c r="D175" s="20"/>
    </row>
    <row r="176" spans="1:4" ht="20.45">
      <c r="A176" s="84"/>
      <c r="B176" s="15"/>
      <c r="C176" s="20"/>
      <c r="D176" s="20"/>
    </row>
    <row r="177" spans="1:4" ht="20.45">
      <c r="A177" s="84"/>
      <c r="B177" s="15"/>
      <c r="C177" s="20"/>
      <c r="D177" s="20"/>
    </row>
    <row r="178" spans="1:4" ht="20.45">
      <c r="A178" s="84"/>
      <c r="B178" s="15"/>
      <c r="C178" s="20"/>
      <c r="D178" s="20"/>
    </row>
    <row r="179" spans="1:4" ht="20.45">
      <c r="A179" s="84"/>
      <c r="B179" s="15"/>
      <c r="C179" s="20"/>
      <c r="D179" s="20"/>
    </row>
    <row r="180" spans="1:4" ht="20.45">
      <c r="A180" s="84"/>
      <c r="B180" s="15"/>
      <c r="C180" s="20"/>
      <c r="D180" s="20"/>
    </row>
    <row r="181" spans="1:4" ht="20.45">
      <c r="A181" s="84"/>
      <c r="B181" s="15"/>
      <c r="C181" s="20"/>
      <c r="D181" s="20"/>
    </row>
    <row r="182" spans="1:4" ht="20.45">
      <c r="A182" s="84"/>
      <c r="B182" s="15"/>
      <c r="C182" s="20"/>
      <c r="D182" s="20"/>
    </row>
    <row r="183" spans="1:4" ht="20.45">
      <c r="A183" s="84"/>
      <c r="B183" s="15"/>
      <c r="C183" s="20"/>
      <c r="D183" s="20"/>
    </row>
    <row r="184" spans="1:4" ht="20.45">
      <c r="A184" s="84"/>
      <c r="B184" s="15"/>
      <c r="C184" s="20"/>
      <c r="D184" s="20"/>
    </row>
    <row r="185" spans="1:4" ht="20.45">
      <c r="A185" s="84"/>
      <c r="B185" s="15"/>
      <c r="C185" s="20"/>
      <c r="D185" s="20"/>
    </row>
    <row r="186" spans="1:4" ht="20.45">
      <c r="A186" s="84"/>
      <c r="B186" s="15"/>
      <c r="C186" s="20"/>
      <c r="D186" s="20"/>
    </row>
    <row r="187" spans="1:4" ht="20.45">
      <c r="A187" s="84"/>
      <c r="B187" s="15"/>
      <c r="C187" s="20"/>
      <c r="D187" s="20"/>
    </row>
    <row r="188" spans="1:4" ht="20.45">
      <c r="A188" s="84"/>
      <c r="B188" s="15"/>
      <c r="C188" s="20"/>
      <c r="D188" s="20"/>
    </row>
    <row r="189" spans="1:4" ht="20.45">
      <c r="A189" s="84"/>
      <c r="B189" s="15"/>
      <c r="C189" s="20"/>
      <c r="D189" s="20"/>
    </row>
    <row r="190" spans="1:4" ht="20.45">
      <c r="A190" s="84"/>
      <c r="B190" s="15"/>
      <c r="C190" s="20"/>
      <c r="D190" s="20"/>
    </row>
    <row r="191" spans="1:4" ht="20.45">
      <c r="A191" s="84"/>
      <c r="B191" s="15"/>
      <c r="C191" s="20"/>
      <c r="D191" s="20"/>
    </row>
    <row r="192" spans="1:4" ht="20.45">
      <c r="A192" s="84"/>
      <c r="B192" s="15"/>
      <c r="C192" s="20"/>
      <c r="D192" s="20"/>
    </row>
    <row r="193" spans="1:4" ht="20.45">
      <c r="A193" s="84"/>
      <c r="B193" s="15"/>
      <c r="C193" s="20"/>
      <c r="D193" s="20"/>
    </row>
    <row r="194" spans="1:4" ht="20.45">
      <c r="A194" s="84"/>
      <c r="B194" s="15"/>
      <c r="C194" s="20"/>
      <c r="D194" s="20"/>
    </row>
    <row r="195" spans="1:4" ht="20.45">
      <c r="A195" s="84"/>
      <c r="B195" s="15"/>
      <c r="C195" s="20"/>
      <c r="D195" s="20"/>
    </row>
    <row r="196" spans="1:4" ht="20.45">
      <c r="A196" s="84"/>
      <c r="B196" s="15"/>
      <c r="C196" s="20"/>
      <c r="D196" s="20"/>
    </row>
    <row r="197" spans="1:4" ht="20.45">
      <c r="A197" s="84"/>
      <c r="B197" s="15"/>
      <c r="C197" s="20"/>
      <c r="D197" s="20"/>
    </row>
    <row r="198" spans="1:4" ht="20.45">
      <c r="A198" s="84"/>
      <c r="B198" s="15"/>
      <c r="C198" s="20"/>
      <c r="D198" s="20"/>
    </row>
    <row r="199" spans="1:4" ht="20.45">
      <c r="A199" s="84"/>
      <c r="B199" s="15"/>
      <c r="C199" s="20"/>
      <c r="D199" s="20"/>
    </row>
    <row r="200" spans="1:4" ht="20.45">
      <c r="A200" s="84"/>
      <c r="B200" s="15"/>
      <c r="C200" s="20"/>
      <c r="D200" s="20"/>
    </row>
    <row r="201" spans="1:4" ht="20.45">
      <c r="A201" s="84"/>
      <c r="B201" s="15"/>
      <c r="C201" s="20"/>
      <c r="D201" s="20"/>
    </row>
    <row r="202" spans="1:4" ht="20.45">
      <c r="A202" s="84"/>
      <c r="B202" s="15"/>
      <c r="C202" s="20"/>
      <c r="D202" s="20"/>
    </row>
    <row r="203" spans="1:4" ht="20.45">
      <c r="A203" s="84"/>
      <c r="B203" s="15"/>
      <c r="C203" s="20"/>
      <c r="D203" s="20"/>
    </row>
    <row r="204" spans="1:4" ht="20.45">
      <c r="A204" s="84"/>
      <c r="B204" s="15"/>
      <c r="C204" s="20"/>
      <c r="D204" s="20"/>
    </row>
    <row r="205" spans="1:4" ht="20.45">
      <c r="A205" s="84"/>
      <c r="B205" s="15"/>
      <c r="C205" s="20"/>
      <c r="D205" s="20"/>
    </row>
    <row r="206" spans="1:4" ht="20.45">
      <c r="A206" s="84"/>
      <c r="B206" s="15"/>
      <c r="C206" s="20"/>
      <c r="D206" s="20"/>
    </row>
    <row r="207" spans="1:4" ht="20.45">
      <c r="A207" s="84"/>
      <c r="B207" s="15"/>
      <c r="C207" s="20"/>
      <c r="D207" s="20"/>
    </row>
    <row r="208" spans="1:4">
      <c r="A208" s="68"/>
      <c r="B208" s="15"/>
      <c r="C208" s="15"/>
      <c r="D208" s="15"/>
    </row>
    <row r="209" spans="1:8" ht="20.45">
      <c r="A209" s="68"/>
      <c r="B209" s="16" t="s">
        <v>417</v>
      </c>
      <c r="C209" s="16" t="s">
        <v>418</v>
      </c>
      <c r="D209" s="19" t="s">
        <v>417</v>
      </c>
      <c r="E209" s="19" t="s">
        <v>418</v>
      </c>
    </row>
    <row r="210" spans="1:8" ht="21">
      <c r="A210" s="68"/>
      <c r="B210" s="17" t="s">
        <v>419</v>
      </c>
      <c r="C210" s="17" t="s">
        <v>420</v>
      </c>
      <c r="D210" t="s">
        <v>419</v>
      </c>
      <c r="F210" t="str">
        <f>IF(NOT(ISBLANK(D210)),D210,IF(NOT(ISBLANK(E210)),"     "&amp;E210,FALSE))</f>
        <v>Afectación Económica o presupuestal</v>
      </c>
      <c r="G210" t="s">
        <v>419</v>
      </c>
      <c r="H210" t="str">
        <f>IF(NOT(ISERROR(MATCH(G210,_xlfn.ANCHORARRAY(B221),0))),F223&amp;"Por favor no seleccionar los criterios de impacto",G210)</f>
        <v>❌Por favor no seleccionar los criterios de impacto</v>
      </c>
    </row>
    <row r="211" spans="1:8" ht="21">
      <c r="A211" s="68"/>
      <c r="B211" s="17" t="s">
        <v>419</v>
      </c>
      <c r="C211" s="17" t="s">
        <v>404</v>
      </c>
      <c r="E211" t="s">
        <v>420</v>
      </c>
      <c r="F211" t="str">
        <f t="shared" ref="F211:F221" si="0">IF(NOT(ISBLANK(D211)),D211,IF(NOT(ISBLANK(E211)),"     "&amp;E211,FALSE))</f>
        <v xml:space="preserve">     Afectación menor a 10 SMLMV .</v>
      </c>
    </row>
    <row r="212" spans="1:8" ht="21">
      <c r="A212" s="68"/>
      <c r="B212" s="17" t="s">
        <v>419</v>
      </c>
      <c r="C212" s="17" t="s">
        <v>407</v>
      </c>
      <c r="E212" t="s">
        <v>404</v>
      </c>
      <c r="F212" t="str">
        <f t="shared" si="0"/>
        <v xml:space="preserve">     Entre 10 y 50 SMLMV </v>
      </c>
    </row>
    <row r="213" spans="1:8" ht="21">
      <c r="A213" s="68"/>
      <c r="B213" s="17" t="s">
        <v>419</v>
      </c>
      <c r="C213" s="17" t="s">
        <v>410</v>
      </c>
      <c r="E213" t="s">
        <v>407</v>
      </c>
      <c r="F213" t="str">
        <f t="shared" si="0"/>
        <v xml:space="preserve">     Entre 50 y 100 SMLMV </v>
      </c>
    </row>
    <row r="214" spans="1:8" ht="21">
      <c r="A214" s="68"/>
      <c r="B214" s="17" t="s">
        <v>419</v>
      </c>
      <c r="C214" s="17" t="s">
        <v>413</v>
      </c>
      <c r="E214" t="s">
        <v>410</v>
      </c>
      <c r="F214" t="str">
        <f t="shared" si="0"/>
        <v xml:space="preserve">     Entre 100 y 500 SMLMV </v>
      </c>
    </row>
    <row r="215" spans="1:8" ht="21">
      <c r="A215" s="68"/>
      <c r="B215" s="17" t="s">
        <v>398</v>
      </c>
      <c r="C215" s="17" t="s">
        <v>402</v>
      </c>
      <c r="E215" t="s">
        <v>413</v>
      </c>
      <c r="F215" t="str">
        <f t="shared" si="0"/>
        <v xml:space="preserve">     Mayor a 500 SMLMV </v>
      </c>
    </row>
    <row r="216" spans="1:8" ht="21">
      <c r="A216" s="68"/>
      <c r="B216" s="17" t="s">
        <v>398</v>
      </c>
      <c r="C216" s="17" t="s">
        <v>405</v>
      </c>
      <c r="D216" t="s">
        <v>398</v>
      </c>
      <c r="F216" t="str">
        <f t="shared" si="0"/>
        <v>Pérdida Reputacional</v>
      </c>
    </row>
    <row r="217" spans="1:8" ht="21">
      <c r="A217" s="68"/>
      <c r="B217" s="17" t="s">
        <v>398</v>
      </c>
      <c r="C217" s="17" t="s">
        <v>408</v>
      </c>
      <c r="E217" t="s">
        <v>402</v>
      </c>
      <c r="F217" t="str">
        <f t="shared" si="0"/>
        <v xml:space="preserve">     El riesgo afecta la imagen de alguna área de la organización</v>
      </c>
    </row>
    <row r="218" spans="1:8" ht="21">
      <c r="A218" s="68"/>
      <c r="B218" s="17" t="s">
        <v>398</v>
      </c>
      <c r="C218" s="17" t="s">
        <v>421</v>
      </c>
      <c r="E218" t="s">
        <v>405</v>
      </c>
      <c r="F218" t="str">
        <f t="shared" si="0"/>
        <v xml:space="preserve">     El riesgo afecta la imagen de la entidad internamente, de conocimiento general, nivel interno, de junta dircetiva y accionistas y/o de provedores</v>
      </c>
    </row>
    <row r="219" spans="1:8" ht="21">
      <c r="A219" s="68"/>
      <c r="B219" s="17" t="s">
        <v>398</v>
      </c>
      <c r="C219" s="17" t="s">
        <v>414</v>
      </c>
      <c r="E219" t="s">
        <v>408</v>
      </c>
      <c r="F219" t="str">
        <f t="shared" si="0"/>
        <v xml:space="preserve">     El riesgo afecta la imagen de la entidad con algunos usuarios de relevancia frente al logro de los objetivos</v>
      </c>
    </row>
    <row r="220" spans="1:8">
      <c r="A220" s="68"/>
      <c r="B220" s="18"/>
      <c r="C220" s="18"/>
      <c r="E220" t="s">
        <v>421</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414</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422</v>
      </c>
    </row>
    <row r="224" spans="1:8">
      <c r="B224" s="14"/>
      <c r="C224" s="14"/>
      <c r="F224" s="21" t="s">
        <v>423</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defaultColWidth="14.28515625" defaultRowHeight="13.9"/>
  <cols>
    <col min="1" max="2" width="14.28515625" style="73"/>
    <col min="3" max="3" width="17" style="73" customWidth="1"/>
    <col min="4" max="4" width="14.28515625" style="73"/>
    <col min="5" max="5" width="46" style="73" customWidth="1"/>
    <col min="6" max="16384" width="14.28515625" style="73"/>
  </cols>
  <sheetData>
    <row r="1" spans="2:6" ht="24" customHeight="1" thickBot="1">
      <c r="B1" s="645" t="s">
        <v>424</v>
      </c>
      <c r="C1" s="646"/>
      <c r="D1" s="646"/>
      <c r="E1" s="646"/>
      <c r="F1" s="647"/>
    </row>
    <row r="2" spans="2:6" ht="16.149999999999999" thickBot="1">
      <c r="B2" s="74"/>
      <c r="C2" s="74"/>
      <c r="D2" s="74"/>
      <c r="E2" s="74"/>
      <c r="F2" s="74"/>
    </row>
    <row r="3" spans="2:6" ht="16.149999999999999" thickBot="1">
      <c r="B3" s="649" t="s">
        <v>425</v>
      </c>
      <c r="C3" s="650"/>
      <c r="D3" s="650"/>
      <c r="E3" s="169" t="s">
        <v>426</v>
      </c>
      <c r="F3" s="83" t="s">
        <v>427</v>
      </c>
    </row>
    <row r="4" spans="2:6" ht="31.15">
      <c r="B4" s="651" t="s">
        <v>428</v>
      </c>
      <c r="C4" s="653" t="s">
        <v>102</v>
      </c>
      <c r="D4" s="170" t="s">
        <v>119</v>
      </c>
      <c r="E4" s="75" t="s">
        <v>429</v>
      </c>
      <c r="F4" s="76">
        <v>0.25</v>
      </c>
    </row>
    <row r="5" spans="2:6" ht="46.9">
      <c r="B5" s="652"/>
      <c r="C5" s="654"/>
      <c r="D5" s="171" t="s">
        <v>198</v>
      </c>
      <c r="E5" s="77" t="s">
        <v>430</v>
      </c>
      <c r="F5" s="78">
        <v>0.15</v>
      </c>
    </row>
    <row r="6" spans="2:6" ht="46.9">
      <c r="B6" s="652"/>
      <c r="C6" s="654"/>
      <c r="D6" s="171" t="s">
        <v>211</v>
      </c>
      <c r="E6" s="77" t="s">
        <v>431</v>
      </c>
      <c r="F6" s="78">
        <v>0.1</v>
      </c>
    </row>
    <row r="7" spans="2:6" ht="62.45">
      <c r="B7" s="652"/>
      <c r="C7" s="654" t="s">
        <v>103</v>
      </c>
      <c r="D7" s="171" t="s">
        <v>189</v>
      </c>
      <c r="E7" s="77" t="s">
        <v>432</v>
      </c>
      <c r="F7" s="78">
        <v>0.25</v>
      </c>
    </row>
    <row r="8" spans="2:6" ht="31.15">
      <c r="B8" s="652"/>
      <c r="C8" s="654"/>
      <c r="D8" s="171" t="s">
        <v>120</v>
      </c>
      <c r="E8" s="77" t="s">
        <v>433</v>
      </c>
      <c r="F8" s="78">
        <v>0.15</v>
      </c>
    </row>
    <row r="9" spans="2:6" ht="46.9">
      <c r="B9" s="652" t="s">
        <v>434</v>
      </c>
      <c r="C9" s="654" t="s">
        <v>55</v>
      </c>
      <c r="D9" s="171" t="s">
        <v>121</v>
      </c>
      <c r="E9" s="77" t="s">
        <v>435</v>
      </c>
      <c r="F9" s="79" t="s">
        <v>436</v>
      </c>
    </row>
    <row r="10" spans="2:6" ht="46.9">
      <c r="B10" s="652"/>
      <c r="C10" s="654"/>
      <c r="D10" s="171" t="s">
        <v>199</v>
      </c>
      <c r="E10" s="77" t="s">
        <v>437</v>
      </c>
      <c r="F10" s="79" t="s">
        <v>436</v>
      </c>
    </row>
    <row r="11" spans="2:6" ht="46.9">
      <c r="B11" s="652"/>
      <c r="C11" s="654" t="s">
        <v>105</v>
      </c>
      <c r="D11" s="171" t="s">
        <v>122</v>
      </c>
      <c r="E11" s="77" t="s">
        <v>438</v>
      </c>
      <c r="F11" s="79" t="s">
        <v>436</v>
      </c>
    </row>
    <row r="12" spans="2:6" ht="46.9">
      <c r="B12" s="652"/>
      <c r="C12" s="654"/>
      <c r="D12" s="171" t="s">
        <v>200</v>
      </c>
      <c r="E12" s="77" t="s">
        <v>439</v>
      </c>
      <c r="F12" s="79" t="s">
        <v>436</v>
      </c>
    </row>
    <row r="13" spans="2:6" ht="31.15">
      <c r="B13" s="652"/>
      <c r="C13" s="654" t="s">
        <v>106</v>
      </c>
      <c r="D13" s="171" t="s">
        <v>123</v>
      </c>
      <c r="E13" s="77" t="s">
        <v>440</v>
      </c>
      <c r="F13" s="79" t="s">
        <v>436</v>
      </c>
    </row>
    <row r="14" spans="2:6" ht="16.149999999999999" thickBot="1">
      <c r="B14" s="655"/>
      <c r="C14" s="656"/>
      <c r="D14" s="172" t="s">
        <v>441</v>
      </c>
      <c r="E14" s="80" t="s">
        <v>442</v>
      </c>
      <c r="F14" s="81" t="s">
        <v>436</v>
      </c>
    </row>
    <row r="15" spans="2:6" ht="49.5" customHeight="1">
      <c r="B15" s="648" t="s">
        <v>443</v>
      </c>
      <c r="C15" s="648"/>
      <c r="D15" s="648"/>
      <c r="E15" s="648"/>
      <c r="F15" s="648"/>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E27" sqref="E27"/>
    </sheetView>
  </sheetViews>
  <sheetFormatPr defaultColWidth="11.42578125" defaultRowHeight="14.45"/>
  <cols>
    <col min="1" max="1" width="17.42578125" customWidth="1"/>
    <col min="2" max="2" width="9.7109375" customWidth="1"/>
    <col min="4" max="4" width="72.28515625" customWidth="1"/>
    <col min="5" max="6" width="11" customWidth="1"/>
    <col min="7" max="7" width="11.42578125" style="132"/>
    <col min="8" max="8" width="11.42578125" style="15"/>
  </cols>
  <sheetData>
    <row r="1" spans="1:8" ht="15" thickBot="1"/>
    <row r="2" spans="1:8" ht="19.5" customHeight="1">
      <c r="B2" s="349" t="s">
        <v>0</v>
      </c>
      <c r="C2" s="350"/>
      <c r="D2" s="366" t="s">
        <v>7</v>
      </c>
      <c r="E2" s="382" t="s">
        <v>8</v>
      </c>
      <c r="F2" s="356"/>
    </row>
    <row r="3" spans="1:8" ht="19.5" customHeight="1">
      <c r="B3" s="351"/>
      <c r="C3" s="352"/>
      <c r="D3" s="367"/>
      <c r="E3" s="383" t="s">
        <v>3</v>
      </c>
      <c r="F3" s="358"/>
    </row>
    <row r="4" spans="1:8" ht="19.5" customHeight="1">
      <c r="B4" s="351"/>
      <c r="C4" s="352"/>
      <c r="D4" s="367"/>
      <c r="E4" s="383" t="s">
        <v>4</v>
      </c>
      <c r="F4" s="358"/>
    </row>
    <row r="5" spans="1:8" ht="19.5" customHeight="1" thickBot="1">
      <c r="A5" t="s">
        <v>9</v>
      </c>
      <c r="B5" s="353"/>
      <c r="C5" s="354"/>
      <c r="D5" s="368"/>
      <c r="E5" s="384" t="s">
        <v>5</v>
      </c>
      <c r="F5" s="360"/>
    </row>
    <row r="6" spans="1:8" ht="15" thickBot="1"/>
    <row r="7" spans="1:8">
      <c r="B7" s="369" t="s">
        <v>10</v>
      </c>
      <c r="C7" s="372" t="s">
        <v>11</v>
      </c>
      <c r="D7" s="373"/>
      <c r="E7" s="378" t="s">
        <v>12</v>
      </c>
      <c r="F7" s="379"/>
    </row>
    <row r="8" spans="1:8" ht="15" thickBot="1">
      <c r="B8" s="370"/>
      <c r="C8" s="374"/>
      <c r="D8" s="375"/>
      <c r="E8" s="380"/>
      <c r="F8" s="381"/>
      <c r="H8" s="142"/>
    </row>
    <row r="9" spans="1:8" ht="15" thickBot="1">
      <c r="B9" s="371"/>
      <c r="C9" s="376" t="s">
        <v>13</v>
      </c>
      <c r="D9" s="377"/>
      <c r="E9" s="139" t="s">
        <v>14</v>
      </c>
      <c r="F9" s="139" t="s">
        <v>15</v>
      </c>
      <c r="H9" s="142"/>
    </row>
    <row r="10" spans="1:8" ht="15" thickBot="1">
      <c r="B10" s="138">
        <v>1</v>
      </c>
      <c r="C10" s="364" t="s">
        <v>16</v>
      </c>
      <c r="D10" s="365"/>
      <c r="E10" s="134" t="s">
        <v>17</v>
      </c>
      <c r="F10" s="135"/>
      <c r="H10" s="142"/>
    </row>
    <row r="11" spans="1:8" ht="15" thickBot="1">
      <c r="B11" s="138">
        <v>2</v>
      </c>
      <c r="C11" s="364" t="s">
        <v>18</v>
      </c>
      <c r="D11" s="365" t="s">
        <v>18</v>
      </c>
      <c r="E11" s="134" t="s">
        <v>17</v>
      </c>
      <c r="F11" s="135"/>
      <c r="H11" s="143"/>
    </row>
    <row r="12" spans="1:8" ht="15" thickBot="1">
      <c r="B12" s="138">
        <v>3</v>
      </c>
      <c r="C12" s="364" t="s">
        <v>19</v>
      </c>
      <c r="D12" s="365" t="s">
        <v>19</v>
      </c>
      <c r="E12" s="134"/>
      <c r="F12" s="135" t="s">
        <v>17</v>
      </c>
    </row>
    <row r="13" spans="1:8" ht="15" thickBot="1">
      <c r="B13" s="138">
        <v>4</v>
      </c>
      <c r="C13" s="364" t="s">
        <v>20</v>
      </c>
      <c r="D13" s="365" t="s">
        <v>21</v>
      </c>
      <c r="E13" s="134"/>
      <c r="F13" s="135"/>
    </row>
    <row r="14" spans="1:8" ht="15" thickBot="1">
      <c r="B14" s="138">
        <v>5</v>
      </c>
      <c r="C14" s="364" t="s">
        <v>22</v>
      </c>
      <c r="D14" s="365" t="s">
        <v>22</v>
      </c>
      <c r="E14" s="134" t="s">
        <v>17</v>
      </c>
      <c r="F14" s="135"/>
    </row>
    <row r="15" spans="1:8" ht="15" thickBot="1">
      <c r="B15" s="138">
        <v>6</v>
      </c>
      <c r="C15" s="364" t="s">
        <v>23</v>
      </c>
      <c r="D15" s="365" t="s">
        <v>23</v>
      </c>
      <c r="E15" s="134"/>
      <c r="F15" s="135"/>
    </row>
    <row r="16" spans="1:8" ht="15" thickBot="1">
      <c r="B16" s="138">
        <v>7</v>
      </c>
      <c r="C16" s="364" t="s">
        <v>24</v>
      </c>
      <c r="D16" s="365" t="s">
        <v>24</v>
      </c>
      <c r="E16" s="134" t="s">
        <v>17</v>
      </c>
      <c r="F16" s="135"/>
    </row>
    <row r="17" spans="1:7" ht="28.5" customHeight="1" thickBot="1">
      <c r="B17" s="138">
        <v>8</v>
      </c>
      <c r="C17" s="364" t="s">
        <v>25</v>
      </c>
      <c r="D17" s="365" t="s">
        <v>25</v>
      </c>
      <c r="E17" s="134"/>
      <c r="F17" s="135"/>
    </row>
    <row r="18" spans="1:7" ht="18.75" customHeight="1" thickBot="1">
      <c r="B18" s="138">
        <v>9</v>
      </c>
      <c r="C18" s="364" t="s">
        <v>26</v>
      </c>
      <c r="D18" s="365" t="s">
        <v>26</v>
      </c>
      <c r="E18" s="134"/>
      <c r="F18" s="135"/>
    </row>
    <row r="19" spans="1:7" ht="15" thickBot="1">
      <c r="B19" s="138">
        <v>10</v>
      </c>
      <c r="C19" s="364" t="s">
        <v>27</v>
      </c>
      <c r="D19" s="365" t="s">
        <v>27</v>
      </c>
      <c r="E19" s="134"/>
      <c r="F19" s="135"/>
    </row>
    <row r="20" spans="1:7" ht="15" thickBot="1">
      <c r="B20" s="138">
        <v>11</v>
      </c>
      <c r="C20" s="364" t="s">
        <v>28</v>
      </c>
      <c r="D20" s="365" t="s">
        <v>28</v>
      </c>
      <c r="E20" s="134"/>
      <c r="F20" s="135"/>
    </row>
    <row r="21" spans="1:7" ht="15" thickBot="1">
      <c r="B21" s="138">
        <v>12</v>
      </c>
      <c r="C21" s="364" t="s">
        <v>29</v>
      </c>
      <c r="D21" s="365" t="s">
        <v>29</v>
      </c>
      <c r="E21" s="134"/>
      <c r="F21" s="135"/>
    </row>
    <row r="22" spans="1:7" ht="15" thickBot="1">
      <c r="B22" s="138">
        <v>13</v>
      </c>
      <c r="C22" s="364" t="s">
        <v>30</v>
      </c>
      <c r="D22" s="365" t="s">
        <v>30</v>
      </c>
      <c r="E22" s="134"/>
      <c r="F22" s="135"/>
    </row>
    <row r="23" spans="1:7" ht="15" thickBot="1">
      <c r="B23" s="138">
        <v>14</v>
      </c>
      <c r="C23" s="364" t="s">
        <v>31</v>
      </c>
      <c r="D23" s="365" t="s">
        <v>31</v>
      </c>
      <c r="E23" s="134"/>
      <c r="F23" s="135"/>
    </row>
    <row r="24" spans="1:7" ht="15" thickBot="1">
      <c r="B24" s="138">
        <v>15</v>
      </c>
      <c r="C24" s="364" t="s">
        <v>32</v>
      </c>
      <c r="D24" s="365" t="s">
        <v>32</v>
      </c>
      <c r="E24" s="134" t="s">
        <v>17</v>
      </c>
      <c r="F24" s="135"/>
    </row>
    <row r="25" spans="1:7" ht="15" thickBot="1">
      <c r="B25" s="138">
        <v>16</v>
      </c>
      <c r="C25" s="364" t="s">
        <v>33</v>
      </c>
      <c r="D25" s="365" t="s">
        <v>33</v>
      </c>
      <c r="E25" s="134"/>
      <c r="F25" s="135"/>
    </row>
    <row r="26" spans="1:7" ht="15" thickBot="1">
      <c r="B26" s="138">
        <v>17</v>
      </c>
      <c r="C26" s="364" t="s">
        <v>34</v>
      </c>
      <c r="D26" s="365" t="s">
        <v>34</v>
      </c>
      <c r="E26" s="134"/>
      <c r="F26" s="135"/>
    </row>
    <row r="27" spans="1:7" ht="15" thickBot="1">
      <c r="B27" s="138">
        <v>18</v>
      </c>
      <c r="C27" s="364" t="s">
        <v>35</v>
      </c>
      <c r="D27" s="365" t="s">
        <v>35</v>
      </c>
      <c r="E27" s="134"/>
      <c r="F27" s="135"/>
    </row>
    <row r="28" spans="1:7" ht="15" thickBot="1">
      <c r="B28" s="138">
        <v>19</v>
      </c>
      <c r="C28" s="364" t="s">
        <v>36</v>
      </c>
      <c r="D28" s="365" t="s">
        <v>36</v>
      </c>
      <c r="E28" s="134"/>
      <c r="F28" s="135"/>
    </row>
    <row r="29" spans="1:7">
      <c r="C29" s="133"/>
      <c r="D29" s="133"/>
      <c r="E29" s="141">
        <f>COUNTIF(E10:E28,"x")</f>
        <v>5</v>
      </c>
      <c r="F29" s="141">
        <f>COUNTIF(F10:F28,"x")</f>
        <v>1</v>
      </c>
      <c r="G29" s="140" t="str">
        <f>IF(E29=0,"",IF(E29&lt;=5,"Moderado",IF(E29&lt;=11,"Mayor",IF(E29&lt;=19,"Catastrófico",""))))</f>
        <v>Moderado</v>
      </c>
    </row>
    <row r="30" spans="1:7">
      <c r="C30" s="131"/>
      <c r="D30" s="131"/>
      <c r="E30" s="131"/>
      <c r="F30" s="131"/>
    </row>
    <row r="31" spans="1:7" ht="66" customHeight="1">
      <c r="A31" s="361" t="s">
        <v>37</v>
      </c>
      <c r="B31" s="362"/>
      <c r="C31" s="362"/>
      <c r="D31" s="362"/>
      <c r="E31" s="362"/>
      <c r="F31" s="363"/>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25" priority="1" stopIfTrue="1" operator="equal">
      <formula>"Catastrófico"</formula>
    </cfRule>
    <cfRule type="cellIs" dxfId="24" priority="2" stopIfTrue="1" operator="equal">
      <formula>"Moderado"</formula>
    </cfRule>
    <cfRule type="cellIs" dxfId="23"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defaultColWidth="8.7109375" defaultRowHeight="14.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defaultColWidth="8.7109375" defaultRowHeight="14.4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defaultColWidth="11.42578125" defaultRowHeight="14.45"/>
  <sheetData>
    <row r="2" spans="2:5">
      <c r="B2" t="s">
        <v>191</v>
      </c>
      <c r="E2" t="s">
        <v>108</v>
      </c>
    </row>
    <row r="3" spans="2:5">
      <c r="B3" t="s">
        <v>202</v>
      </c>
      <c r="E3" t="s">
        <v>195</v>
      </c>
    </row>
    <row r="4" spans="2:5">
      <c r="B4" t="s">
        <v>221</v>
      </c>
      <c r="E4" t="s">
        <v>205</v>
      </c>
    </row>
    <row r="5" spans="2:5">
      <c r="B5" t="s">
        <v>125</v>
      </c>
    </row>
    <row r="8" spans="2:5">
      <c r="B8" t="s">
        <v>183</v>
      </c>
    </row>
    <row r="9" spans="2:5">
      <c r="B9" t="s">
        <v>192</v>
      </c>
    </row>
    <row r="10" spans="2:5">
      <c r="B10" t="s">
        <v>203</v>
      </c>
    </row>
    <row r="13" spans="2:5">
      <c r="B13" t="s">
        <v>186</v>
      </c>
    </row>
    <row r="14" spans="2:5">
      <c r="B14" t="s">
        <v>113</v>
      </c>
    </row>
    <row r="15" spans="2:5">
      <c r="B15" t="s">
        <v>208</v>
      </c>
    </row>
    <row r="16" spans="2:5">
      <c r="B16" t="s">
        <v>215</v>
      </c>
    </row>
    <row r="17" spans="2:2">
      <c r="B17" t="s">
        <v>219</v>
      </c>
    </row>
    <row r="18" spans="2:2">
      <c r="B18" t="s">
        <v>223</v>
      </c>
    </row>
    <row r="19" spans="2:2">
      <c r="B19" t="s">
        <v>225</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defaultColWidth="11.42578125" defaultRowHeight="13.9"/>
  <cols>
    <col min="1" max="1" width="32.7109375" style="1" customWidth="1"/>
    <col min="2" max="16384" width="11.42578125" style="1"/>
  </cols>
  <sheetData>
    <row r="3" spans="1:1">
      <c r="A3" s="2" t="s">
        <v>119</v>
      </c>
    </row>
    <row r="4" spans="1:1">
      <c r="A4" s="2" t="s">
        <v>198</v>
      </c>
    </row>
    <row r="5" spans="1:1">
      <c r="A5" s="2" t="s">
        <v>211</v>
      </c>
    </row>
    <row r="6" spans="1:1">
      <c r="A6" s="2" t="s">
        <v>189</v>
      </c>
    </row>
    <row r="7" spans="1:1">
      <c r="A7" s="2" t="s">
        <v>120</v>
      </c>
    </row>
    <row r="8" spans="1:1">
      <c r="A8" s="2" t="s">
        <v>121</v>
      </c>
    </row>
    <row r="9" spans="1:1">
      <c r="A9" s="2" t="s">
        <v>199</v>
      </c>
    </row>
    <row r="10" spans="1:1">
      <c r="A10" s="2" t="s">
        <v>122</v>
      </c>
    </row>
    <row r="11" spans="1:1">
      <c r="A11" s="2" t="s">
        <v>200</v>
      </c>
    </row>
    <row r="12" spans="1:1">
      <c r="A12" s="2" t="s">
        <v>190</v>
      </c>
    </row>
    <row r="13" spans="1:1">
      <c r="A13" s="2" t="s">
        <v>201</v>
      </c>
    </row>
    <row r="14" spans="1:1">
      <c r="A14" s="2" t="s">
        <v>212</v>
      </c>
    </row>
    <row r="16" spans="1:1">
      <c r="A16" s="2" t="s">
        <v>213</v>
      </c>
    </row>
    <row r="17" spans="1:1">
      <c r="A17" s="2" t="s">
        <v>191</v>
      </c>
    </row>
    <row r="18" spans="1:1">
      <c r="A18" s="2" t="s">
        <v>202</v>
      </c>
    </row>
    <row r="20" spans="1:1">
      <c r="A20" s="2" t="s">
        <v>192</v>
      </c>
    </row>
    <row r="21" spans="1:1">
      <c r="A21" s="2" t="s">
        <v>203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37"/>
  <sheetViews>
    <sheetView tabSelected="1" topLeftCell="B1" zoomScale="55" zoomScaleNormal="55" workbookViewId="0">
      <selection activeCell="J19" sqref="J19:J20"/>
    </sheetView>
  </sheetViews>
  <sheetFormatPr defaultColWidth="11.42578125" defaultRowHeight="13.15"/>
  <cols>
    <col min="1" max="1" width="7.85546875" style="181" hidden="1" customWidth="1"/>
    <col min="2" max="2" width="4.5703125" style="181" customWidth="1"/>
    <col min="3" max="3" width="6.28515625" style="181" customWidth="1"/>
    <col min="4" max="4" width="4.7109375" style="178" customWidth="1"/>
    <col min="5" max="5" width="21" style="178" customWidth="1"/>
    <col min="6" max="7" width="20.7109375" style="178" customWidth="1"/>
    <col min="8" max="8" width="18.28515625" style="178" customWidth="1"/>
    <col min="9" max="9" width="58.28515625" style="178" customWidth="1"/>
    <col min="10" max="10" width="54.7109375" style="178" customWidth="1"/>
    <col min="11" max="11" width="81.85546875" style="181" customWidth="1"/>
    <col min="12" max="12" width="25.5703125" style="182" customWidth="1"/>
    <col min="13" max="13" width="31.85546875" style="182" customWidth="1"/>
    <col min="14" max="14" width="23.85546875" style="182" customWidth="1"/>
    <col min="15" max="15" width="13.5703125" style="181" customWidth="1"/>
    <col min="16" max="16" width="16.42578125" style="181" customWidth="1"/>
    <col min="17" max="17" width="8.85546875" style="181" customWidth="1"/>
    <col min="18" max="18" width="21.28515625" style="181" customWidth="1"/>
    <col min="19" max="19" width="17.42578125" style="181" customWidth="1"/>
    <col min="20" max="20" width="10.5703125" style="181" customWidth="1"/>
    <col min="21" max="21" width="16" style="181" customWidth="1"/>
    <col min="22" max="22" width="5.7109375" style="181" customWidth="1"/>
    <col min="23" max="23" width="63.42578125" style="181" customWidth="1"/>
    <col min="24" max="24" width="36.7109375" style="181" customWidth="1"/>
    <col min="25" max="25" width="15.28515625" style="181" customWidth="1"/>
    <col min="26" max="26" width="6.7109375" style="181" customWidth="1"/>
    <col min="27" max="27" width="5" style="181" customWidth="1"/>
    <col min="28" max="28" width="5.42578125" style="181" customWidth="1"/>
    <col min="29" max="29" width="7.28515625" style="181" customWidth="1"/>
    <col min="30" max="30" width="6.7109375" style="181" customWidth="1"/>
    <col min="31" max="31" width="8.28515625" style="181" customWidth="1"/>
    <col min="32" max="32" width="16.5703125" style="181" customWidth="1"/>
    <col min="33" max="33" width="13.7109375" style="181" customWidth="1"/>
    <col min="34" max="38" width="16.140625" style="181" customWidth="1"/>
    <col min="39" max="40" width="7.28515625" style="181" customWidth="1"/>
    <col min="41" max="41" width="46.5703125" style="181" customWidth="1"/>
    <col min="42" max="42" width="24.28515625" style="181" customWidth="1"/>
    <col min="43" max="43" width="23.140625" style="181" customWidth="1"/>
    <col min="44" max="46" width="19.7109375" style="181" customWidth="1"/>
    <col min="47" max="47" width="35.5703125" style="181" customWidth="1"/>
    <col min="48" max="50" width="34.7109375" style="181" customWidth="1"/>
    <col min="51" max="51" width="29" style="181" customWidth="1"/>
    <col min="52" max="52" width="23.28515625" style="181" customWidth="1"/>
    <col min="53" max="53" width="68.42578125" style="181" customWidth="1"/>
    <col min="54" max="54" width="31.42578125" style="181" customWidth="1"/>
    <col min="55" max="55" width="30.5703125" style="181" customWidth="1"/>
    <col min="56" max="56" width="53" style="181" customWidth="1"/>
    <col min="57" max="59" width="0" style="181" hidden="1" customWidth="1"/>
    <col min="60" max="61" width="11.42578125" style="181" hidden="1" customWidth="1"/>
    <col min="62" max="63" width="0" style="181" hidden="1" customWidth="1"/>
    <col min="64" max="16384" width="11.42578125" style="181"/>
  </cols>
  <sheetData>
    <row r="1" spans="1:82" ht="13.9" thickBot="1"/>
    <row r="2" spans="1:82" ht="27.75" customHeight="1">
      <c r="D2" s="285" t="s">
        <v>38</v>
      </c>
      <c r="E2" s="286"/>
      <c r="F2" s="286"/>
      <c r="G2" s="286"/>
      <c r="H2" s="287"/>
      <c r="I2" s="294" t="s">
        <v>39</v>
      </c>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173" t="s">
        <v>8</v>
      </c>
    </row>
    <row r="3" spans="1:82" ht="27.75" customHeight="1">
      <c r="D3" s="288"/>
      <c r="E3" s="289"/>
      <c r="F3" s="289"/>
      <c r="G3" s="289"/>
      <c r="H3" s="290"/>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94"/>
      <c r="BB3" s="294"/>
      <c r="BC3" s="294"/>
      <c r="BD3" s="177" t="s">
        <v>40</v>
      </c>
    </row>
    <row r="4" spans="1:82" ht="27.75" customHeight="1">
      <c r="D4" s="288"/>
      <c r="E4" s="289"/>
      <c r="F4" s="289"/>
      <c r="G4" s="289"/>
      <c r="H4" s="290"/>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K4" s="294"/>
      <c r="AL4" s="294"/>
      <c r="AM4" s="294"/>
      <c r="AN4" s="294"/>
      <c r="AO4" s="294"/>
      <c r="AP4" s="294"/>
      <c r="AQ4" s="294"/>
      <c r="AR4" s="294"/>
      <c r="AS4" s="294"/>
      <c r="AT4" s="294"/>
      <c r="AU4" s="294"/>
      <c r="AV4" s="294"/>
      <c r="AW4" s="294"/>
      <c r="AX4" s="294"/>
      <c r="AY4" s="294"/>
      <c r="AZ4" s="294"/>
      <c r="BA4" s="294"/>
      <c r="BB4" s="294"/>
      <c r="BC4" s="294"/>
      <c r="BD4" s="174" t="s">
        <v>4</v>
      </c>
    </row>
    <row r="5" spans="1:82" ht="27.75" customHeight="1" thickBot="1">
      <c r="D5" s="291"/>
      <c r="E5" s="292"/>
      <c r="F5" s="292"/>
      <c r="G5" s="292"/>
      <c r="H5" s="293"/>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174" t="s">
        <v>41</v>
      </c>
    </row>
    <row r="6" spans="1:82" ht="13.9" customHeight="1">
      <c r="D6" s="183"/>
      <c r="E6" s="184"/>
      <c r="F6" s="184"/>
      <c r="G6" s="184"/>
      <c r="H6" s="184"/>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c r="AZ6" s="185"/>
      <c r="BA6" s="185"/>
      <c r="BB6" s="185"/>
      <c r="BC6" s="185"/>
      <c r="BD6" s="109"/>
    </row>
    <row r="7" spans="1:82" ht="26.25" customHeight="1">
      <c r="D7" s="303" t="s">
        <v>42</v>
      </c>
      <c r="E7" s="304"/>
      <c r="F7" s="304"/>
      <c r="G7" s="305"/>
      <c r="H7" s="295" t="s">
        <v>43</v>
      </c>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row>
    <row r="8" spans="1:82" ht="78" customHeight="1">
      <c r="D8" s="303" t="s">
        <v>44</v>
      </c>
      <c r="E8" s="304"/>
      <c r="F8" s="304"/>
      <c r="G8" s="305"/>
      <c r="H8" s="295" t="s">
        <v>45</v>
      </c>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row>
    <row r="9" spans="1:82" ht="66.599999999999994" customHeight="1">
      <c r="D9" s="303" t="s">
        <v>46</v>
      </c>
      <c r="E9" s="304"/>
      <c r="F9" s="304"/>
      <c r="G9" s="305"/>
      <c r="H9" s="295" t="s">
        <v>47</v>
      </c>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row>
    <row r="10" spans="1:82" s="187" customFormat="1" ht="24" customHeight="1">
      <c r="D10" s="188"/>
      <c r="E10" s="189"/>
      <c r="F10" s="190"/>
      <c r="G10" s="190"/>
      <c r="H10" s="188"/>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2"/>
      <c r="AT10" s="192"/>
      <c r="AU10" s="192"/>
      <c r="AV10" s="192"/>
      <c r="AW10" s="192"/>
      <c r="AX10" s="192"/>
      <c r="AY10" s="192"/>
      <c r="AZ10" s="193"/>
      <c r="BA10" s="193"/>
      <c r="BB10" s="193"/>
      <c r="BC10" s="193"/>
      <c r="BD10" s="193"/>
    </row>
    <row r="11" spans="1:82" s="187" customFormat="1" ht="25.5" customHeight="1">
      <c r="A11" s="336" t="s">
        <v>9</v>
      </c>
      <c r="B11" s="336"/>
      <c r="C11" s="337"/>
      <c r="D11" s="306" t="s">
        <v>48</v>
      </c>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11"/>
      <c r="AS11" s="308" t="s">
        <v>49</v>
      </c>
      <c r="AT11" s="308"/>
      <c r="AU11" s="308"/>
      <c r="AV11" s="308"/>
      <c r="AW11" s="308"/>
      <c r="AX11" s="308"/>
      <c r="AY11" s="308"/>
      <c r="AZ11" s="323" t="s">
        <v>50</v>
      </c>
      <c r="BA11" s="324"/>
      <c r="BB11" s="324"/>
      <c r="BC11" s="325" t="s">
        <v>51</v>
      </c>
      <c r="BD11" s="326"/>
    </row>
    <row r="12" spans="1:82" ht="27" customHeight="1">
      <c r="D12" s="301" t="s">
        <v>52</v>
      </c>
      <c r="E12" s="301"/>
      <c r="F12" s="301"/>
      <c r="G12" s="301"/>
      <c r="H12" s="301"/>
      <c r="I12" s="302"/>
      <c r="J12" s="302"/>
      <c r="K12" s="302"/>
      <c r="L12" s="302"/>
      <c r="M12" s="302"/>
      <c r="N12" s="302"/>
      <c r="O12" s="302"/>
      <c r="P12" s="302" t="s">
        <v>53</v>
      </c>
      <c r="Q12" s="302"/>
      <c r="R12" s="302"/>
      <c r="S12" s="302"/>
      <c r="T12" s="302"/>
      <c r="U12" s="302"/>
      <c r="V12" s="302" t="s">
        <v>54</v>
      </c>
      <c r="W12" s="302"/>
      <c r="X12" s="302"/>
      <c r="Y12" s="302"/>
      <c r="Z12" s="302"/>
      <c r="AA12" s="302"/>
      <c r="AB12" s="302"/>
      <c r="AC12" s="302"/>
      <c r="AD12" s="302"/>
      <c r="AE12" s="302"/>
      <c r="AF12" s="333" t="s">
        <v>55</v>
      </c>
      <c r="AG12" s="302" t="s">
        <v>56</v>
      </c>
      <c r="AH12" s="302"/>
      <c r="AI12" s="302"/>
      <c r="AJ12" s="302"/>
      <c r="AK12" s="302"/>
      <c r="AL12" s="302"/>
      <c r="AM12" s="302"/>
      <c r="AN12" s="194"/>
      <c r="AO12" s="306" t="s">
        <v>57</v>
      </c>
      <c r="AP12" s="307"/>
      <c r="AQ12" s="307"/>
      <c r="AR12" s="307"/>
      <c r="AS12" s="308"/>
      <c r="AT12" s="308"/>
      <c r="AU12" s="308"/>
      <c r="AV12" s="308"/>
      <c r="AW12" s="308"/>
      <c r="AX12" s="308"/>
      <c r="AY12" s="308"/>
      <c r="AZ12" s="323"/>
      <c r="BA12" s="324"/>
      <c r="BB12" s="324"/>
      <c r="BC12" s="327"/>
      <c r="BD12" s="328"/>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row>
    <row r="13" spans="1:82" ht="45.75" customHeight="1">
      <c r="D13" s="322" t="s">
        <v>58</v>
      </c>
      <c r="E13" s="298" t="s">
        <v>59</v>
      </c>
      <c r="F13" s="338" t="s">
        <v>60</v>
      </c>
      <c r="G13" s="299" t="s">
        <v>61</v>
      </c>
      <c r="H13" s="301" t="s">
        <v>62</v>
      </c>
      <c r="I13" s="298" t="s">
        <v>63</v>
      </c>
      <c r="J13" s="298" t="s">
        <v>64</v>
      </c>
      <c r="K13" s="298" t="s">
        <v>65</v>
      </c>
      <c r="L13" s="299" t="s">
        <v>66</v>
      </c>
      <c r="M13" s="331" t="s">
        <v>67</v>
      </c>
      <c r="N13" s="332"/>
      <c r="O13" s="298" t="s">
        <v>68</v>
      </c>
      <c r="P13" s="298" t="s">
        <v>69</v>
      </c>
      <c r="Q13" s="301" t="s">
        <v>70</v>
      </c>
      <c r="R13" s="298" t="s">
        <v>71</v>
      </c>
      <c r="S13" s="298" t="s">
        <v>72</v>
      </c>
      <c r="T13" s="301" t="s">
        <v>70</v>
      </c>
      <c r="U13" s="298" t="s">
        <v>73</v>
      </c>
      <c r="V13" s="297" t="s">
        <v>74</v>
      </c>
      <c r="W13" s="298" t="s">
        <v>75</v>
      </c>
      <c r="X13" s="298" t="s">
        <v>76</v>
      </c>
      <c r="Y13" s="298" t="s">
        <v>77</v>
      </c>
      <c r="Z13" s="298" t="s">
        <v>78</v>
      </c>
      <c r="AA13" s="298"/>
      <c r="AB13" s="298"/>
      <c r="AC13" s="298"/>
      <c r="AD13" s="298"/>
      <c r="AE13" s="298"/>
      <c r="AF13" s="334"/>
      <c r="AG13" s="297" t="s">
        <v>79</v>
      </c>
      <c r="AH13" s="297" t="s">
        <v>80</v>
      </c>
      <c r="AI13" s="297" t="s">
        <v>70</v>
      </c>
      <c r="AJ13" s="297" t="s">
        <v>81</v>
      </c>
      <c r="AK13" s="297" t="s">
        <v>70</v>
      </c>
      <c r="AL13" s="297" t="s">
        <v>82</v>
      </c>
      <c r="AM13" s="297" t="s">
        <v>83</v>
      </c>
      <c r="AN13" s="297" t="s">
        <v>84</v>
      </c>
      <c r="AO13" s="298" t="s">
        <v>85</v>
      </c>
      <c r="AP13" s="298" t="s">
        <v>86</v>
      </c>
      <c r="AQ13" s="298" t="s">
        <v>87</v>
      </c>
      <c r="AR13" s="299" t="s">
        <v>88</v>
      </c>
      <c r="AS13" s="309" t="s">
        <v>89</v>
      </c>
      <c r="AT13" s="309" t="s">
        <v>90</v>
      </c>
      <c r="AU13" s="309" t="s">
        <v>91</v>
      </c>
      <c r="AV13" s="309" t="s">
        <v>92</v>
      </c>
      <c r="AW13" s="309" t="s">
        <v>93</v>
      </c>
      <c r="AX13" s="309" t="s">
        <v>94</v>
      </c>
      <c r="AY13" s="309" t="s">
        <v>95</v>
      </c>
      <c r="AZ13" s="298" t="s">
        <v>96</v>
      </c>
      <c r="BA13" s="298" t="s">
        <v>97</v>
      </c>
      <c r="BB13" s="298" t="s">
        <v>98</v>
      </c>
      <c r="BC13" s="309" t="s">
        <v>96</v>
      </c>
      <c r="BD13" s="309" t="s">
        <v>99</v>
      </c>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row>
    <row r="14" spans="1:82" s="198" customFormat="1" ht="94.5" customHeight="1">
      <c r="A14" s="192"/>
      <c r="B14" s="192"/>
      <c r="C14" s="192"/>
      <c r="D14" s="322"/>
      <c r="E14" s="298"/>
      <c r="F14" s="302"/>
      <c r="G14" s="300"/>
      <c r="H14" s="301"/>
      <c r="I14" s="298"/>
      <c r="J14" s="298"/>
      <c r="K14" s="301"/>
      <c r="L14" s="300"/>
      <c r="M14" s="196" t="s">
        <v>100</v>
      </c>
      <c r="N14" s="196" t="s">
        <v>101</v>
      </c>
      <c r="O14" s="298"/>
      <c r="P14" s="298"/>
      <c r="Q14" s="301"/>
      <c r="R14" s="298"/>
      <c r="S14" s="301"/>
      <c r="T14" s="301"/>
      <c r="U14" s="298"/>
      <c r="V14" s="297"/>
      <c r="W14" s="298"/>
      <c r="X14" s="298"/>
      <c r="Y14" s="298"/>
      <c r="Z14" s="195" t="s">
        <v>102</v>
      </c>
      <c r="AA14" s="195" t="s">
        <v>103</v>
      </c>
      <c r="AB14" s="195" t="s">
        <v>104</v>
      </c>
      <c r="AC14" s="195" t="s">
        <v>55</v>
      </c>
      <c r="AD14" s="195" t="s">
        <v>105</v>
      </c>
      <c r="AE14" s="195" t="s">
        <v>106</v>
      </c>
      <c r="AF14" s="335"/>
      <c r="AG14" s="297"/>
      <c r="AH14" s="297"/>
      <c r="AI14" s="297"/>
      <c r="AJ14" s="297"/>
      <c r="AK14" s="297"/>
      <c r="AL14" s="297"/>
      <c r="AM14" s="297"/>
      <c r="AN14" s="297"/>
      <c r="AO14" s="298"/>
      <c r="AP14" s="298"/>
      <c r="AQ14" s="298"/>
      <c r="AR14" s="300"/>
      <c r="AS14" s="310"/>
      <c r="AT14" s="310"/>
      <c r="AU14" s="310"/>
      <c r="AV14" s="310"/>
      <c r="AW14" s="310"/>
      <c r="AX14" s="310"/>
      <c r="AY14" s="310"/>
      <c r="AZ14" s="299"/>
      <c r="BA14" s="299"/>
      <c r="BB14" s="299"/>
      <c r="BC14" s="310"/>
      <c r="BD14" s="310"/>
      <c r="BE14" s="197"/>
      <c r="BF14" s="197"/>
      <c r="BG14" s="197"/>
      <c r="BH14" s="197"/>
      <c r="BI14" s="197"/>
      <c r="BJ14" s="197"/>
      <c r="BK14" s="197"/>
      <c r="BL14" s="197"/>
      <c r="BM14" s="197"/>
      <c r="BN14" s="197"/>
      <c r="BO14" s="197"/>
      <c r="BP14" s="197"/>
      <c r="BQ14" s="197"/>
      <c r="BR14" s="197"/>
      <c r="BS14" s="197"/>
      <c r="BT14" s="197"/>
      <c r="BU14" s="197"/>
      <c r="BV14" s="197"/>
      <c r="BW14" s="197"/>
      <c r="BX14" s="197"/>
      <c r="BY14" s="197"/>
      <c r="BZ14" s="197"/>
      <c r="CA14" s="197"/>
      <c r="CB14" s="197"/>
      <c r="CC14" s="197"/>
      <c r="CD14" s="197"/>
    </row>
    <row r="15" spans="1:82" s="106" customFormat="1" ht="144" customHeight="1">
      <c r="D15" s="275">
        <v>1</v>
      </c>
      <c r="E15" s="277" t="s">
        <v>107</v>
      </c>
      <c r="F15" s="277" t="s">
        <v>108</v>
      </c>
      <c r="G15" s="277"/>
      <c r="H15" s="277" t="s">
        <v>109</v>
      </c>
      <c r="I15" s="259" t="s">
        <v>110</v>
      </c>
      <c r="J15" s="259" t="s">
        <v>111</v>
      </c>
      <c r="K15" s="259" t="s">
        <v>112</v>
      </c>
      <c r="L15" s="259" t="s">
        <v>113</v>
      </c>
      <c r="M15" s="259" t="s">
        <v>114</v>
      </c>
      <c r="N15" s="259" t="s">
        <v>115</v>
      </c>
      <c r="O15" s="259">
        <v>156</v>
      </c>
      <c r="P15" s="263" t="str">
        <f>IF(O15&lt;=0,"",IF(O15&lt;=2,"Muy Baja",IF(O15&lt;=24,"Baja",IF(O15&lt;=500,"Media",IF(O15&lt;=5000,"Alta","Muy Alta")))))</f>
        <v>Media</v>
      </c>
      <c r="Q15" s="269">
        <f>IF(P15="","",IF(P15="Muy Baja",0.2,IF(P15="Baja",0.4,IF(P15="Media",0.6,IF(P15="Alta",0.8,IF(P15="Muy Alta",1,))))))</f>
        <v>0.6</v>
      </c>
      <c r="R15" s="273" t="s">
        <v>116</v>
      </c>
      <c r="S15" s="263" t="str">
        <f>IFERROR(VLOOKUP(R15,Criterios[],2,FALSE),"")</f>
        <v>Moderado</v>
      </c>
      <c r="T15" s="269">
        <f t="shared" ref="T15" si="0">IF(S15="","",IF(S15="Leve",0.2,IF(S15="Menor",0.4,IF(S15="Moderado",0.6,IF(S15="Mayor",0.8,IF(S15="Catastrófico",1,))))))</f>
        <v>0.6</v>
      </c>
      <c r="U15" s="263"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199">
        <v>1</v>
      </c>
      <c r="W15" s="180" t="s">
        <v>117</v>
      </c>
      <c r="X15" s="180" t="s">
        <v>118</v>
      </c>
      <c r="Y15" s="200" t="str">
        <f t="shared" ref="Y15:Y19" si="1">IF(OR(Z15="Preventivo",Z15="Detectivo"),"Probabilidad",IF(Z15="Correctivo","Impacto",""))</f>
        <v>Probabilidad</v>
      </c>
      <c r="Z15" s="201" t="s">
        <v>119</v>
      </c>
      <c r="AA15" s="201" t="s">
        <v>120</v>
      </c>
      <c r="AB15" s="202" t="str">
        <f t="shared" ref="AB15:AB19" si="2">IF(AND(Z15="Preventivo",AA15="Automático"),"50%",IF(AND(Z15="Preventivo",AA15="Manual"),"40%",IF(AND(Z15="Detectivo",AA15="Automático"),"40%",IF(AND(Z15="Detectivo",AA15="Manual"),"30%",IF(AND(Z15="Correctivo",AA15="Automático"),"35%",IF(AND(Z15="Correctivo",AA15="Manual"),"25%",""))))))</f>
        <v>40%</v>
      </c>
      <c r="AC15" s="201" t="s">
        <v>121</v>
      </c>
      <c r="AD15" s="201" t="s">
        <v>122</v>
      </c>
      <c r="AE15" s="214" t="s">
        <v>123</v>
      </c>
      <c r="AF15" s="175" t="s">
        <v>124</v>
      </c>
      <c r="AG15" s="203">
        <f>IFERROR(IF(Y15="Probabilidad",(Q15-(+ Q15*AB15)),IF(Y15="Impacto",Q15,"")),"")</f>
        <v>0.36</v>
      </c>
      <c r="AH15" s="204" t="str">
        <f>IFERROR(IF(AG15="","",IF(AG15&lt;=0.2,"Muy Baja",IF(AG15&lt;=0.4,"Baja",IF(AG15&lt;=0.6,"Media",IF(AG15&lt;=0.8,"Alta","Muy Alta"))))),"")</f>
        <v>Baja</v>
      </c>
      <c r="AI15" s="202">
        <f>+AG15</f>
        <v>0.36</v>
      </c>
      <c r="AJ15" s="204" t="str">
        <f>IFERROR(IF(AK15="","",IF(AK15&lt;=0.2,"Leve",IF(AK15&lt;=0.4,"Menor",IF(AK15&lt;=0.6,"Moderado",IF(AK15&lt;=0.8,"Mayor","Catastrófico"))))),"")</f>
        <v>Moderado</v>
      </c>
      <c r="AK15" s="202">
        <f>IFERROR(IF(Y15="Impacto",(T15-(+T15*AB15)),IF(Y15="Probabilidad",T15,"")),"")</f>
        <v>0.6</v>
      </c>
      <c r="AL15" s="204"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265" t="s">
        <v>125</v>
      </c>
      <c r="AN15" s="199">
        <v>1</v>
      </c>
      <c r="AO15" s="259" t="s">
        <v>126</v>
      </c>
      <c r="AP15" s="253" t="s">
        <v>127</v>
      </c>
      <c r="AQ15" s="253" t="s">
        <v>128</v>
      </c>
      <c r="AR15" s="253">
        <v>46368</v>
      </c>
      <c r="AS15" s="250"/>
      <c r="AT15" s="205"/>
      <c r="AU15" s="205"/>
      <c r="AV15" s="205"/>
      <c r="AW15" s="205"/>
      <c r="AX15" s="205"/>
      <c r="AY15" s="205"/>
      <c r="AZ15" s="244"/>
      <c r="BA15" s="206"/>
      <c r="BB15" s="207"/>
      <c r="BC15" s="247"/>
      <c r="BD15" s="208"/>
      <c r="BE15" s="209"/>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row>
    <row r="16" spans="1:82" s="106" customFormat="1" ht="46.5" customHeight="1">
      <c r="D16" s="276"/>
      <c r="E16" s="278"/>
      <c r="F16" s="278"/>
      <c r="G16" s="278"/>
      <c r="H16" s="278"/>
      <c r="I16" s="260"/>
      <c r="J16" s="260"/>
      <c r="K16" s="260"/>
      <c r="L16" s="260"/>
      <c r="M16" s="260"/>
      <c r="N16" s="260"/>
      <c r="O16" s="260"/>
      <c r="P16" s="264"/>
      <c r="Q16" s="270"/>
      <c r="R16" s="274"/>
      <c r="S16" s="264"/>
      <c r="T16" s="270"/>
      <c r="U16" s="264"/>
      <c r="V16" s="211">
        <v>2</v>
      </c>
      <c r="W16" s="179"/>
      <c r="X16" s="180"/>
      <c r="Y16" s="200"/>
      <c r="Z16" s="201"/>
      <c r="AA16" s="201"/>
      <c r="AB16" s="202"/>
      <c r="AC16" s="201"/>
      <c r="AD16" s="201"/>
      <c r="AE16" s="214"/>
      <c r="AF16" s="175"/>
      <c r="AG16" s="203" t="str">
        <f>IFERROR(IF(Y16="Probabilidad",(Q15-(+ Q16*AB16)),IF(Y16="Impacto",Q16,"")),"")</f>
        <v/>
      </c>
      <c r="AH16" s="204" t="str">
        <f t="shared" ref="AH16:AH30" si="3">IFERROR(IF(AG16="","",IF(AG16&lt;=0.2,"Muy Baja",IF(AG16&lt;=0.4,"Baja",IF(AG16&lt;=0.6,"Media",IF(AG16&lt;=0.8,"Alta","Muy Alta"))))),"")</f>
        <v/>
      </c>
      <c r="AI16" s="202" t="str">
        <f t="shared" ref="AI16:AI30" si="4">+AG16</f>
        <v/>
      </c>
      <c r="AJ16" s="204" t="str">
        <f t="shared" ref="AJ16:AJ30" si="5">IFERROR(IF(AK16="","",IF(AK16&lt;=0.2,"Leve",IF(AK16&lt;=0.4,"Menor",IF(AK16&lt;=0.6,"Moderado",IF(AK16&lt;=0.8,"Mayor","Catastrófico"))))),"")</f>
        <v/>
      </c>
      <c r="AK16" s="202" t="str">
        <f>IFERROR(IF(Y16="Impacto",(T16-(+T16*AB16)),IF(Y16="Probabilidad",T15,"")),"")</f>
        <v/>
      </c>
      <c r="AL16" s="204" t="str">
        <f t="shared" ref="AL16:AL30" si="6">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266"/>
      <c r="AN16" s="211">
        <v>2</v>
      </c>
      <c r="AO16" s="260"/>
      <c r="AP16" s="254"/>
      <c r="AQ16" s="254"/>
      <c r="AR16" s="254"/>
      <c r="AS16" s="251"/>
      <c r="AT16" s="205"/>
      <c r="AU16" s="205"/>
      <c r="AV16" s="205"/>
      <c r="AW16" s="205"/>
      <c r="AX16" s="205"/>
      <c r="AY16" s="205"/>
      <c r="AZ16" s="245"/>
      <c r="BA16" s="206"/>
      <c r="BB16" s="212"/>
      <c r="BC16" s="248"/>
      <c r="BD16" s="208"/>
      <c r="BE16" s="213"/>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row>
    <row r="17" spans="2:82" s="106" customFormat="1" ht="57.75" customHeight="1">
      <c r="D17" s="275">
        <v>2</v>
      </c>
      <c r="E17" s="277" t="s">
        <v>129</v>
      </c>
      <c r="F17" s="277" t="s">
        <v>108</v>
      </c>
      <c r="G17" s="277" t="s">
        <v>130</v>
      </c>
      <c r="H17" s="277" t="s">
        <v>131</v>
      </c>
      <c r="I17" s="259" t="s">
        <v>132</v>
      </c>
      <c r="J17" s="259" t="s">
        <v>133</v>
      </c>
      <c r="K17" s="259" t="s">
        <v>134</v>
      </c>
      <c r="L17" s="259" t="s">
        <v>113</v>
      </c>
      <c r="M17" s="259" t="s">
        <v>135</v>
      </c>
      <c r="N17" s="259" t="s">
        <v>136</v>
      </c>
      <c r="O17" s="259">
        <v>33</v>
      </c>
      <c r="P17" s="263" t="str">
        <f>IF(O17&lt;=0,"",IF(O17&lt;=2,"Muy Baja",IF(O17&lt;=24,"Baja",IF(O17&lt;=500,"Media",IF(O17&lt;=5000,"Alta","Muy Alta")))))</f>
        <v>Media</v>
      </c>
      <c r="Q17" s="269">
        <f t="shared" ref="Q17" si="7">IF(P17="","",IF(P17="Muy Baja",0.2,IF(P17="Baja",0.4,IF(P17="Media",0.6,IF(P17="Alta",0.8,IF(P17="Muy Alta",1,))))))</f>
        <v>0.6</v>
      </c>
      <c r="R17" s="273" t="s">
        <v>137</v>
      </c>
      <c r="S17" s="263" t="str">
        <f>IFERROR(VLOOKUP(R17,Criterios[],2,FALSE),"")</f>
        <v>Leve</v>
      </c>
      <c r="T17" s="269">
        <f t="shared" ref="T17" si="8">IF(S17="","",IF(S17="Leve",0.2,IF(S17="Menor",0.4,IF(S17="Moderado",0.6,IF(S17="Mayor",0.8,IF(S17="Catastrófico",1,))))))</f>
        <v>0.2</v>
      </c>
      <c r="U17" s="263"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199">
        <v>1</v>
      </c>
      <c r="W17" s="179" t="s">
        <v>138</v>
      </c>
      <c r="X17" s="180"/>
      <c r="Y17" s="200" t="str">
        <f t="shared" si="1"/>
        <v>Probabilidad</v>
      </c>
      <c r="Z17" s="201" t="s">
        <v>119</v>
      </c>
      <c r="AA17" s="201" t="s">
        <v>120</v>
      </c>
      <c r="AB17" s="202" t="str">
        <f t="shared" si="2"/>
        <v>40%</v>
      </c>
      <c r="AC17" s="201" t="s">
        <v>121</v>
      </c>
      <c r="AD17" s="201" t="s">
        <v>122</v>
      </c>
      <c r="AE17" s="214" t="s">
        <v>123</v>
      </c>
      <c r="AF17" s="175" t="s">
        <v>139</v>
      </c>
      <c r="AG17" s="203">
        <f>IFERROR(IF(Y17="Probabilidad",(Q17-(+ Q17*AB17)),IF(Y17="Impacto",Q17,"")),"")</f>
        <v>0.36</v>
      </c>
      <c r="AH17" s="204" t="str">
        <f t="shared" si="3"/>
        <v>Baja</v>
      </c>
      <c r="AI17" s="202">
        <f t="shared" si="4"/>
        <v>0.36</v>
      </c>
      <c r="AJ17" s="204" t="str">
        <f t="shared" si="5"/>
        <v>Leve</v>
      </c>
      <c r="AK17" s="202">
        <f>IFERROR(IF(Y17="Impacto",(T115-(+T17*AB17)),IF(Y17="Probabilidad",T17,"")),"")</f>
        <v>0.2</v>
      </c>
      <c r="AL17" s="204" t="str">
        <f t="shared" si="6"/>
        <v>Bajo</v>
      </c>
      <c r="AM17" s="265" t="s">
        <v>125</v>
      </c>
      <c r="AN17" s="199">
        <v>1</v>
      </c>
      <c r="AO17" s="259" t="s">
        <v>140</v>
      </c>
      <c r="AP17" s="253" t="s">
        <v>127</v>
      </c>
      <c r="AQ17" s="253" t="s">
        <v>141</v>
      </c>
      <c r="AR17" s="253">
        <v>46368</v>
      </c>
      <c r="AS17" s="251"/>
      <c r="AT17" s="205"/>
      <c r="AU17" s="205"/>
      <c r="AV17" s="205"/>
      <c r="AW17" s="205"/>
      <c r="AX17" s="205"/>
      <c r="AY17" s="205"/>
      <c r="AZ17" s="245"/>
      <c r="BA17" s="206"/>
      <c r="BB17" s="212"/>
      <c r="BC17" s="248"/>
      <c r="BD17" s="208"/>
      <c r="BE17" s="210"/>
      <c r="BF17" s="213"/>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row>
    <row r="18" spans="2:82" s="106" customFormat="1" ht="38.25" customHeight="1">
      <c r="D18" s="276"/>
      <c r="E18" s="278"/>
      <c r="F18" s="278"/>
      <c r="G18" s="278"/>
      <c r="H18" s="278"/>
      <c r="I18" s="260"/>
      <c r="J18" s="260"/>
      <c r="K18" s="260"/>
      <c r="L18" s="260"/>
      <c r="M18" s="260"/>
      <c r="N18" s="260"/>
      <c r="O18" s="260"/>
      <c r="P18" s="264"/>
      <c r="Q18" s="270"/>
      <c r="R18" s="274"/>
      <c r="S18" s="264"/>
      <c r="T18" s="270"/>
      <c r="U18" s="264"/>
      <c r="V18" s="211">
        <v>2</v>
      </c>
      <c r="W18" s="179"/>
      <c r="X18" s="180"/>
      <c r="Y18" s="200" t="str">
        <f t="shared" si="1"/>
        <v/>
      </c>
      <c r="Z18" s="201"/>
      <c r="AA18" s="201"/>
      <c r="AB18" s="202" t="str">
        <f t="shared" si="2"/>
        <v/>
      </c>
      <c r="AC18" s="201"/>
      <c r="AD18" s="201"/>
      <c r="AE18" s="214"/>
      <c r="AF18" s="175"/>
      <c r="AG18" s="203" t="str">
        <f t="shared" ref="AG18:AG19" si="9">IFERROR(IF(Y18="Probabilidad",(Q18-(+ Q18*AB18)),IF(Y18="Impacto",Q18,"")),"")</f>
        <v/>
      </c>
      <c r="AH18" s="204" t="str">
        <f t="shared" ref="AH18:AH19" si="10">IFERROR(IF(AG18="","",IF(AG18&lt;=0.2,"Muy Baja",IF(AG18&lt;=0.4,"Baja",IF(AG18&lt;=0.6,"Media",IF(AG18&lt;=0.8,"Alta","Muy Alta"))))),"")</f>
        <v/>
      </c>
      <c r="AI18" s="202" t="str">
        <f t="shared" si="4"/>
        <v/>
      </c>
      <c r="AJ18" s="204" t="str">
        <f t="shared" si="5"/>
        <v/>
      </c>
      <c r="AK18" s="202" t="str">
        <f>IFERROR(IF(Y18="Impacto",(T18-(+T18*AB18)),IF(Y18="Probabilidad",T17,"")),"")</f>
        <v/>
      </c>
      <c r="AL18" s="204" t="str">
        <f t="shared" si="6"/>
        <v/>
      </c>
      <c r="AM18" s="266"/>
      <c r="AN18" s="211">
        <v>2</v>
      </c>
      <c r="AO18" s="260"/>
      <c r="AP18" s="254"/>
      <c r="AQ18" s="254"/>
      <c r="AR18" s="254"/>
      <c r="AS18" s="251"/>
      <c r="AT18" s="205"/>
      <c r="AU18" s="205"/>
      <c r="AV18" s="205"/>
      <c r="AW18" s="205"/>
      <c r="AX18" s="205"/>
      <c r="AY18" s="205"/>
      <c r="AZ18" s="245"/>
      <c r="BA18" s="206"/>
      <c r="BB18" s="212"/>
      <c r="BC18" s="248"/>
      <c r="BD18" s="208"/>
      <c r="BE18" s="210"/>
      <c r="BF18" s="213"/>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row>
    <row r="19" spans="2:82" s="229" customFormat="1" ht="75" customHeight="1">
      <c r="D19" s="283">
        <v>3</v>
      </c>
      <c r="E19" s="657" t="s">
        <v>67</v>
      </c>
      <c r="F19" s="657"/>
      <c r="G19" s="657"/>
      <c r="H19" s="657"/>
      <c r="I19" s="658"/>
      <c r="J19" s="658"/>
      <c r="K19" s="658" t="s">
        <v>142</v>
      </c>
      <c r="L19" s="257"/>
      <c r="M19" s="257"/>
      <c r="N19" s="257"/>
      <c r="O19" s="257"/>
      <c r="P19" s="261"/>
      <c r="Q19" s="271"/>
      <c r="R19" s="315"/>
      <c r="S19" s="261"/>
      <c r="T19" s="271" t="str">
        <f t="shared" ref="T19" si="11">IF(S19="","",IF(S19="Leve",0.2,IF(S19="Menor",0.4,IF(S19="Moderado",0.6,IF(S19="Mayor",0.8,IF(S19="Catastrófico",1,))))))</f>
        <v/>
      </c>
      <c r="U19" s="261"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
      </c>
      <c r="V19" s="230">
        <v>1</v>
      </c>
      <c r="W19" s="231"/>
      <c r="X19" s="242"/>
      <c r="Y19" s="233"/>
      <c r="Z19" s="234"/>
      <c r="AA19" s="234"/>
      <c r="AB19" s="235"/>
      <c r="AC19" s="234"/>
      <c r="AD19" s="234"/>
      <c r="AE19" s="234"/>
      <c r="AF19" s="228"/>
      <c r="AG19" s="236" t="str">
        <f t="shared" si="9"/>
        <v/>
      </c>
      <c r="AH19" s="237" t="str">
        <f t="shared" si="10"/>
        <v/>
      </c>
      <c r="AI19" s="235" t="str">
        <f t="shared" si="4"/>
        <v/>
      </c>
      <c r="AJ19" s="237" t="str">
        <f t="shared" si="5"/>
        <v/>
      </c>
      <c r="AK19" s="235" t="str">
        <f>IFERROR(IF(Y19="Impacto",(T19-(+T19*AB19)),IF(Y19="Probabilidad",T19,"")),"")</f>
        <v/>
      </c>
      <c r="AL19" s="237" t="str">
        <f t="shared" si="6"/>
        <v/>
      </c>
      <c r="AM19" s="267" t="s">
        <v>125</v>
      </c>
      <c r="AN19" s="230">
        <v>1</v>
      </c>
      <c r="AO19" s="257" t="s">
        <v>143</v>
      </c>
      <c r="AP19" s="255" t="s">
        <v>127</v>
      </c>
      <c r="AQ19" s="255" t="s">
        <v>144</v>
      </c>
      <c r="AR19" s="255">
        <v>46368</v>
      </c>
      <c r="AS19" s="251"/>
      <c r="AT19" s="238"/>
      <c r="AU19" s="238"/>
      <c r="AV19" s="238"/>
      <c r="AW19" s="238"/>
      <c r="AX19" s="238"/>
      <c r="AY19" s="238"/>
      <c r="AZ19" s="245"/>
      <c r="BA19" s="239"/>
      <c r="BB19" s="239"/>
      <c r="BC19" s="248"/>
      <c r="BD19" s="240"/>
      <c r="BE19" s="241"/>
      <c r="BF19" s="241"/>
      <c r="BG19" s="241"/>
      <c r="BH19" s="241"/>
      <c r="BI19" s="241"/>
      <c r="BJ19" s="241"/>
      <c r="BK19" s="241"/>
      <c r="BL19" s="241"/>
      <c r="BM19" s="241"/>
      <c r="BN19" s="241"/>
      <c r="BO19" s="241"/>
      <c r="BP19" s="241"/>
      <c r="BQ19" s="241"/>
      <c r="BR19" s="241"/>
      <c r="BS19" s="241"/>
      <c r="BT19" s="241"/>
      <c r="BU19" s="241"/>
      <c r="BV19" s="241"/>
      <c r="BW19" s="241"/>
      <c r="BX19" s="241"/>
      <c r="BY19" s="241"/>
      <c r="BZ19" s="241"/>
      <c r="CA19" s="241"/>
      <c r="CB19" s="241"/>
      <c r="CC19" s="241"/>
      <c r="CD19" s="241"/>
    </row>
    <row r="20" spans="2:82" s="229" customFormat="1" ht="64.5" customHeight="1">
      <c r="D20" s="284"/>
      <c r="E20" s="659"/>
      <c r="F20" s="659"/>
      <c r="G20" s="659"/>
      <c r="H20" s="659"/>
      <c r="I20" s="660"/>
      <c r="J20" s="660"/>
      <c r="K20" s="660"/>
      <c r="L20" s="258"/>
      <c r="M20" s="258"/>
      <c r="N20" s="258"/>
      <c r="O20" s="258"/>
      <c r="P20" s="262"/>
      <c r="Q20" s="272"/>
      <c r="R20" s="316"/>
      <c r="S20" s="262"/>
      <c r="T20" s="272"/>
      <c r="U20" s="262"/>
      <c r="V20" s="243"/>
      <c r="W20" s="231"/>
      <c r="X20" s="232"/>
      <c r="Y20" s="233"/>
      <c r="Z20" s="234"/>
      <c r="AA20" s="234"/>
      <c r="AB20" s="235"/>
      <c r="AC20" s="234"/>
      <c r="AD20" s="234"/>
      <c r="AE20" s="234"/>
      <c r="AF20" s="228"/>
      <c r="AG20" s="236"/>
      <c r="AH20" s="237" t="str">
        <f t="shared" si="3"/>
        <v/>
      </c>
      <c r="AI20" s="235"/>
      <c r="AJ20" s="237" t="str">
        <f t="shared" si="5"/>
        <v/>
      </c>
      <c r="AK20" s="235" t="str">
        <f>IFERROR(IF(Y20="Impacto",(T19-(+T19*AB20)),IF(Y20="Probabilidad",T19,"")),"")</f>
        <v/>
      </c>
      <c r="AL20" s="237" t="str">
        <f t="shared" si="6"/>
        <v/>
      </c>
      <c r="AM20" s="268"/>
      <c r="AN20" s="243"/>
      <c r="AO20" s="258"/>
      <c r="AP20" s="256"/>
      <c r="AQ20" s="256"/>
      <c r="AR20" s="256"/>
      <c r="AS20" s="251"/>
      <c r="AT20" s="238"/>
      <c r="AU20" s="238"/>
      <c r="AV20" s="238"/>
      <c r="AW20" s="238"/>
      <c r="AX20" s="238"/>
      <c r="AY20" s="238"/>
      <c r="AZ20" s="245"/>
      <c r="BA20" s="239"/>
      <c r="BB20" s="239"/>
      <c r="BC20" s="248"/>
      <c r="BD20" s="240"/>
      <c r="BE20" s="241"/>
      <c r="BF20" s="241"/>
      <c r="BG20" s="241"/>
      <c r="BH20" s="241"/>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row>
    <row r="21" spans="2:82" s="218" customFormat="1" ht="39.75" hidden="1" customHeight="1">
      <c r="D21" s="279">
        <v>5</v>
      </c>
      <c r="E21" s="277"/>
      <c r="F21" s="277"/>
      <c r="G21" s="277"/>
      <c r="H21" s="277"/>
      <c r="I21" s="259"/>
      <c r="J21" s="259"/>
      <c r="K21" s="259"/>
      <c r="L21" s="259"/>
      <c r="M21" s="259"/>
      <c r="N21" s="259"/>
      <c r="O21" s="259"/>
      <c r="P21" s="263" t="str">
        <f t="shared" ref="P21:P29" si="12">IF(O21&lt;=0,"",IF(O21&lt;=2,"Muy Baja",IF(O21&lt;=24,"Baja",IF(O21&lt;=500,"Media",IF(O21&lt;=5000,"Alta","Muy Alta")))))</f>
        <v/>
      </c>
      <c r="Q21" s="269" t="str">
        <f t="shared" ref="Q21" si="13">IF(P21="","",IF(P21="Muy Baja",0.2,IF(P21="Baja",0.4,IF(P21="Media",0.6,IF(P21="Alta",0.8,IF(P21="Muy Alta",1,))))))</f>
        <v/>
      </c>
      <c r="R21" s="273"/>
      <c r="S21" s="263" t="str">
        <f>IFERROR(VLOOKUP(R21,Criterios[],2,FALSE),"")</f>
        <v/>
      </c>
      <c r="T21" s="269" t="str">
        <f t="shared" ref="T21" si="14">IF(S21="","",IF(S21="Leve",0.2,IF(S21="Menor",0.4,IF(S21="Moderado",0.6,IF(S21="Mayor",0.8,IF(S21="Catastrófico",1,))))))</f>
        <v/>
      </c>
      <c r="U21" s="263"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199">
        <v>1</v>
      </c>
      <c r="W21" s="179"/>
      <c r="X21" s="180"/>
      <c r="Y21" s="200"/>
      <c r="Z21" s="201"/>
      <c r="AA21" s="201"/>
      <c r="AB21" s="202"/>
      <c r="AC21" s="201"/>
      <c r="AD21" s="201"/>
      <c r="AE21" s="214"/>
      <c r="AF21" s="175"/>
      <c r="AG21" s="203"/>
      <c r="AH21" s="204" t="str">
        <f t="shared" si="3"/>
        <v/>
      </c>
      <c r="AI21" s="202">
        <f t="shared" si="4"/>
        <v>0</v>
      </c>
      <c r="AJ21" s="204" t="str">
        <f t="shared" si="5"/>
        <v/>
      </c>
      <c r="AK21" s="202" t="str">
        <f>IFERROR(IF(Y21="Impacto",(T21-(+T21*AB21)),IF(Y21="Probabilidad",T21,"")),"")</f>
        <v/>
      </c>
      <c r="AL21" s="204" t="str">
        <f t="shared" si="6"/>
        <v/>
      </c>
      <c r="AM21" s="265" t="s">
        <v>125</v>
      </c>
      <c r="AN21" s="199">
        <v>1</v>
      </c>
      <c r="AO21" s="259"/>
      <c r="AP21" s="253"/>
      <c r="AQ21" s="253"/>
      <c r="AR21" s="253"/>
      <c r="AS21" s="251"/>
      <c r="AT21" s="205"/>
      <c r="AU21" s="205"/>
      <c r="AV21" s="205"/>
      <c r="AW21" s="205"/>
      <c r="AX21" s="205"/>
      <c r="AY21" s="205"/>
      <c r="AZ21" s="245"/>
      <c r="BA21" s="215"/>
      <c r="BB21" s="215"/>
      <c r="BC21" s="248"/>
      <c r="BD21" s="216"/>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row>
    <row r="22" spans="2:82" s="218" customFormat="1" ht="39.75" hidden="1" customHeight="1">
      <c r="D22" s="280"/>
      <c r="E22" s="278"/>
      <c r="F22" s="278"/>
      <c r="G22" s="278"/>
      <c r="H22" s="278"/>
      <c r="I22" s="260"/>
      <c r="J22" s="260"/>
      <c r="K22" s="260"/>
      <c r="L22" s="260"/>
      <c r="M22" s="260"/>
      <c r="N22" s="260"/>
      <c r="O22" s="260"/>
      <c r="P22" s="264"/>
      <c r="Q22" s="270"/>
      <c r="R22" s="274"/>
      <c r="S22" s="264"/>
      <c r="T22" s="270"/>
      <c r="U22" s="264"/>
      <c r="V22" s="211">
        <v>2</v>
      </c>
      <c r="W22" s="179"/>
      <c r="X22" s="180"/>
      <c r="Y22" s="200"/>
      <c r="Z22" s="201"/>
      <c r="AA22" s="201"/>
      <c r="AB22" s="202"/>
      <c r="AC22" s="201"/>
      <c r="AD22" s="201"/>
      <c r="AE22" s="214"/>
      <c r="AF22" s="175"/>
      <c r="AG22" s="203"/>
      <c r="AH22" s="204" t="str">
        <f t="shared" si="3"/>
        <v/>
      </c>
      <c r="AI22" s="202">
        <f t="shared" si="4"/>
        <v>0</v>
      </c>
      <c r="AJ22" s="204" t="str">
        <f t="shared" si="5"/>
        <v/>
      </c>
      <c r="AK22" s="202" t="str">
        <f t="shared" ref="AK22:AK30" si="15">IFERROR(IF(Y22="Impacto",(T21-(+T21*AB22)),IF(Y22="Probabilidad",T21,"")),"")</f>
        <v/>
      </c>
      <c r="AL22" s="204" t="str">
        <f t="shared" si="6"/>
        <v/>
      </c>
      <c r="AM22" s="266"/>
      <c r="AN22" s="211">
        <v>2</v>
      </c>
      <c r="AO22" s="260"/>
      <c r="AP22" s="254"/>
      <c r="AQ22" s="254"/>
      <c r="AR22" s="254"/>
      <c r="AS22" s="251"/>
      <c r="AT22" s="205"/>
      <c r="AU22" s="205"/>
      <c r="AV22" s="205"/>
      <c r="AW22" s="205"/>
      <c r="AX22" s="205"/>
      <c r="AY22" s="205"/>
      <c r="AZ22" s="245"/>
      <c r="BA22" s="215"/>
      <c r="BB22" s="215"/>
      <c r="BC22" s="248"/>
      <c r="BD22" s="216"/>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row>
    <row r="23" spans="2:82" s="218" customFormat="1" ht="39.75" hidden="1" customHeight="1">
      <c r="B23" s="218" t="s">
        <v>145</v>
      </c>
      <c r="D23" s="275">
        <v>6</v>
      </c>
      <c r="E23" s="277"/>
      <c r="F23" s="277"/>
      <c r="G23" s="277"/>
      <c r="H23" s="277"/>
      <c r="I23" s="259"/>
      <c r="J23" s="259"/>
      <c r="K23" s="259"/>
      <c r="L23" s="259"/>
      <c r="M23" s="259"/>
      <c r="N23" s="259"/>
      <c r="O23" s="259"/>
      <c r="P23" s="263" t="str">
        <f t="shared" si="12"/>
        <v/>
      </c>
      <c r="Q23" s="269" t="str">
        <f t="shared" ref="Q23" si="16">IF(P23="","",IF(P23="Muy Baja",0.2,IF(P23="Baja",0.4,IF(P23="Media",0.6,IF(P23="Alta",0.8,IF(P23="Muy Alta",1,))))))</f>
        <v/>
      </c>
      <c r="R23" s="273"/>
      <c r="S23" s="263" t="str">
        <f>IFERROR(VLOOKUP(R23,Criterios[],2,FALSE),"")</f>
        <v/>
      </c>
      <c r="T23" s="269" t="str">
        <f t="shared" ref="T23" si="17">IF(S23="","",IF(S23="Leve",0.2,IF(S23="Menor",0.4,IF(S23="Moderado",0.6,IF(S23="Mayor",0.8,IF(S23="Catastrófico",1,))))))</f>
        <v/>
      </c>
      <c r="U23" s="263" t="str">
        <f>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
      </c>
      <c r="V23" s="199">
        <v>1</v>
      </c>
      <c r="W23" s="179"/>
      <c r="X23" s="180"/>
      <c r="Y23" s="200" t="str">
        <f t="shared" ref="Y23:Y30" si="18">IF(OR(Z23="Preventivo",Z23="Detectivo"),"Probabilidad",IF(Z23="Correctivo","Impacto",""))</f>
        <v/>
      </c>
      <c r="Z23" s="201"/>
      <c r="AA23" s="201"/>
      <c r="AB23" s="202" t="str">
        <f t="shared" ref="AB23:AB30" si="19">IF(AND(Z23="Preventivo",AA23="Automático"),"50%",IF(AND(Z23="Preventivo",AA23="Manual"),"40%",IF(AND(Z23="Detectivo",AA23="Automático"),"40%",IF(AND(Z23="Detectivo",AA23="Manual"),"30%",IF(AND(Z23="Correctivo",AA23="Automático"),"35%",IF(AND(Z23="Correctivo",AA23="Manual"),"25%",""))))))</f>
        <v/>
      </c>
      <c r="AC23" s="201"/>
      <c r="AD23" s="201"/>
      <c r="AE23" s="214"/>
      <c r="AF23" s="175"/>
      <c r="AG23" s="203" t="str">
        <f>IFERROR(IF(Y23="Probabilidad",(Q23-(+Q23*AB23)),IF(Y23="Impacto",Q23,"")),"")</f>
        <v/>
      </c>
      <c r="AH23" s="204" t="str">
        <f t="shared" si="3"/>
        <v/>
      </c>
      <c r="AI23" s="202" t="str">
        <f t="shared" si="4"/>
        <v/>
      </c>
      <c r="AJ23" s="204" t="str">
        <f t="shared" si="5"/>
        <v/>
      </c>
      <c r="AK23" s="202" t="str">
        <f>IFERROR(IF(Y23="Impacto",(T23-(+T23*AB23)),IF(Y23="Probabilidad",T23,"")),"")</f>
        <v/>
      </c>
      <c r="AL23" s="204" t="str">
        <f t="shared" si="6"/>
        <v/>
      </c>
      <c r="AM23" s="265" t="s">
        <v>125</v>
      </c>
      <c r="AN23" s="199">
        <v>1</v>
      </c>
      <c r="AO23" s="259"/>
      <c r="AP23" s="253"/>
      <c r="AQ23" s="253"/>
      <c r="AR23" s="253"/>
      <c r="AS23" s="251"/>
      <c r="AT23" s="205"/>
      <c r="AU23" s="205"/>
      <c r="AV23" s="205"/>
      <c r="AW23" s="205"/>
      <c r="AX23" s="205"/>
      <c r="AY23" s="205"/>
      <c r="AZ23" s="245"/>
      <c r="BA23" s="215"/>
      <c r="BB23" s="215"/>
      <c r="BC23" s="248"/>
      <c r="BD23" s="216"/>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row>
    <row r="24" spans="2:82" s="218" customFormat="1" ht="39.75" hidden="1" customHeight="1">
      <c r="D24" s="276"/>
      <c r="E24" s="278"/>
      <c r="F24" s="278"/>
      <c r="G24" s="278"/>
      <c r="H24" s="278"/>
      <c r="I24" s="260"/>
      <c r="J24" s="260"/>
      <c r="K24" s="260"/>
      <c r="L24" s="260"/>
      <c r="M24" s="260"/>
      <c r="N24" s="260"/>
      <c r="O24" s="260"/>
      <c r="P24" s="264"/>
      <c r="Q24" s="270"/>
      <c r="R24" s="274"/>
      <c r="S24" s="264"/>
      <c r="T24" s="270"/>
      <c r="U24" s="264"/>
      <c r="V24" s="211">
        <v>2</v>
      </c>
      <c r="W24" s="179"/>
      <c r="X24" s="180"/>
      <c r="Y24" s="200" t="str">
        <f t="shared" si="18"/>
        <v/>
      </c>
      <c r="Z24" s="201"/>
      <c r="AA24" s="201"/>
      <c r="AB24" s="202" t="str">
        <f t="shared" si="19"/>
        <v/>
      </c>
      <c r="AC24" s="201"/>
      <c r="AD24" s="201"/>
      <c r="AE24" s="214"/>
      <c r="AF24" s="175"/>
      <c r="AG24" s="203" t="str">
        <f>IFERROR(IF(Y24="Probabilidad",(Q23-(+Q24*AB24)),IF(Y24="Impacto",Q24,"")),"")</f>
        <v/>
      </c>
      <c r="AH24" s="204" t="str">
        <f t="shared" si="3"/>
        <v/>
      </c>
      <c r="AI24" s="202" t="str">
        <f t="shared" si="4"/>
        <v/>
      </c>
      <c r="AJ24" s="204" t="str">
        <f t="shared" si="5"/>
        <v/>
      </c>
      <c r="AK24" s="202" t="str">
        <f t="shared" si="15"/>
        <v/>
      </c>
      <c r="AL24" s="204" t="str">
        <f t="shared" si="6"/>
        <v/>
      </c>
      <c r="AM24" s="266"/>
      <c r="AN24" s="211">
        <v>2</v>
      </c>
      <c r="AO24" s="260"/>
      <c r="AP24" s="254"/>
      <c r="AQ24" s="254"/>
      <c r="AR24" s="254"/>
      <c r="AS24" s="251"/>
      <c r="AT24" s="205"/>
      <c r="AU24" s="205"/>
      <c r="AV24" s="205"/>
      <c r="AW24" s="205"/>
      <c r="AX24" s="205"/>
      <c r="AY24" s="205"/>
      <c r="AZ24" s="245"/>
      <c r="BA24" s="215"/>
      <c r="BB24" s="215"/>
      <c r="BC24" s="248"/>
      <c r="BD24" s="216"/>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row>
    <row r="25" spans="2:82" s="218" customFormat="1" ht="39.75" hidden="1" customHeight="1">
      <c r="D25" s="275">
        <v>7</v>
      </c>
      <c r="E25" s="277"/>
      <c r="F25" s="277"/>
      <c r="G25" s="277"/>
      <c r="H25" s="277"/>
      <c r="I25" s="259"/>
      <c r="J25" s="259"/>
      <c r="K25" s="259"/>
      <c r="L25" s="259"/>
      <c r="M25" s="259"/>
      <c r="N25" s="259"/>
      <c r="O25" s="259"/>
      <c r="P25" s="263" t="str">
        <f t="shared" si="12"/>
        <v/>
      </c>
      <c r="Q25" s="269" t="str">
        <f t="shared" ref="Q25" si="20">IF(P25="","",IF(P25="Muy Baja",0.2,IF(P25="Baja",0.4,IF(P25="Media",0.6,IF(P25="Alta",0.8,IF(P25="Muy Alta",1,))))))</f>
        <v/>
      </c>
      <c r="R25" s="273"/>
      <c r="S25" s="263" t="str">
        <f>IFERROR(VLOOKUP(R25,Criterios[],2,FALSE),"")</f>
        <v/>
      </c>
      <c r="T25" s="269" t="str">
        <f t="shared" ref="T25" si="21">IF(S25="","",IF(S25="Leve",0.2,IF(S25="Menor",0.4,IF(S25="Moderado",0.6,IF(S25="Mayor",0.8,IF(S25="Catastrófico",1,))))))</f>
        <v/>
      </c>
      <c r="U25" s="263" t="str">
        <f>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9">
        <v>1</v>
      </c>
      <c r="W25" s="179"/>
      <c r="X25" s="180"/>
      <c r="Y25" s="200" t="str">
        <f t="shared" si="18"/>
        <v/>
      </c>
      <c r="Z25" s="201"/>
      <c r="AA25" s="201"/>
      <c r="AB25" s="202" t="str">
        <f t="shared" si="19"/>
        <v/>
      </c>
      <c r="AC25" s="201"/>
      <c r="AD25" s="201"/>
      <c r="AE25" s="214"/>
      <c r="AF25" s="175"/>
      <c r="AG25" s="203" t="str">
        <f>IFERROR(IF(Y25="Probabilidad",(Q25-(+Q25*AB25)),IF(Y25="Impacto",Q25,"")),"")</f>
        <v/>
      </c>
      <c r="AH25" s="204" t="str">
        <f t="shared" si="3"/>
        <v/>
      </c>
      <c r="AI25" s="202" t="str">
        <f t="shared" si="4"/>
        <v/>
      </c>
      <c r="AJ25" s="204" t="str">
        <f t="shared" si="5"/>
        <v/>
      </c>
      <c r="AK25" s="202" t="str">
        <f>IFERROR(IF(Y25="Impacto",(T25-(+T25*AB25)),IF(Y25="Probabilidad",T25,"")),"")</f>
        <v/>
      </c>
      <c r="AL25" s="204" t="str">
        <f t="shared" si="6"/>
        <v/>
      </c>
      <c r="AM25" s="265" t="s">
        <v>125</v>
      </c>
      <c r="AN25" s="199">
        <v>1</v>
      </c>
      <c r="AO25" s="259"/>
      <c r="AP25" s="253"/>
      <c r="AQ25" s="253"/>
      <c r="AR25" s="253"/>
      <c r="AS25" s="251"/>
      <c r="AT25" s="205"/>
      <c r="AU25" s="205"/>
      <c r="AV25" s="205"/>
      <c r="AW25" s="205"/>
      <c r="AX25" s="205"/>
      <c r="AY25" s="205"/>
      <c r="AZ25" s="245"/>
      <c r="BA25" s="215"/>
      <c r="BB25" s="215"/>
      <c r="BC25" s="248"/>
      <c r="BD25" s="216"/>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row>
    <row r="26" spans="2:82" s="218" customFormat="1" ht="39.75" hidden="1" customHeight="1">
      <c r="D26" s="276"/>
      <c r="E26" s="278"/>
      <c r="F26" s="278"/>
      <c r="G26" s="278"/>
      <c r="H26" s="278"/>
      <c r="I26" s="260"/>
      <c r="J26" s="260"/>
      <c r="K26" s="260"/>
      <c r="L26" s="260"/>
      <c r="M26" s="260"/>
      <c r="N26" s="260"/>
      <c r="O26" s="260"/>
      <c r="P26" s="264"/>
      <c r="Q26" s="270"/>
      <c r="R26" s="274"/>
      <c r="S26" s="264"/>
      <c r="T26" s="270"/>
      <c r="U26" s="264"/>
      <c r="V26" s="211">
        <v>2</v>
      </c>
      <c r="W26" s="179"/>
      <c r="X26" s="180"/>
      <c r="Y26" s="200" t="str">
        <f t="shared" si="18"/>
        <v/>
      </c>
      <c r="Z26" s="201"/>
      <c r="AA26" s="201"/>
      <c r="AB26" s="202" t="str">
        <f t="shared" si="19"/>
        <v/>
      </c>
      <c r="AC26" s="201"/>
      <c r="AD26" s="201"/>
      <c r="AE26" s="214"/>
      <c r="AF26" s="175"/>
      <c r="AG26" s="203" t="str">
        <f>IFERROR(IF(Y26="Probabilidad",(Q25-(+Q26*AB26)),IF(Y26="Impacto",Q26,"")),"")</f>
        <v/>
      </c>
      <c r="AH26" s="204" t="str">
        <f t="shared" si="3"/>
        <v/>
      </c>
      <c r="AI26" s="202" t="str">
        <f t="shared" si="4"/>
        <v/>
      </c>
      <c r="AJ26" s="204" t="str">
        <f t="shared" si="5"/>
        <v/>
      </c>
      <c r="AK26" s="202" t="str">
        <f t="shared" si="15"/>
        <v/>
      </c>
      <c r="AL26" s="204" t="str">
        <f t="shared" si="6"/>
        <v/>
      </c>
      <c r="AM26" s="266"/>
      <c r="AN26" s="211">
        <v>2</v>
      </c>
      <c r="AO26" s="260"/>
      <c r="AP26" s="254"/>
      <c r="AQ26" s="254"/>
      <c r="AR26" s="254"/>
      <c r="AS26" s="251"/>
      <c r="AT26" s="205"/>
      <c r="AU26" s="205"/>
      <c r="AV26" s="205"/>
      <c r="AW26" s="205"/>
      <c r="AX26" s="205"/>
      <c r="AY26" s="205"/>
      <c r="AZ26" s="245"/>
      <c r="BA26" s="215"/>
      <c r="BB26" s="215"/>
      <c r="BC26" s="248"/>
      <c r="BD26" s="216"/>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row>
    <row r="27" spans="2:82" s="218" customFormat="1" ht="39.75" hidden="1" customHeight="1">
      <c r="D27" s="281">
        <v>8</v>
      </c>
      <c r="E27" s="277"/>
      <c r="F27" s="277"/>
      <c r="G27" s="277"/>
      <c r="H27" s="277"/>
      <c r="I27" s="259"/>
      <c r="J27" s="259"/>
      <c r="K27" s="259"/>
      <c r="L27" s="259"/>
      <c r="M27" s="259"/>
      <c r="N27" s="259"/>
      <c r="O27" s="259"/>
      <c r="P27" s="263" t="str">
        <f t="shared" si="12"/>
        <v/>
      </c>
      <c r="Q27" s="269" t="str">
        <f t="shared" ref="Q27" si="22">IF(P27="","",IF(P27="Muy Baja",0.2,IF(P27="Baja",0.4,IF(P27="Media",0.6,IF(P27="Alta",0.8,IF(P27="Muy Alta",1,))))))</f>
        <v/>
      </c>
      <c r="R27" s="273"/>
      <c r="S27" s="263" t="str">
        <f>IFERROR(VLOOKUP(R27,Criterios[],2,FALSE),"")</f>
        <v/>
      </c>
      <c r="T27" s="269" t="str">
        <f t="shared" ref="T27" si="23">IF(S27="","",IF(S27="Leve",0.2,IF(S27="Menor",0.4,IF(S27="Moderado",0.6,IF(S27="Mayor",0.8,IF(S27="Catastrófico",1,))))))</f>
        <v/>
      </c>
      <c r="U27" s="263" t="str">
        <f>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9">
        <v>1</v>
      </c>
      <c r="W27" s="179"/>
      <c r="X27" s="180"/>
      <c r="Y27" s="200" t="str">
        <f t="shared" si="18"/>
        <v/>
      </c>
      <c r="Z27" s="201"/>
      <c r="AA27" s="201"/>
      <c r="AB27" s="202" t="str">
        <f t="shared" si="19"/>
        <v/>
      </c>
      <c r="AC27" s="201"/>
      <c r="AD27" s="201"/>
      <c r="AE27" s="214"/>
      <c r="AF27" s="175"/>
      <c r="AG27" s="203" t="str">
        <f>IFERROR(IF(Y27="Probabilidad",(Q27-(+Q27*AB27)),IF(Y27="Impacto",Q27,"")),"")</f>
        <v/>
      </c>
      <c r="AH27" s="204" t="str">
        <f t="shared" si="3"/>
        <v/>
      </c>
      <c r="AI27" s="202" t="str">
        <f t="shared" si="4"/>
        <v/>
      </c>
      <c r="AJ27" s="204" t="str">
        <f t="shared" si="5"/>
        <v/>
      </c>
      <c r="AK27" s="202" t="str">
        <f>IFERROR(IF(Y27="Impacto",(T27-(+T27*AB27)),IF(Y27="Probabilidad",T27,"")),"")</f>
        <v/>
      </c>
      <c r="AL27" s="204" t="str">
        <f t="shared" si="6"/>
        <v/>
      </c>
      <c r="AM27" s="265" t="s">
        <v>125</v>
      </c>
      <c r="AN27" s="199">
        <v>1</v>
      </c>
      <c r="AO27" s="259"/>
      <c r="AP27" s="253"/>
      <c r="AQ27" s="253"/>
      <c r="AR27" s="253"/>
      <c r="AS27" s="251"/>
      <c r="AT27" s="205"/>
      <c r="AU27" s="205"/>
      <c r="AV27" s="205"/>
      <c r="AW27" s="205"/>
      <c r="AX27" s="205"/>
      <c r="AY27" s="205"/>
      <c r="AZ27" s="245"/>
      <c r="BA27" s="215"/>
      <c r="BB27" s="215"/>
      <c r="BC27" s="248"/>
      <c r="BD27" s="216"/>
      <c r="BE27" s="217"/>
      <c r="BF27" s="217"/>
      <c r="BG27" s="217"/>
      <c r="BH27" s="217"/>
      <c r="BI27" s="217"/>
      <c r="BJ27" s="217"/>
      <c r="BK27" s="217"/>
      <c r="BL27" s="217"/>
      <c r="BM27" s="217"/>
      <c r="BN27" s="217"/>
      <c r="BO27" s="217"/>
      <c r="BP27" s="217"/>
      <c r="BQ27" s="217"/>
      <c r="BR27" s="217"/>
      <c r="BS27" s="217"/>
      <c r="BT27" s="217"/>
      <c r="BU27" s="217"/>
      <c r="BV27" s="217"/>
      <c r="BW27" s="217"/>
      <c r="BX27" s="217"/>
      <c r="BY27" s="217"/>
      <c r="BZ27" s="217"/>
      <c r="CA27" s="217"/>
      <c r="CB27" s="217"/>
      <c r="CC27" s="217"/>
      <c r="CD27" s="217"/>
    </row>
    <row r="28" spans="2:82" s="218" customFormat="1" ht="39.75" hidden="1" customHeight="1">
      <c r="D28" s="282"/>
      <c r="E28" s="278"/>
      <c r="F28" s="278"/>
      <c r="G28" s="278"/>
      <c r="H28" s="278"/>
      <c r="I28" s="260"/>
      <c r="J28" s="260"/>
      <c r="K28" s="260"/>
      <c r="L28" s="260"/>
      <c r="M28" s="260"/>
      <c r="N28" s="260"/>
      <c r="O28" s="260"/>
      <c r="P28" s="264"/>
      <c r="Q28" s="270"/>
      <c r="R28" s="274"/>
      <c r="S28" s="264"/>
      <c r="T28" s="270"/>
      <c r="U28" s="264"/>
      <c r="V28" s="211">
        <v>2</v>
      </c>
      <c r="W28" s="179"/>
      <c r="X28" s="180"/>
      <c r="Y28" s="200" t="str">
        <f t="shared" si="18"/>
        <v/>
      </c>
      <c r="Z28" s="201"/>
      <c r="AA28" s="201"/>
      <c r="AB28" s="202" t="str">
        <f t="shared" si="19"/>
        <v/>
      </c>
      <c r="AC28" s="201"/>
      <c r="AD28" s="201"/>
      <c r="AE28" s="214"/>
      <c r="AF28" s="175"/>
      <c r="AG28" s="203" t="str">
        <f>IFERROR(IF(Y28="Probabilidad",(Q27-(+Q28*AB28)),IF(Y28="Impacto",Q28,"")),"")</f>
        <v/>
      </c>
      <c r="AH28" s="204" t="str">
        <f t="shared" si="3"/>
        <v/>
      </c>
      <c r="AI28" s="202" t="str">
        <f t="shared" si="4"/>
        <v/>
      </c>
      <c r="AJ28" s="204" t="str">
        <f t="shared" si="5"/>
        <v/>
      </c>
      <c r="AK28" s="202" t="str">
        <f t="shared" si="15"/>
        <v/>
      </c>
      <c r="AL28" s="204" t="str">
        <f t="shared" si="6"/>
        <v/>
      </c>
      <c r="AM28" s="266"/>
      <c r="AN28" s="211">
        <v>2</v>
      </c>
      <c r="AO28" s="260"/>
      <c r="AP28" s="254"/>
      <c r="AQ28" s="254"/>
      <c r="AR28" s="254"/>
      <c r="AS28" s="251"/>
      <c r="AT28" s="205"/>
      <c r="AU28" s="205"/>
      <c r="AV28" s="205"/>
      <c r="AW28" s="205"/>
      <c r="AX28" s="205"/>
      <c r="AY28" s="205"/>
      <c r="AZ28" s="245"/>
      <c r="BA28" s="215"/>
      <c r="BB28" s="215"/>
      <c r="BC28" s="248"/>
      <c r="BD28" s="216"/>
      <c r="BE28" s="217"/>
      <c r="BF28" s="217"/>
      <c r="BG28" s="217"/>
      <c r="BH28" s="217"/>
      <c r="BI28" s="217"/>
      <c r="BJ28" s="217"/>
      <c r="BK28" s="217"/>
      <c r="BL28" s="217"/>
      <c r="BM28" s="217"/>
      <c r="BN28" s="217"/>
      <c r="BO28" s="217"/>
      <c r="BP28" s="217"/>
      <c r="BQ28" s="217"/>
      <c r="BR28" s="217"/>
      <c r="BS28" s="217"/>
      <c r="BT28" s="217"/>
      <c r="BU28" s="217"/>
      <c r="BV28" s="217"/>
      <c r="BW28" s="217"/>
      <c r="BX28" s="217"/>
      <c r="BY28" s="217"/>
      <c r="BZ28" s="217"/>
      <c r="CA28" s="217"/>
      <c r="CB28" s="217"/>
      <c r="CC28" s="217"/>
      <c r="CD28" s="217"/>
    </row>
    <row r="29" spans="2:82" s="218" customFormat="1" ht="39.75" hidden="1" customHeight="1">
      <c r="D29" s="279">
        <v>9</v>
      </c>
      <c r="E29" s="277"/>
      <c r="F29" s="277"/>
      <c r="G29" s="277"/>
      <c r="H29" s="277"/>
      <c r="I29" s="259"/>
      <c r="J29" s="259"/>
      <c r="K29" s="259"/>
      <c r="L29" s="259"/>
      <c r="M29" s="259"/>
      <c r="N29" s="259"/>
      <c r="O29" s="259"/>
      <c r="P29" s="263" t="str">
        <f t="shared" si="12"/>
        <v/>
      </c>
      <c r="Q29" s="269" t="str">
        <f t="shared" ref="Q29" si="24">IF(P29="","",IF(P29="Muy Baja",0.2,IF(P29="Baja",0.4,IF(P29="Media",0.6,IF(P29="Alta",0.8,IF(P29="Muy Alta",1,))))))</f>
        <v/>
      </c>
      <c r="R29" s="273"/>
      <c r="S29" s="263" t="str">
        <f>IFERROR(VLOOKUP(R29,Criterios[],2,FALSE),"")</f>
        <v/>
      </c>
      <c r="T29" s="269" t="str">
        <f t="shared" ref="T29" si="25">IF(S29="","",IF(S29="Leve",0.2,IF(S29="Menor",0.4,IF(S29="Moderado",0.6,IF(S29="Mayor",0.8,IF(S29="Catastrófico",1,))))))</f>
        <v/>
      </c>
      <c r="U29" s="263" t="str">
        <f>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9">
        <v>1</v>
      </c>
      <c r="W29" s="179"/>
      <c r="X29" s="180"/>
      <c r="Y29" s="200" t="str">
        <f t="shared" si="18"/>
        <v/>
      </c>
      <c r="Z29" s="201"/>
      <c r="AA29" s="201"/>
      <c r="AB29" s="202" t="str">
        <f t="shared" si="19"/>
        <v/>
      </c>
      <c r="AC29" s="201"/>
      <c r="AD29" s="201"/>
      <c r="AE29" s="214"/>
      <c r="AF29" s="175"/>
      <c r="AG29" s="203" t="str">
        <f>IFERROR(IF(Y29="Probabilidad",(Q29-(+Q29*AB29)),IF(Y29="Impacto",Q29,"")),"")</f>
        <v/>
      </c>
      <c r="AH29" s="204" t="str">
        <f t="shared" si="3"/>
        <v/>
      </c>
      <c r="AI29" s="202" t="str">
        <f t="shared" si="4"/>
        <v/>
      </c>
      <c r="AJ29" s="204" t="str">
        <f t="shared" si="5"/>
        <v/>
      </c>
      <c r="AK29" s="202" t="str">
        <f>IFERROR(IF(Y29="Impacto",(T29-(+T29*AB29)),IF(Y29="Probabilidad",T29,"")),"")</f>
        <v/>
      </c>
      <c r="AL29" s="204" t="str">
        <f t="shared" si="6"/>
        <v/>
      </c>
      <c r="AM29" s="265" t="s">
        <v>125</v>
      </c>
      <c r="AN29" s="199">
        <v>1</v>
      </c>
      <c r="AO29" s="259"/>
      <c r="AP29" s="253"/>
      <c r="AQ29" s="253"/>
      <c r="AR29" s="253"/>
      <c r="AS29" s="251"/>
      <c r="AT29" s="205"/>
      <c r="AU29" s="205"/>
      <c r="AV29" s="205"/>
      <c r="AW29" s="205"/>
      <c r="AX29" s="205"/>
      <c r="AY29" s="205"/>
      <c r="AZ29" s="245"/>
      <c r="BA29" s="215"/>
      <c r="BB29" s="215"/>
      <c r="BC29" s="248"/>
      <c r="BD29" s="216"/>
      <c r="BE29" s="217"/>
      <c r="BF29" s="217"/>
      <c r="BG29" s="217"/>
      <c r="BH29" s="217"/>
      <c r="BI29" s="217"/>
      <c r="BJ29" s="217"/>
      <c r="BK29" s="217"/>
      <c r="BL29" s="217"/>
      <c r="BM29" s="217"/>
      <c r="BN29" s="217"/>
      <c r="BO29" s="217"/>
      <c r="BP29" s="217"/>
      <c r="BQ29" s="217"/>
      <c r="BR29" s="217"/>
      <c r="BS29" s="217"/>
      <c r="BT29" s="217"/>
      <c r="BU29" s="217"/>
      <c r="BV29" s="217"/>
      <c r="BW29" s="217"/>
      <c r="BX29" s="217"/>
      <c r="BY29" s="217"/>
      <c r="BZ29" s="217"/>
      <c r="CA29" s="217"/>
      <c r="CB29" s="217"/>
      <c r="CC29" s="217"/>
      <c r="CD29" s="217"/>
    </row>
    <row r="30" spans="2:82" s="218" customFormat="1" ht="39.75" hidden="1" customHeight="1">
      <c r="D30" s="280"/>
      <c r="E30" s="278"/>
      <c r="F30" s="278"/>
      <c r="G30" s="278"/>
      <c r="H30" s="278"/>
      <c r="I30" s="260"/>
      <c r="J30" s="260"/>
      <c r="K30" s="260"/>
      <c r="L30" s="260"/>
      <c r="M30" s="260"/>
      <c r="N30" s="260"/>
      <c r="O30" s="260"/>
      <c r="P30" s="264"/>
      <c r="Q30" s="270"/>
      <c r="R30" s="274"/>
      <c r="S30" s="264"/>
      <c r="T30" s="270"/>
      <c r="U30" s="264"/>
      <c r="V30" s="211">
        <v>2</v>
      </c>
      <c r="W30" s="179"/>
      <c r="X30" s="180"/>
      <c r="Y30" s="200" t="str">
        <f t="shared" si="18"/>
        <v/>
      </c>
      <c r="Z30" s="201"/>
      <c r="AA30" s="201"/>
      <c r="AB30" s="202" t="str">
        <f t="shared" si="19"/>
        <v/>
      </c>
      <c r="AC30" s="201"/>
      <c r="AD30" s="201"/>
      <c r="AE30" s="214"/>
      <c r="AF30" s="176"/>
      <c r="AG30" s="203" t="str">
        <f>IFERROR(IF(Y30="Probabilidad",(Q29-(+Q30*AB30)),IF(Y30="Impacto",Q30,"")),"")</f>
        <v/>
      </c>
      <c r="AH30" s="204" t="str">
        <f t="shared" si="3"/>
        <v/>
      </c>
      <c r="AI30" s="202" t="str">
        <f t="shared" si="4"/>
        <v/>
      </c>
      <c r="AJ30" s="204" t="str">
        <f t="shared" si="5"/>
        <v/>
      </c>
      <c r="AK30" s="202" t="str">
        <f t="shared" si="15"/>
        <v/>
      </c>
      <c r="AL30" s="204" t="str">
        <f t="shared" si="6"/>
        <v/>
      </c>
      <c r="AM30" s="266"/>
      <c r="AN30" s="211">
        <v>2</v>
      </c>
      <c r="AO30" s="260"/>
      <c r="AP30" s="254"/>
      <c r="AQ30" s="254"/>
      <c r="AR30" s="254"/>
      <c r="AS30" s="252"/>
      <c r="AT30" s="205"/>
      <c r="AU30" s="205"/>
      <c r="AV30" s="205"/>
      <c r="AW30" s="205"/>
      <c r="AX30" s="205"/>
      <c r="AY30" s="205"/>
      <c r="AZ30" s="246"/>
      <c r="BA30" s="215"/>
      <c r="BB30" s="215"/>
      <c r="BC30" s="249"/>
      <c r="BD30" s="216"/>
      <c r="BE30" s="217"/>
      <c r="BF30" s="217"/>
      <c r="BG30" s="217"/>
      <c r="BH30" s="217"/>
      <c r="BI30" s="217"/>
      <c r="BJ30" s="217"/>
      <c r="BK30" s="217"/>
      <c r="BL30" s="217"/>
      <c r="BM30" s="217"/>
      <c r="BN30" s="217"/>
      <c r="BO30" s="217"/>
      <c r="BP30" s="217"/>
      <c r="BQ30" s="217"/>
      <c r="BR30" s="217"/>
      <c r="BS30" s="217"/>
      <c r="BT30" s="217"/>
      <c r="BU30" s="217"/>
      <c r="BV30" s="217"/>
      <c r="BW30" s="217"/>
      <c r="BX30" s="217"/>
      <c r="BY30" s="217"/>
      <c r="BZ30" s="217"/>
      <c r="CA30" s="217"/>
      <c r="CB30" s="217"/>
      <c r="CC30" s="217"/>
      <c r="CD30" s="217"/>
    </row>
    <row r="31" spans="2:82" ht="49.5" customHeight="1">
      <c r="D31" s="219"/>
      <c r="E31" s="220"/>
      <c r="F31" s="220"/>
      <c r="G31" s="220"/>
      <c r="H31" s="220"/>
      <c r="I31" s="314" t="s">
        <v>146</v>
      </c>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row>
    <row r="33" spans="4:60">
      <c r="D33" s="104"/>
      <c r="E33" s="105"/>
      <c r="F33" s="105"/>
      <c r="G33" s="105"/>
      <c r="H33" s="105"/>
      <c r="I33" s="105"/>
      <c r="J33" s="105"/>
      <c r="K33" s="105"/>
      <c r="L33" s="181"/>
      <c r="M33" s="181"/>
      <c r="N33" s="181"/>
      <c r="P33" s="221"/>
      <c r="Q33" s="105"/>
      <c r="R33" s="105"/>
      <c r="S33" s="105"/>
      <c r="T33" s="105"/>
      <c r="U33" s="105"/>
      <c r="V33" s="105"/>
      <c r="W33" s="105"/>
      <c r="X33" s="105"/>
      <c r="Y33" s="106"/>
      <c r="Z33" s="106"/>
      <c r="AA33" s="105"/>
      <c r="AB33" s="105"/>
      <c r="AC33" s="105"/>
      <c r="AD33" s="105"/>
      <c r="AE33" s="105"/>
      <c r="AF33" s="105"/>
      <c r="AG33" s="105"/>
      <c r="AH33" s="105"/>
      <c r="AI33" s="105"/>
      <c r="AJ33" s="105"/>
      <c r="AK33" s="105"/>
      <c r="AL33" s="105"/>
      <c r="AM33" s="107"/>
      <c r="AN33" s="107"/>
      <c r="AO33" s="107"/>
      <c r="AP33" s="105"/>
      <c r="AQ33" s="105"/>
      <c r="AR33" s="105"/>
      <c r="AS33" s="105"/>
      <c r="AT33" s="105"/>
      <c r="AU33" s="105"/>
      <c r="AV33" s="105"/>
      <c r="AW33" s="105"/>
      <c r="AX33" s="105"/>
      <c r="AY33" s="105"/>
      <c r="AZ33" s="105"/>
      <c r="BA33" s="105"/>
    </row>
    <row r="34" spans="4:60" ht="12.75">
      <c r="D34" s="320" t="s">
        <v>147</v>
      </c>
      <c r="E34" s="321"/>
      <c r="F34" s="321"/>
      <c r="G34" s="321"/>
      <c r="H34" s="321"/>
      <c r="I34" s="321"/>
      <c r="J34" s="321"/>
      <c r="K34" s="321"/>
      <c r="L34" s="181"/>
      <c r="M34" s="181"/>
      <c r="N34" s="181"/>
      <c r="O34" s="317"/>
      <c r="P34" s="318"/>
      <c r="Q34" s="318"/>
      <c r="R34" s="319"/>
      <c r="S34" s="105"/>
      <c r="T34" s="105"/>
      <c r="U34" s="105"/>
      <c r="V34" s="105"/>
      <c r="W34" s="105"/>
      <c r="X34" s="107"/>
      <c r="Y34" s="106"/>
      <c r="Z34" s="106"/>
      <c r="AA34" s="105"/>
      <c r="AB34" s="106"/>
      <c r="AC34" s="106"/>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H34" s="181" t="s">
        <v>148</v>
      </c>
    </row>
    <row r="35" spans="4:60" ht="13.9" thickBot="1">
      <c r="D35" s="181"/>
      <c r="E35" s="181"/>
      <c r="F35" s="181"/>
      <c r="G35" s="181"/>
      <c r="H35" s="181"/>
      <c r="I35" s="181"/>
      <c r="J35" s="181"/>
      <c r="L35" s="181"/>
      <c r="M35" s="181"/>
      <c r="N35" s="181"/>
      <c r="P35" s="182" t="str">
        <f>+IFERROR(VLOOKUP(L35,$L$190:$P$194,3,FALSE)*VLOOKUP(O35,$O$190:$P$194,3,FALSE),"")</f>
        <v/>
      </c>
      <c r="Y35" s="182"/>
      <c r="Z35" s="222"/>
      <c r="AB35" s="222"/>
      <c r="AC35" s="222"/>
      <c r="AD35" s="223"/>
      <c r="AE35" s="223"/>
      <c r="AF35" s="223"/>
      <c r="AG35" s="223"/>
      <c r="AH35" s="223"/>
      <c r="AI35" s="182"/>
      <c r="AJ35" s="182"/>
      <c r="AK35" s="223"/>
      <c r="AL35" s="224"/>
      <c r="AQ35" s="223"/>
      <c r="AY35" s="223"/>
      <c r="AZ35" s="223"/>
      <c r="BH35" s="181" t="s">
        <v>149</v>
      </c>
    </row>
    <row r="36" spans="4:60" ht="17.649999999999999" customHeight="1" thickTop="1" thickBot="1">
      <c r="D36" s="312" t="s">
        <v>150</v>
      </c>
      <c r="E36" s="312"/>
      <c r="F36" s="312"/>
      <c r="G36" s="312"/>
      <c r="H36" s="312"/>
      <c r="I36" s="312"/>
      <c r="J36" s="312"/>
      <c r="K36" s="225" t="s">
        <v>151</v>
      </c>
      <c r="L36" s="312" t="s">
        <v>152</v>
      </c>
      <c r="M36" s="312"/>
      <c r="N36" s="312"/>
      <c r="O36" s="312"/>
      <c r="P36" s="312"/>
      <c r="Q36" s="312"/>
      <c r="R36" s="312"/>
      <c r="S36" s="313" t="s">
        <v>153</v>
      </c>
      <c r="T36" s="313"/>
      <c r="U36" s="313"/>
      <c r="V36" s="312" t="s">
        <v>154</v>
      </c>
      <c r="W36" s="312"/>
      <c r="X36" s="312"/>
      <c r="Y36" s="312"/>
      <c r="Z36" s="313">
        <v>1</v>
      </c>
      <c r="AA36" s="313"/>
      <c r="AB36" s="313"/>
      <c r="AC36" s="313"/>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7"/>
      <c r="BH36" s="181" t="s">
        <v>155</v>
      </c>
    </row>
    <row r="37" spans="4:60" ht="13.5" customHeight="1" thickTop="1">
      <c r="D37" s="329" t="s">
        <v>156</v>
      </c>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BH37" s="181" t="s">
        <v>157</v>
      </c>
    </row>
  </sheetData>
  <sheetProtection formatCells="0" formatColumns="0" formatRows="0" selectLockedCells="1"/>
  <protectedRanges>
    <protectedRange sqref="P1:P8 P10:P1048576" name="Rango1"/>
  </protectedRanges>
  <dataConsolidate/>
  <mergeCells count="261">
    <mergeCell ref="D37:AC37"/>
    <mergeCell ref="M13:N13"/>
    <mergeCell ref="AF12:AF14"/>
    <mergeCell ref="A11:C11"/>
    <mergeCell ref="F13:F14"/>
    <mergeCell ref="G13:G14"/>
    <mergeCell ref="AH13:AH14"/>
    <mergeCell ref="AI13:AI14"/>
    <mergeCell ref="O13:O14"/>
    <mergeCell ref="P13:P14"/>
    <mergeCell ref="Q13:Q14"/>
    <mergeCell ref="S13:S14"/>
    <mergeCell ref="T13:T14"/>
    <mergeCell ref="L15:L16"/>
    <mergeCell ref="M15:M16"/>
    <mergeCell ref="D15:D16"/>
    <mergeCell ref="E15:E16"/>
    <mergeCell ref="G21:G22"/>
    <mergeCell ref="H21:H22"/>
    <mergeCell ref="U15:U16"/>
    <mergeCell ref="I15:I16"/>
    <mergeCell ref="J15:J16"/>
    <mergeCell ref="K15:K16"/>
    <mergeCell ref="F15:F16"/>
    <mergeCell ref="H9:BD9"/>
    <mergeCell ref="V36:Y36"/>
    <mergeCell ref="Z36:AC36"/>
    <mergeCell ref="I31:AY31"/>
    <mergeCell ref="V13:V14"/>
    <mergeCell ref="N19:N20"/>
    <mergeCell ref="P19:P20"/>
    <mergeCell ref="R19:R20"/>
    <mergeCell ref="Q17:Q18"/>
    <mergeCell ref="Q19:Q20"/>
    <mergeCell ref="O19:O20"/>
    <mergeCell ref="AO15:AO16"/>
    <mergeCell ref="AP15:AP16"/>
    <mergeCell ref="D36:J36"/>
    <mergeCell ref="O34:R34"/>
    <mergeCell ref="L36:R36"/>
    <mergeCell ref="S36:U36"/>
    <mergeCell ref="D34:K34"/>
    <mergeCell ref="D13:D14"/>
    <mergeCell ref="AZ11:BB12"/>
    <mergeCell ref="AM15:AM16"/>
    <mergeCell ref="BC11:BD12"/>
    <mergeCell ref="U13:U14"/>
    <mergeCell ref="BC13:BC14"/>
    <mergeCell ref="E13:E14"/>
    <mergeCell ref="Y13:Y14"/>
    <mergeCell ref="H13:H14"/>
    <mergeCell ref="BB13:BB14"/>
    <mergeCell ref="AS11:AY12"/>
    <mergeCell ref="BD13:BD14"/>
    <mergeCell ref="AZ13:AZ14"/>
    <mergeCell ref="AU13:AU14"/>
    <mergeCell ref="AN13:AN14"/>
    <mergeCell ref="AV13:AV14"/>
    <mergeCell ref="AT13:AT14"/>
    <mergeCell ref="AX13:AX14"/>
    <mergeCell ref="AR13:AR14"/>
    <mergeCell ref="AQ13:AQ14"/>
    <mergeCell ref="AP13:AP14"/>
    <mergeCell ref="AJ13:AJ14"/>
    <mergeCell ref="D11:AR11"/>
    <mergeCell ref="AS13:AS14"/>
    <mergeCell ref="BA13:BA14"/>
    <mergeCell ref="AW13:AW14"/>
    <mergeCell ref="AY13:AY14"/>
    <mergeCell ref="W13:W14"/>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AO13:AO14"/>
    <mergeCell ref="AG12:AM12"/>
    <mergeCell ref="Z13:AE13"/>
    <mergeCell ref="AO12:AR12"/>
    <mergeCell ref="D8:G8"/>
    <mergeCell ref="D9:G9"/>
    <mergeCell ref="H8:BD8"/>
    <mergeCell ref="G15:G16"/>
    <mergeCell ref="E19:E20"/>
    <mergeCell ref="F19:F20"/>
    <mergeCell ref="G19:G20"/>
    <mergeCell ref="H19:H20"/>
    <mergeCell ref="F21:F22"/>
    <mergeCell ref="D19:D20"/>
    <mergeCell ref="N15:N16"/>
    <mergeCell ref="O15:O16"/>
    <mergeCell ref="E17:E18"/>
    <mergeCell ref="D17:D18"/>
    <mergeCell ref="E21:E22"/>
    <mergeCell ref="D21:D22"/>
    <mergeCell ref="M19:M20"/>
    <mergeCell ref="M21:M22"/>
    <mergeCell ref="O21:O22"/>
    <mergeCell ref="H15:H16"/>
    <mergeCell ref="I29:I30"/>
    <mergeCell ref="F17:F18"/>
    <mergeCell ref="J29:J30"/>
    <mergeCell ref="K23:K24"/>
    <mergeCell ref="K25:K26"/>
    <mergeCell ref="K27:K28"/>
    <mergeCell ref="K29:K30"/>
    <mergeCell ref="L21:L22"/>
    <mergeCell ref="L23:L24"/>
    <mergeCell ref="L25:L26"/>
    <mergeCell ref="L27:L28"/>
    <mergeCell ref="L29:L30"/>
    <mergeCell ref="I25:I26"/>
    <mergeCell ref="I27:I28"/>
    <mergeCell ref="J21:J22"/>
    <mergeCell ref="J23:J24"/>
    <mergeCell ref="J25:J26"/>
    <mergeCell ref="G17:G18"/>
    <mergeCell ref="H17:H18"/>
    <mergeCell ref="J17:J18"/>
    <mergeCell ref="Q15:Q16"/>
    <mergeCell ref="M23:M24"/>
    <mergeCell ref="M25:M26"/>
    <mergeCell ref="M27:M28"/>
    <mergeCell ref="R15:R16"/>
    <mergeCell ref="I19:I20"/>
    <mergeCell ref="J19:J20"/>
    <mergeCell ref="S15:S16"/>
    <mergeCell ref="T15:T16"/>
    <mergeCell ref="R17:R18"/>
    <mergeCell ref="S17:S18"/>
    <mergeCell ref="M17:M18"/>
    <mergeCell ref="P15:P16"/>
    <mergeCell ref="L17:L18"/>
    <mergeCell ref="N17:N18"/>
    <mergeCell ref="P17:P18"/>
    <mergeCell ref="I17:I18"/>
    <mergeCell ref="O17:O18"/>
    <mergeCell ref="J27:J28"/>
    <mergeCell ref="K17:K18"/>
    <mergeCell ref="K19:K20"/>
    <mergeCell ref="K21:K22"/>
    <mergeCell ref="I21:I22"/>
    <mergeCell ref="I23:I24"/>
    <mergeCell ref="D23:D24"/>
    <mergeCell ref="E23:E24"/>
    <mergeCell ref="F23:F24"/>
    <mergeCell ref="G23:G24"/>
    <mergeCell ref="H23:H24"/>
    <mergeCell ref="D29:D30"/>
    <mergeCell ref="E29:E30"/>
    <mergeCell ref="D25:D26"/>
    <mergeCell ref="E25:E26"/>
    <mergeCell ref="F25:F26"/>
    <mergeCell ref="G25:G26"/>
    <mergeCell ref="H25:H26"/>
    <mergeCell ref="D27:D28"/>
    <mergeCell ref="E27:E28"/>
    <mergeCell ref="F27:F28"/>
    <mergeCell ref="G27:G28"/>
    <mergeCell ref="H27:H28"/>
    <mergeCell ref="F29:F30"/>
    <mergeCell ref="G29:G30"/>
    <mergeCell ref="H29:H30"/>
    <mergeCell ref="M29:M30"/>
    <mergeCell ref="L19:L20"/>
    <mergeCell ref="N21:N22"/>
    <mergeCell ref="N23:N24"/>
    <mergeCell ref="N25:N26"/>
    <mergeCell ref="N27:N28"/>
    <mergeCell ref="N29:N30"/>
    <mergeCell ref="O23:O24"/>
    <mergeCell ref="O25:O26"/>
    <mergeCell ref="O27:O28"/>
    <mergeCell ref="O29:O30"/>
    <mergeCell ref="R21:R22"/>
    <mergeCell ref="R23:R24"/>
    <mergeCell ref="R25:R26"/>
    <mergeCell ref="R27:R28"/>
    <mergeCell ref="R29:R30"/>
    <mergeCell ref="P21:P22"/>
    <mergeCell ref="P23:P24"/>
    <mergeCell ref="P25:P26"/>
    <mergeCell ref="P27:P28"/>
    <mergeCell ref="P29:P30"/>
    <mergeCell ref="Q21:Q22"/>
    <mergeCell ref="Q23:Q24"/>
    <mergeCell ref="Q25:Q26"/>
    <mergeCell ref="Q27:Q28"/>
    <mergeCell ref="Q29:Q30"/>
    <mergeCell ref="S21:S22"/>
    <mergeCell ref="S23:S24"/>
    <mergeCell ref="S25:S26"/>
    <mergeCell ref="S27:S28"/>
    <mergeCell ref="S29:S30"/>
    <mergeCell ref="T17:T18"/>
    <mergeCell ref="T19:T20"/>
    <mergeCell ref="T21:T22"/>
    <mergeCell ref="T23:T24"/>
    <mergeCell ref="T25:T26"/>
    <mergeCell ref="T27:T28"/>
    <mergeCell ref="T29:T30"/>
    <mergeCell ref="S19:S20"/>
    <mergeCell ref="U19:U20"/>
    <mergeCell ref="U21:U22"/>
    <mergeCell ref="U23:U24"/>
    <mergeCell ref="U25:U26"/>
    <mergeCell ref="U27:U28"/>
    <mergeCell ref="U29:U30"/>
    <mergeCell ref="AM17:AM18"/>
    <mergeCell ref="AM19:AM20"/>
    <mergeCell ref="AM21:AM22"/>
    <mergeCell ref="AM23:AM24"/>
    <mergeCell ref="AM25:AM26"/>
    <mergeCell ref="AM27:AM28"/>
    <mergeCell ref="AM29:AM30"/>
    <mergeCell ref="U17:U18"/>
    <mergeCell ref="AO19:AO20"/>
    <mergeCell ref="AO21:AO22"/>
    <mergeCell ref="AO23:AO24"/>
    <mergeCell ref="AO25:AO26"/>
    <mergeCell ref="AO27:AO28"/>
    <mergeCell ref="AO29:AO30"/>
    <mergeCell ref="AP17:AP18"/>
    <mergeCell ref="AQ17:AQ18"/>
    <mergeCell ref="AP23:AP24"/>
    <mergeCell ref="AQ23:AQ24"/>
    <mergeCell ref="AO17:AO18"/>
    <mergeCell ref="AZ15:AZ30"/>
    <mergeCell ref="BC15:BC30"/>
    <mergeCell ref="AS15:AS30"/>
    <mergeCell ref="AR23:AR24"/>
    <mergeCell ref="AP25:AP26"/>
    <mergeCell ref="AQ25:AQ26"/>
    <mergeCell ref="AR25:AR26"/>
    <mergeCell ref="AP27:AP28"/>
    <mergeCell ref="AQ27:AQ28"/>
    <mergeCell ref="AR27:AR28"/>
    <mergeCell ref="AP29:AP30"/>
    <mergeCell ref="AQ29:AQ30"/>
    <mergeCell ref="AR29:AR30"/>
    <mergeCell ref="AR17:AR18"/>
    <mergeCell ref="AP19:AP20"/>
    <mergeCell ref="AQ19:AQ20"/>
    <mergeCell ref="AR19:AR20"/>
    <mergeCell ref="AP21:AP22"/>
    <mergeCell ref="AQ21:AQ22"/>
    <mergeCell ref="AR21:AR22"/>
    <mergeCell ref="AQ15:AQ16"/>
    <mergeCell ref="AR15:AR16"/>
  </mergeCells>
  <conditionalFormatting sqref="P15 P17 P19 P21 P23 P25 P27 P29 AH15:AH30">
    <cfRule type="cellIs" dxfId="22" priority="51" operator="equal">
      <formula>"Muy Alta"</formula>
    </cfRule>
    <cfRule type="cellIs" dxfId="21" priority="52" operator="equal">
      <formula>"Alta"</formula>
    </cfRule>
    <cfRule type="cellIs" dxfId="20" priority="53" operator="equal">
      <formula>"Media"</formula>
    </cfRule>
    <cfRule type="cellIs" dxfId="19" priority="54" operator="equal">
      <formula>"Baja"</formula>
    </cfRule>
    <cfRule type="cellIs" dxfId="18" priority="55" operator="equal">
      <formula>"Muy Baja"</formula>
    </cfRule>
  </conditionalFormatting>
  <conditionalFormatting sqref="S15 AJ15:AJ30 S17 S19 S21 S23 S25 S27 S29">
    <cfRule type="cellIs" dxfId="17" priority="46" operator="equal">
      <formula>"Catastrófico"</formula>
    </cfRule>
    <cfRule type="cellIs" dxfId="16" priority="47" operator="equal">
      <formula>"Mayor"</formula>
    </cfRule>
    <cfRule type="cellIs" dxfId="15" priority="48" operator="equal">
      <formula>"Moderado"</formula>
    </cfRule>
    <cfRule type="cellIs" dxfId="14" priority="49" operator="equal">
      <formula>"Menor"</formula>
    </cfRule>
    <cfRule type="cellIs" dxfId="13" priority="50" operator="equal">
      <formula>"Leve"</formula>
    </cfRule>
  </conditionalFormatting>
  <conditionalFormatting sqref="U15 AL15:AL30 U17 U19 U21 U23 U25 U27 U29">
    <cfRule type="cellIs" dxfId="12" priority="42" operator="equal">
      <formula>"Extremo"</formula>
    </cfRule>
    <cfRule type="cellIs" dxfId="11" priority="43" operator="equal">
      <formula>"Alto"</formula>
    </cfRule>
    <cfRule type="cellIs" dxfId="10" priority="44" operator="equal">
      <formula>"Moderado"</formula>
    </cfRule>
    <cfRule type="cellIs" dxfId="9" priority="45" operator="equal">
      <formula>"Bajo"</formula>
    </cfRule>
  </conditionalFormatting>
  <conditionalFormatting sqref="AI33:AI35">
    <cfRule type="cellIs" dxfId="8" priority="16" operator="equal">
      <formula>#REF!</formula>
    </cfRule>
    <cfRule type="cellIs" dxfId="7" priority="17" operator="equal">
      <formula>#REF!</formula>
    </cfRule>
  </conditionalFormatting>
  <conditionalFormatting sqref="AI33:AJ35">
    <cfRule type="cellIs" dxfId="6" priority="15" stopIfTrue="1" operator="equal">
      <formula>#REF!</formula>
    </cfRule>
  </conditionalFormatting>
  <conditionalFormatting sqref="AJ33:AJ35">
    <cfRule type="cellIs" dxfId="5" priority="19" stopIfTrue="1" operator="equal">
      <formula>#REF!</formula>
    </cfRule>
    <cfRule type="cellIs" dxfId="4" priority="20" stopIfTrue="1" operator="equal">
      <formula>#REF!</formula>
    </cfRule>
  </conditionalFormatting>
  <dataValidations count="9">
    <dataValidation type="list" allowBlank="1" showInputMessage="1" showErrorMessage="1" sqref="K33" xr:uid="{E7CBB6DD-CA21-4F20-B837-DEEBEDE991B0}">
      <formula1>$K$190:$K$199</formula1>
    </dataValidation>
    <dataValidation type="list" allowBlank="1" showInputMessage="1" showErrorMessage="1" sqref="K35 AI35:AJ35" xr:uid="{8A7F923E-99B9-48F1-88A7-BD3C76A7A331}">
      <formula1>#REF!</formula1>
    </dataValidation>
    <dataValidation type="list" allowBlank="1" showInputMessage="1" showErrorMessage="1" sqref="Y35" xr:uid="{6A4C1180-7664-46B9-B954-AB8AC89A5349}">
      <formula1>$R$190:$R$191</formula1>
    </dataValidation>
    <dataValidation type="list" allowBlank="1" showInputMessage="1" showErrorMessage="1" sqref="O35" xr:uid="{F89FA14F-15BD-4AE0-8F12-4695A3574DF0}">
      <formula1>$O$190:$O$194</formula1>
    </dataValidation>
    <dataValidation type="list" allowBlank="1" showInputMessage="1" showErrorMessage="1" sqref="L35:N35" xr:uid="{569120C3-D407-453C-A7B1-28F033DB9E16}">
      <formula1>$L$190:$L$194</formula1>
    </dataValidation>
    <dataValidation type="list" allowBlank="1" showInputMessage="1" showErrorMessage="1" sqref="AB35:AH35 AY35:AZ35 AQ35 Z35" xr:uid="{5B934552-7E34-4D6D-B014-A89BF41C2656}">
      <formula1>$AQ$190:$AQ$197</formula1>
    </dataValidation>
    <dataValidation type="list" allowBlank="1" showInputMessage="1" showErrorMessage="1" error="Recuerde que las acciones se generan bajo la medida de mitigar el riesgo" sqref="AY15:AY18" xr:uid="{4B584D5B-9332-4AEF-A386-FDD9877F4F2C}">
      <formula1>$BH$34:$BH$37</formula1>
    </dataValidation>
    <dataValidation type="custom" allowBlank="1" showInputMessage="1" showErrorMessage="1" error="Recuerde que las acciones se generan bajo la medida de mitigar el riesgo" sqref="AP15 AP29 AP27 AP25 AP23 AP21 AP17 AP19" xr:uid="{1E6160F0-7BCF-4F51-830F-99EAC950A1F8}"/>
    <dataValidation type="list" allowBlank="1" showInputMessage="1" showErrorMessage="1" sqref="R15:R30" xr:uid="{3B166FBC-70BC-4CC7-B3DB-2A6C0F50C51A}">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8CF35CCB-2ACC-41E6-80F5-2114862E0DA2}">
          <x14:formula1>
            <xm:f>'Opciones Tratamiento'!$B$9:$B$10</xm:f>
          </x14:formula1>
          <xm:sqref>BB19:BB30</xm:sqref>
        </x14:dataValidation>
        <x14:dataValidation type="list" allowBlank="1" showInputMessage="1" showErrorMessage="1" xr:uid="{BB2E221C-5C2D-4420-A47B-628221FED33C}">
          <x14:formula1>
            <xm:f>'Opciones Tratamiento'!$B$13:$B$19</xm:f>
          </x14:formula1>
          <xm:sqref>L15 L17:L30</xm:sqref>
        </x14:dataValidation>
        <x14:dataValidation type="list" allowBlank="1" showInputMessage="1" showErrorMessage="1" xr:uid="{6C91C8E3-151E-4DAF-A20C-0AA61A19FEF4}">
          <x14:formula1>
            <xm:f>'Opciones Tratamiento'!$B$2:$B$5</xm:f>
          </x14:formula1>
          <xm:sqref>AM25 AM23 AM21 AM19 AM17 AM29 AM27 AM15</xm:sqref>
        </x14:dataValidation>
        <x14:dataValidation type="custom" allowBlank="1" showInputMessage="1" showErrorMessage="1" error="Recuerde que las acciones se generan bajo la medida de mitigar el riesgo" xr:uid="{73A207C4-D890-4652-982A-CDC434A7DFCA}">
          <x14:formula1>
            <xm:f>IF(OR(AM19='Opciones Tratamiento'!$B$2,AM19='Opciones Tratamiento'!$B$3,AM19='Opciones Tratamiento'!$B$4),ISBLANK(AM19),ISTEXT(AM19))</xm:f>
          </x14:formula1>
          <xm:sqref>AY19:AY30</xm:sqref>
        </x14:dataValidation>
        <x14:dataValidation type="list" allowBlank="1" showInputMessage="1" showErrorMessage="1" xr:uid="{90CD845A-77D7-4D15-966E-B1B1E417D4A7}">
          <x14:formula1>
            <xm:f>Listas!$B$2:$B$7</xm:f>
          </x14:formula1>
          <xm:sqref>H15 H17:H30</xm:sqref>
        </x14:dataValidation>
        <x14:dataValidation type="list" allowBlank="1" showInputMessage="1" showErrorMessage="1" xr:uid="{C2193AB5-2C1C-48ED-9521-E1EEB1968494}">
          <x14:formula1>
            <xm:f>Listas!$C$2:$C$6</xm:f>
          </x14:formula1>
          <xm:sqref>M15 M17:M30</xm:sqref>
        </x14:dataValidation>
        <x14:dataValidation type="list" allowBlank="1" showInputMessage="1" showErrorMessage="1" xr:uid="{B9C0FEC4-140B-49F8-A4B3-303BE4955C97}">
          <x14:formula1>
            <xm:f>Listas!$D$2:$D$5</xm:f>
          </x14:formula1>
          <xm:sqref>N15 N17:N30</xm:sqref>
        </x14:dataValidation>
        <x14:dataValidation type="custom" allowBlank="1" showInputMessage="1" showErrorMessage="1" error="Recuerde que las acciones se generan bajo la medida de mitigar el riesgo" xr:uid="{053AEA5E-75F8-4A86-85BF-A22BD85B483D}">
          <x14:formula1>
            <xm:f>IF(OR(AM16='Opciones Tratamiento'!$B$2,AM16='Opciones Tratamiento'!$B$3,AM16='Opciones Tratamiento'!$B$4),ISBLANK(AM16),ISTEXT(AM16))</xm:f>
          </x14:formula1>
          <xm:sqref>AU16 AU20 AU22 AU24 AU26 AU28 AU30 AU15:AX15 AR29 AR27 AR25 AR23 AR21 AR17 AR15:AS15 AR19</xm:sqref>
        </x14:dataValidation>
        <x14:dataValidation type="custom" allowBlank="1" showInputMessage="1" showErrorMessage="1" error="Recuerde que las acciones se generan bajo la medida de mitigar el riesgo" xr:uid="{C444F3E3-68C1-4B44-9F17-13656242F1D1}">
          <x14:formula1>
            <xm:f>IF(OR(#REF!='Opciones Tratamiento'!$B$2,#REF!='Opciones Tratamiento'!$B$3,#REF!='Opciones Tratamiento'!$B$4),ISBLANK(#REF!),ISTEXT(#REF!))</xm:f>
          </x14:formula1>
          <xm:sqref>BC15 BD15:BD30 AU18</xm:sqref>
        </x14:dataValidation>
        <x14:dataValidation type="custom" allowBlank="1" showInputMessage="1" showErrorMessage="1" error="Recuerde que las acciones se generan bajo la medida de mitigar el riesgo" xr:uid="{B8865A4F-6169-4220-8116-10B9516D01B0}">
          <x14:formula1>
            <xm:f>IF(OR(AQ19='Opciones Tratamiento'!$B$2,AQ19='Opciones Tratamiento'!$B$3,AQ19='Opciones Tratamiento'!$B$4),ISBLANK(AQ19),ISTEXT(AQ19))</xm:f>
          </x14:formula1>
          <xm:sqref>BA19:BA30</xm:sqref>
        </x14:dataValidation>
        <x14:dataValidation type="list" allowBlank="1" showInputMessage="1" showErrorMessage="1" xr:uid="{0999E2CD-08D8-4EE3-B715-EE59CE4BF76A}">
          <x14:formula1>
            <xm:f>Formulas!$B$3:$B$6</xm:f>
          </x14:formula1>
          <xm:sqref>E15:E16</xm:sqref>
        </x14:dataValidation>
        <x14:dataValidation type="list" allowBlank="1" showInputMessage="1" showErrorMessage="1" xr:uid="{5EB465A0-18FF-45E1-B350-3B7A4C1848C2}">
          <x14:formula1>
            <xm:f>Formulas!$E$3:$E$5</xm:f>
          </x14:formula1>
          <xm:sqref>G15:G16</xm:sqref>
        </x14:dataValidation>
        <x14:dataValidation type="custom" allowBlank="1" showInputMessage="1" showErrorMessage="1" error="Recuerde que las acciones se generan bajo la medida de mitigar el riesgo" xr:uid="{CE360CE6-9978-4C8D-9737-14B5A8FA86BD}">
          <x14:formula1>
            <xm:f>IF(OR(AM16='Opciones Tratamiento'!$B$2,AM16='Opciones Tratamiento'!$B$3,AM16='Opciones Tratamiento'!$B$4),ISBLANK(AM16),ISTEXT(AM16))</xm:f>
          </x14:formula1>
          <xm:sqref>AQ15 AQ29 AQ27 AQ25 AQ23 AQ21 AQ19 AQ17 AU17 AU19 AU21 AU23 AU25 AU27 AU29</xm:sqref>
        </x14:dataValidation>
        <x14:dataValidation type="list" allowBlank="1" showInputMessage="1" showErrorMessage="1" xr:uid="{5E831E96-BB32-443B-883A-4789291A85E9}">
          <x14:formula1>
            <xm:f>Formulas!$B$3:$B$18</xm:f>
          </x14:formula1>
          <xm:sqref>E17:E30</xm:sqref>
        </x14:dataValidation>
        <x14:dataValidation type="list" allowBlank="1" showInputMessage="1" showErrorMessage="1" xr:uid="{2E9BF662-69C3-4F9A-B192-F6F2F5D764E6}">
          <x14:formula1>
            <xm:f>Formulas!$E$3:$E$23</xm:f>
          </x14:formula1>
          <xm:sqref>G17:G30</xm:sqref>
        </x14:dataValidation>
        <x14:dataValidation type="custom" allowBlank="1" showInputMessage="1" showErrorMessage="1" error="Recuerde que las acciones se generan bajo la medida de mitigar el riesgo" xr:uid="{903BCF2F-4B88-4E57-A6F0-124D513620FB}">
          <x14:formula1>
            <xm:f>IF(OR(AQ17='Opciones Tratamiento'!$B$2,AQ17='Opciones Tratamiento'!$B$3,AQ17='Opciones Tratamiento'!$B$4),ISBLANK(AQ17),ISTEXT(AQ17))</xm:f>
          </x14:formula1>
          <xm:sqref>AV17:AX30</xm:sqref>
        </x14:dataValidation>
        <x14:dataValidation type="list" allowBlank="1" showInputMessage="1" showErrorMessage="1" xr:uid="{937A4C6A-E533-472D-856D-FC610032E7CA}">
          <x14:formula1>
            <xm:f>'Tabla Valoración controles'!$D$4:$D$6</xm:f>
          </x14:formula1>
          <xm:sqref>Z15:Z30</xm:sqref>
        </x14:dataValidation>
        <x14:dataValidation type="list" allowBlank="1" showInputMessage="1" showErrorMessage="1" xr:uid="{9077AA23-CD1F-4DDE-9850-08ADE2B0FA62}">
          <x14:formula1>
            <xm:f>'Tabla Valoración controles'!$D$7:$D$8</xm:f>
          </x14:formula1>
          <xm:sqref>AA15:AA30</xm:sqref>
        </x14:dataValidation>
        <x14:dataValidation type="list" allowBlank="1" showInputMessage="1" showErrorMessage="1" xr:uid="{CF7F9DBF-A8FC-4026-8DA8-AD979B7E4B45}">
          <x14:formula1>
            <xm:f>'Tabla Valoración controles'!$D$9:$D$10</xm:f>
          </x14:formula1>
          <xm:sqref>AC15:AC30</xm:sqref>
        </x14:dataValidation>
        <x14:dataValidation type="list" allowBlank="1" showInputMessage="1" showErrorMessage="1" xr:uid="{D92C35A9-7D9B-4C83-9F05-54ECAC1A2941}">
          <x14:formula1>
            <xm:f>'Tabla Valoración controles'!$D$11:$D$12</xm:f>
          </x14:formula1>
          <xm:sqref>AD15:AD30</xm:sqref>
        </x14:dataValidation>
        <x14:dataValidation type="list" allowBlank="1" showInputMessage="1" showErrorMessage="1" xr:uid="{867E20DD-0666-4C79-A116-D1D561CE1BDF}">
          <x14:formula1>
            <xm:f>'Tabla Valoración controles'!$D$13:$D$14</xm:f>
          </x14:formula1>
          <xm:sqref>AE15:AE30</xm:sqref>
        </x14:dataValidation>
        <x14:dataValidation type="list" allowBlank="1" showInputMessage="1" showErrorMessage="1" xr:uid="{1982ED57-FC21-420C-A67F-D534396D656D}">
          <x14:formula1>
            <xm:f>Formulas!$D$3:$D$6</xm:f>
          </x14:formula1>
          <xm:sqref>F15:F30</xm:sqref>
        </x14:dataValidation>
        <x14:dataValidation type="list" allowBlank="1" showInputMessage="1" showErrorMessage="1" error="Recuerde que las acciones se generan bajo la medida de mitigar el riesgo" xr:uid="{7F476461-CF1D-42C9-99BB-E4C26E04341B}">
          <x14:formula1>
            <xm:f>Formulas!$H$3:$H$4</xm:f>
          </x14:formula1>
          <xm:sqref>AT15:AT30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defaultColWidth="11.42578125" defaultRowHeight="14.45"/>
  <cols>
    <col min="1" max="1" width="129.7109375" bestFit="1" customWidth="1"/>
  </cols>
  <sheetData>
    <row r="1" spans="1:2">
      <c r="A1" t="s">
        <v>158</v>
      </c>
      <c r="B1" t="s">
        <v>104</v>
      </c>
    </row>
    <row r="2" spans="1:2">
      <c r="A2" t="s">
        <v>137</v>
      </c>
      <c r="B2" t="s">
        <v>159</v>
      </c>
    </row>
    <row r="3" spans="1:2">
      <c r="A3" t="s">
        <v>160</v>
      </c>
      <c r="B3" t="s">
        <v>161</v>
      </c>
    </row>
    <row r="4" spans="1:2">
      <c r="A4" t="s">
        <v>162</v>
      </c>
      <c r="B4" t="s">
        <v>163</v>
      </c>
    </row>
    <row r="5" spans="1:2">
      <c r="A5" t="s">
        <v>164</v>
      </c>
      <c r="B5" t="s">
        <v>165</v>
      </c>
    </row>
    <row r="6" spans="1:2">
      <c r="A6" t="s">
        <v>166</v>
      </c>
      <c r="B6" t="s">
        <v>167</v>
      </c>
    </row>
    <row r="7" spans="1:2">
      <c r="A7" t="s">
        <v>168</v>
      </c>
      <c r="B7" t="s">
        <v>159</v>
      </c>
    </row>
    <row r="8" spans="1:2">
      <c r="A8" t="s">
        <v>169</v>
      </c>
      <c r="B8" t="s">
        <v>161</v>
      </c>
    </row>
    <row r="9" spans="1:2">
      <c r="A9" t="s">
        <v>116</v>
      </c>
      <c r="B9" t="s">
        <v>163</v>
      </c>
    </row>
    <row r="10" spans="1:2">
      <c r="A10" t="s">
        <v>170</v>
      </c>
      <c r="B10" t="s">
        <v>165</v>
      </c>
    </row>
    <row r="11" spans="1:2">
      <c r="A11" t="s">
        <v>171</v>
      </c>
      <c r="B11" t="s">
        <v>167</v>
      </c>
    </row>
    <row r="12" spans="1:2">
      <c r="A12" t="s">
        <v>172</v>
      </c>
      <c r="B12" t="s">
        <v>163</v>
      </c>
    </row>
    <row r="13" spans="1:2">
      <c r="A13" t="s">
        <v>173</v>
      </c>
      <c r="B13" t="s">
        <v>165</v>
      </c>
    </row>
    <row r="14" spans="1:2">
      <c r="A14" t="s">
        <v>174</v>
      </c>
      <c r="B14" t="s">
        <v>167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defaultColWidth="11.42578125" defaultRowHeight="14.45"/>
  <cols>
    <col min="1" max="1" width="4" customWidth="1"/>
    <col min="2" max="3" width="31.28515625" customWidth="1"/>
    <col min="4" max="4" width="30.42578125" customWidth="1"/>
    <col min="5" max="5" width="24.42578125" customWidth="1"/>
    <col min="6" max="6" width="22.7109375" customWidth="1"/>
    <col min="7" max="7" width="37" customWidth="1"/>
    <col min="8" max="8" width="21.28515625" customWidth="1"/>
    <col min="9" max="9" width="13.7109375" customWidth="1"/>
    <col min="10" max="10" width="17.28515625" customWidth="1"/>
    <col min="13" max="13" width="15.7109375" customWidth="1"/>
    <col min="14" max="14" width="14.7109375" customWidth="1"/>
    <col min="17" max="17" width="24.7109375" customWidth="1"/>
    <col min="18" max="18" width="29.5703125" customWidth="1"/>
  </cols>
  <sheetData>
    <row r="1" spans="2:18">
      <c r="B1" s="385" t="s">
        <v>52</v>
      </c>
      <c r="C1" s="385"/>
      <c r="D1" s="385"/>
      <c r="E1" s="385"/>
      <c r="F1" s="385"/>
      <c r="G1" s="385"/>
      <c r="H1" s="385"/>
      <c r="I1" s="385"/>
      <c r="J1" s="385"/>
      <c r="L1" s="385" t="s">
        <v>54</v>
      </c>
      <c r="M1" s="385"/>
      <c r="N1" s="385"/>
      <c r="O1" s="385"/>
      <c r="P1" s="385"/>
      <c r="Q1" s="385"/>
      <c r="R1" s="385"/>
    </row>
    <row r="2" spans="2:18" ht="50.25" customHeight="1">
      <c r="B2" s="161" t="s">
        <v>175</v>
      </c>
      <c r="C2" s="161" t="s">
        <v>176</v>
      </c>
      <c r="D2" s="160" t="s">
        <v>60</v>
      </c>
      <c r="E2" s="160" t="s">
        <v>177</v>
      </c>
      <c r="F2" s="160" t="s">
        <v>178</v>
      </c>
      <c r="G2" s="161" t="s">
        <v>179</v>
      </c>
      <c r="H2" s="161" t="s">
        <v>180</v>
      </c>
      <c r="I2" s="161" t="s">
        <v>181</v>
      </c>
      <c r="J2" s="160" t="s">
        <v>182</v>
      </c>
      <c r="L2" s="159" t="s">
        <v>102</v>
      </c>
      <c r="M2" s="159" t="s">
        <v>103</v>
      </c>
      <c r="N2" s="159" t="s">
        <v>55</v>
      </c>
      <c r="O2" s="159" t="s">
        <v>105</v>
      </c>
      <c r="P2" s="159" t="s">
        <v>106</v>
      </c>
      <c r="Q2" s="159" t="s">
        <v>83</v>
      </c>
      <c r="R2" s="162" t="s">
        <v>183</v>
      </c>
    </row>
    <row r="3" spans="2:18" ht="27.6">
      <c r="B3" s="18" t="s">
        <v>107</v>
      </c>
      <c r="C3" s="18" t="s">
        <v>184</v>
      </c>
      <c r="D3" s="108" t="s">
        <v>108</v>
      </c>
      <c r="E3" s="108" t="s">
        <v>130</v>
      </c>
      <c r="F3" t="s">
        <v>185</v>
      </c>
      <c r="G3" s="108" t="s">
        <v>186</v>
      </c>
      <c r="H3" t="s">
        <v>14</v>
      </c>
      <c r="I3" t="s">
        <v>187</v>
      </c>
      <c r="J3" t="s">
        <v>188</v>
      </c>
      <c r="L3" s="2" t="s">
        <v>119</v>
      </c>
      <c r="M3" s="2" t="s">
        <v>189</v>
      </c>
      <c r="N3" s="2" t="s">
        <v>121</v>
      </c>
      <c r="O3" s="2" t="s">
        <v>122</v>
      </c>
      <c r="P3" s="2" t="s">
        <v>190</v>
      </c>
      <c r="Q3" s="2" t="s">
        <v>191</v>
      </c>
      <c r="R3" t="s">
        <v>192</v>
      </c>
    </row>
    <row r="4" spans="2:18" ht="31.5" customHeight="1">
      <c r="B4" s="18" t="s">
        <v>193</v>
      </c>
      <c r="C4" s="18" t="s">
        <v>194</v>
      </c>
      <c r="D4" s="108" t="s">
        <v>195</v>
      </c>
      <c r="E4" s="108" t="s">
        <v>196</v>
      </c>
      <c r="F4" t="s">
        <v>131</v>
      </c>
      <c r="G4" s="108" t="s">
        <v>113</v>
      </c>
      <c r="H4" t="s">
        <v>15</v>
      </c>
      <c r="I4" t="s">
        <v>197</v>
      </c>
      <c r="J4" t="s">
        <v>115</v>
      </c>
      <c r="L4" s="2" t="s">
        <v>198</v>
      </c>
      <c r="M4" s="2" t="s">
        <v>120</v>
      </c>
      <c r="N4" s="2" t="s">
        <v>199</v>
      </c>
      <c r="O4" s="2" t="s">
        <v>200</v>
      </c>
      <c r="P4" s="2" t="s">
        <v>201</v>
      </c>
      <c r="Q4" s="2" t="s">
        <v>202</v>
      </c>
      <c r="R4" t="s">
        <v>203</v>
      </c>
    </row>
    <row r="5" spans="2:18" ht="26.25" customHeight="1">
      <c r="B5" s="18" t="s">
        <v>129</v>
      </c>
      <c r="C5" s="18" t="s">
        <v>204</v>
      </c>
      <c r="D5" s="108" t="s">
        <v>205</v>
      </c>
      <c r="E5" s="108" t="s">
        <v>206</v>
      </c>
      <c r="F5" t="s">
        <v>207</v>
      </c>
      <c r="G5" s="108" t="s">
        <v>208</v>
      </c>
      <c r="I5" t="s">
        <v>209</v>
      </c>
      <c r="J5" t="s">
        <v>210</v>
      </c>
      <c r="L5" s="2" t="s">
        <v>211</v>
      </c>
      <c r="P5" s="2" t="s">
        <v>212</v>
      </c>
      <c r="Q5" s="2" t="s">
        <v>213</v>
      </c>
    </row>
    <row r="6" spans="2:18" ht="24.75" customHeight="1">
      <c r="B6" s="18" t="s">
        <v>67</v>
      </c>
      <c r="C6" s="18" t="s">
        <v>214</v>
      </c>
      <c r="D6" s="108"/>
      <c r="F6" t="s">
        <v>109</v>
      </c>
      <c r="G6" s="108" t="s">
        <v>215</v>
      </c>
      <c r="I6" t="s">
        <v>114</v>
      </c>
      <c r="J6" t="s">
        <v>216</v>
      </c>
      <c r="Q6" s="2" t="s">
        <v>125</v>
      </c>
    </row>
    <row r="7" spans="2:18" ht="26.25" customHeight="1">
      <c r="B7" s="18"/>
      <c r="C7" s="18" t="s">
        <v>217</v>
      </c>
      <c r="D7" s="108"/>
      <c r="F7" t="s">
        <v>218</v>
      </c>
      <c r="G7" s="108" t="s">
        <v>219</v>
      </c>
      <c r="I7" t="s">
        <v>220</v>
      </c>
      <c r="Q7" s="2" t="s">
        <v>221</v>
      </c>
    </row>
    <row r="8" spans="2:18" ht="28.9">
      <c r="B8" s="18"/>
      <c r="C8" s="18"/>
      <c r="D8" s="108"/>
      <c r="F8" t="s">
        <v>222</v>
      </c>
      <c r="G8" s="108" t="s">
        <v>223</v>
      </c>
      <c r="I8" s="108" t="s">
        <v>224</v>
      </c>
    </row>
    <row r="9" spans="2:18" ht="31.5" customHeight="1">
      <c r="B9" s="18"/>
      <c r="C9" s="18"/>
      <c r="D9" s="108"/>
      <c r="G9" s="108" t="s">
        <v>225</v>
      </c>
      <c r="I9" t="s">
        <v>226</v>
      </c>
    </row>
    <row r="10" spans="2:18">
      <c r="B10" s="18"/>
      <c r="C10" s="18"/>
      <c r="D10" s="108"/>
      <c r="I10" t="s">
        <v>227</v>
      </c>
    </row>
    <row r="11" spans="2:18">
      <c r="B11" s="18"/>
      <c r="C11" s="18"/>
      <c r="D11" s="108"/>
    </row>
    <row r="12" spans="2:18">
      <c r="B12" s="18"/>
      <c r="C12" s="18"/>
      <c r="I12" t="s">
        <v>227</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defaultColWidth="11.42578125" defaultRowHeight="14.45"/>
  <sheetData>
    <row r="2" spans="2:2">
      <c r="B2" t="s">
        <v>228</v>
      </c>
    </row>
    <row r="30" spans="2:2">
      <c r="B30" t="s">
        <v>229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defaultColWidth="11.42578125" defaultRowHeight="14.45"/>
  <cols>
    <col min="3" max="3" width="119" customWidth="1"/>
    <col min="4" max="4" width="33.28515625" customWidth="1"/>
  </cols>
  <sheetData>
    <row r="1" spans="3:4" ht="15" thickBot="1"/>
    <row r="2" spans="3:4">
      <c r="C2" s="386" t="s">
        <v>230</v>
      </c>
      <c r="D2" s="387"/>
    </row>
    <row r="3" spans="3:4">
      <c r="C3" s="388"/>
      <c r="D3" s="389"/>
    </row>
    <row r="4" spans="3:4" ht="15" thickBot="1">
      <c r="C4" s="144" t="s">
        <v>231</v>
      </c>
      <c r="D4" s="145" t="s">
        <v>232</v>
      </c>
    </row>
    <row r="5" spans="3:4" ht="30" customHeight="1">
      <c r="C5" s="146" t="s">
        <v>233</v>
      </c>
      <c r="D5" s="147">
        <v>1</v>
      </c>
    </row>
    <row r="6" spans="3:4" ht="28.5" customHeight="1">
      <c r="C6" s="148" t="s">
        <v>234</v>
      </c>
      <c r="D6" s="149">
        <v>1</v>
      </c>
    </row>
    <row r="7" spans="3:4" ht="28.5" customHeight="1">
      <c r="C7" s="150" t="s">
        <v>235</v>
      </c>
      <c r="D7" s="149">
        <v>1</v>
      </c>
    </row>
    <row r="8" spans="3:4" ht="28.5" customHeight="1">
      <c r="C8" s="150" t="s">
        <v>236</v>
      </c>
      <c r="D8" s="149">
        <v>1</v>
      </c>
    </row>
    <row r="9" spans="3:4" ht="18.600000000000001" customHeight="1">
      <c r="C9" s="150" t="s">
        <v>237</v>
      </c>
      <c r="D9" s="149">
        <v>1</v>
      </c>
    </row>
    <row r="10" spans="3:4" ht="28.5" customHeight="1">
      <c r="C10" s="150" t="s">
        <v>238</v>
      </c>
      <c r="D10" s="149">
        <v>1</v>
      </c>
    </row>
    <row r="11" spans="3:4" ht="21" customHeight="1">
      <c r="C11" s="148" t="s">
        <v>239</v>
      </c>
      <c r="D11" s="149">
        <v>1</v>
      </c>
    </row>
    <row r="12" spans="3:4" ht="21" customHeight="1">
      <c r="C12" s="148" t="s">
        <v>240</v>
      </c>
      <c r="D12" s="149">
        <v>1</v>
      </c>
    </row>
    <row r="13" spans="3:4" ht="21.6" customHeight="1">
      <c r="C13" s="148" t="s">
        <v>241</v>
      </c>
      <c r="D13" s="149">
        <v>1</v>
      </c>
    </row>
    <row r="14" spans="3:4" ht="28.5" customHeight="1">
      <c r="C14" s="148" t="s">
        <v>242</v>
      </c>
      <c r="D14" s="149">
        <v>1</v>
      </c>
    </row>
    <row r="15" spans="3:4" ht="22.5" customHeight="1">
      <c r="C15" s="151"/>
      <c r="D15" s="149">
        <v>1</v>
      </c>
    </row>
    <row r="16" spans="3:4" ht="28.5" customHeight="1">
      <c r="C16" s="152" t="s">
        <v>243</v>
      </c>
      <c r="D16" s="153"/>
    </row>
    <row r="17" spans="3:4" ht="28.5" customHeight="1">
      <c r="C17" s="146" t="s">
        <v>244</v>
      </c>
      <c r="D17" s="149">
        <v>1</v>
      </c>
    </row>
    <row r="18" spans="3:4" ht="28.5" customHeight="1">
      <c r="C18" s="146" t="s">
        <v>245</v>
      </c>
      <c r="D18" s="149">
        <v>1</v>
      </c>
    </row>
    <row r="19" spans="3:4" ht="28.5" customHeight="1">
      <c r="C19" s="146" t="s">
        <v>246</v>
      </c>
      <c r="D19" s="149">
        <v>1</v>
      </c>
    </row>
    <row r="20" spans="3:4" ht="28.5" customHeight="1">
      <c r="C20" s="148" t="s">
        <v>247</v>
      </c>
      <c r="D20" s="149">
        <v>1</v>
      </c>
    </row>
    <row r="21" spans="3:4" ht="28.5" customHeight="1">
      <c r="C21" s="146" t="s">
        <v>248</v>
      </c>
      <c r="D21" s="149">
        <v>1</v>
      </c>
    </row>
    <row r="22" spans="3:4" ht="28.5" customHeight="1">
      <c r="C22" s="154" t="s">
        <v>249</v>
      </c>
      <c r="D22" s="149">
        <v>1</v>
      </c>
    </row>
    <row r="23" spans="3:4" ht="28.5" customHeight="1">
      <c r="C23" s="146" t="s">
        <v>250</v>
      </c>
      <c r="D23" s="149">
        <v>1</v>
      </c>
    </row>
    <row r="24" spans="3:4" ht="28.5" customHeight="1">
      <c r="C24" s="146" t="s">
        <v>251</v>
      </c>
      <c r="D24" s="149">
        <v>1</v>
      </c>
    </row>
    <row r="25" spans="3:4" ht="28.5" customHeight="1">
      <c r="C25" s="151"/>
      <c r="D25" s="149">
        <v>1</v>
      </c>
    </row>
    <row r="26" spans="3:4" ht="28.5" customHeight="1">
      <c r="C26" s="151"/>
      <c r="D26" s="149">
        <v>1</v>
      </c>
    </row>
    <row r="27" spans="3:4" ht="28.5" customHeight="1">
      <c r="C27" s="152" t="s">
        <v>252</v>
      </c>
      <c r="D27" s="155"/>
    </row>
    <row r="28" spans="3:4" ht="28.5" customHeight="1">
      <c r="C28" s="150" t="s">
        <v>253</v>
      </c>
      <c r="D28" s="149">
        <v>1</v>
      </c>
    </row>
    <row r="29" spans="3:4" ht="28.5" customHeight="1">
      <c r="C29" s="150" t="s">
        <v>254</v>
      </c>
      <c r="D29" s="149">
        <v>1</v>
      </c>
    </row>
    <row r="30" spans="3:4" ht="28.5" customHeight="1">
      <c r="C30" s="150" t="s">
        <v>255</v>
      </c>
      <c r="D30" s="149">
        <v>1</v>
      </c>
    </row>
    <row r="31" spans="3:4" ht="28.5" customHeight="1">
      <c r="C31" s="150" t="s">
        <v>256</v>
      </c>
      <c r="D31" s="149">
        <v>1</v>
      </c>
    </row>
    <row r="32" spans="3:4" ht="28.5" customHeight="1">
      <c r="C32" s="150" t="s">
        <v>257</v>
      </c>
      <c r="D32" s="149">
        <v>1</v>
      </c>
    </row>
    <row r="33" spans="3:4" ht="28.5" customHeight="1">
      <c r="C33" s="156" t="s">
        <v>258</v>
      </c>
      <c r="D33" s="149">
        <v>1</v>
      </c>
    </row>
    <row r="34" spans="3:4" ht="28.5" customHeight="1">
      <c r="C34" s="148" t="s">
        <v>259</v>
      </c>
      <c r="D34" s="149">
        <v>1</v>
      </c>
    </row>
    <row r="35" spans="3:4" ht="28.5" customHeight="1">
      <c r="C35" s="150" t="s">
        <v>260</v>
      </c>
      <c r="D35" s="149">
        <v>1</v>
      </c>
    </row>
    <row r="36" spans="3:4" ht="28.5" customHeight="1">
      <c r="C36" s="150" t="s">
        <v>261</v>
      </c>
      <c r="D36" s="149">
        <v>1</v>
      </c>
    </row>
    <row r="37" spans="3:4" ht="28.5" customHeight="1">
      <c r="C37" s="150" t="s">
        <v>262</v>
      </c>
      <c r="D37" s="149">
        <v>1</v>
      </c>
    </row>
    <row r="38" spans="3:4" ht="28.5" customHeight="1">
      <c r="C38" s="148" t="s">
        <v>263</v>
      </c>
      <c r="D38" s="149">
        <v>1</v>
      </c>
    </row>
    <row r="39" spans="3:4" ht="28.5" customHeight="1">
      <c r="C39" s="156" t="s">
        <v>264</v>
      </c>
      <c r="D39" s="149">
        <v>1</v>
      </c>
    </row>
    <row r="40" spans="3:4" ht="28.5" customHeight="1">
      <c r="C40" s="156" t="s">
        <v>265</v>
      </c>
      <c r="D40" s="149">
        <v>1</v>
      </c>
    </row>
    <row r="41" spans="3:4" ht="28.5" customHeight="1">
      <c r="C41" s="156" t="s">
        <v>266</v>
      </c>
      <c r="D41" s="149">
        <v>1</v>
      </c>
    </row>
    <row r="42" spans="3:4" ht="28.5" customHeight="1">
      <c r="C42" s="156" t="s">
        <v>267</v>
      </c>
      <c r="D42" s="149">
        <v>1</v>
      </c>
    </row>
    <row r="43" spans="3:4" ht="28.5" customHeight="1">
      <c r="C43" s="157"/>
      <c r="D43" s="149"/>
    </row>
    <row r="44" spans="3:4" ht="28.5" customHeight="1">
      <c r="C44" s="157"/>
      <c r="D44" s="149"/>
    </row>
    <row r="45" spans="3:4" ht="28.5" customHeight="1">
      <c r="C45" s="152" t="s">
        <v>268</v>
      </c>
      <c r="D45" s="155"/>
    </row>
    <row r="46" spans="3:4" ht="28.5" customHeight="1">
      <c r="C46" s="156" t="s">
        <v>269</v>
      </c>
      <c r="D46" s="149">
        <v>1</v>
      </c>
    </row>
    <row r="47" spans="3:4" ht="28.5" customHeight="1">
      <c r="C47" s="156" t="s">
        <v>270</v>
      </c>
      <c r="D47" s="149">
        <v>1</v>
      </c>
    </row>
    <row r="48" spans="3:4" ht="28.5" customHeight="1">
      <c r="C48" s="156" t="s">
        <v>271</v>
      </c>
      <c r="D48" s="149">
        <v>1</v>
      </c>
    </row>
    <row r="49" spans="3:4" ht="28.5" customHeight="1">
      <c r="C49" s="156" t="s">
        <v>272</v>
      </c>
      <c r="D49" s="149">
        <v>1</v>
      </c>
    </row>
    <row r="50" spans="3:4" ht="28.5" customHeight="1">
      <c r="C50" s="158" t="s">
        <v>273</v>
      </c>
      <c r="D50" s="149">
        <v>1</v>
      </c>
    </row>
    <row r="51" spans="3:4" ht="28.5" customHeight="1">
      <c r="C51" s="158" t="s">
        <v>274</v>
      </c>
      <c r="D51" s="149">
        <v>1</v>
      </c>
    </row>
    <row r="52" spans="3:4" ht="28.5" customHeight="1">
      <c r="C52" s="158" t="s">
        <v>275</v>
      </c>
      <c r="D52" s="149">
        <v>1</v>
      </c>
    </row>
    <row r="53" spans="3:4" ht="28.5" customHeight="1">
      <c r="C53" s="146" t="s">
        <v>276</v>
      </c>
      <c r="D53" s="149">
        <v>1</v>
      </c>
    </row>
    <row r="54" spans="3:4" ht="28.5" customHeight="1">
      <c r="C54" s="146" t="s">
        <v>277</v>
      </c>
      <c r="D54" s="149">
        <v>1</v>
      </c>
    </row>
    <row r="55" spans="3:4" ht="28.5" customHeight="1"/>
    <row r="56" spans="3:4" ht="11.1" customHeight="1"/>
    <row r="57" spans="3:4" ht="11.1" customHeight="1"/>
    <row r="58" spans="3:4" ht="11.1" customHeight="1"/>
    <row r="59" spans="3:4" ht="11.1" customHeight="1"/>
    <row r="60" spans="3:4" ht="11.1" customHeight="1"/>
    <row r="61" spans="3:4" ht="11.1" customHeight="1"/>
    <row r="62" spans="3:4" ht="11.1" customHeight="1"/>
    <row r="63" spans="3:4" ht="11.1" customHeight="1"/>
    <row r="64" spans="3: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defaultColWidth="11.42578125" defaultRowHeight="14.45"/>
  <cols>
    <col min="1" max="1" width="5.28515625" customWidth="1"/>
    <col min="2" max="2" width="8.7109375" customWidth="1"/>
    <col min="3" max="3" width="9" customWidth="1"/>
    <col min="4" max="41" width="5.7109375" customWidth="1"/>
    <col min="43" max="48" width="5.7109375" customWidth="1"/>
  </cols>
  <sheetData>
    <row r="1" spans="1:101" ht="15" thickBot="1"/>
    <row r="2" spans="1:101" ht="15" customHeight="1">
      <c r="D2" s="402" t="s">
        <v>278</v>
      </c>
      <c r="E2" s="403"/>
      <c r="F2" s="403"/>
      <c r="G2" s="403"/>
      <c r="H2" s="403"/>
      <c r="I2" s="403"/>
      <c r="J2" s="403"/>
      <c r="K2" s="404"/>
      <c r="L2" s="393" t="s">
        <v>39</v>
      </c>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c r="AL2" s="394"/>
      <c r="AM2" s="394"/>
      <c r="AN2" s="394"/>
      <c r="AO2" s="395"/>
      <c r="AP2" s="382" t="s">
        <v>279</v>
      </c>
      <c r="AQ2" s="390"/>
      <c r="AR2" s="390"/>
      <c r="AS2" s="390"/>
      <c r="AT2" s="390"/>
      <c r="AU2" s="390"/>
      <c r="AV2" s="356"/>
    </row>
    <row r="3" spans="1:101">
      <c r="D3" s="405"/>
      <c r="E3" s="406"/>
      <c r="F3" s="406"/>
      <c r="G3" s="406"/>
      <c r="H3" s="406"/>
      <c r="I3" s="406"/>
      <c r="J3" s="406"/>
      <c r="K3" s="407"/>
      <c r="L3" s="396"/>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8"/>
      <c r="AP3" s="383" t="s">
        <v>3</v>
      </c>
      <c r="AQ3" s="391"/>
      <c r="AR3" s="391"/>
      <c r="AS3" s="391"/>
      <c r="AT3" s="391"/>
      <c r="AU3" s="391"/>
      <c r="AV3" s="358"/>
    </row>
    <row r="4" spans="1:101">
      <c r="D4" s="405"/>
      <c r="E4" s="406"/>
      <c r="F4" s="406"/>
      <c r="G4" s="406"/>
      <c r="H4" s="406"/>
      <c r="I4" s="406"/>
      <c r="J4" s="406"/>
      <c r="K4" s="407"/>
      <c r="L4" s="396"/>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8"/>
      <c r="AP4" s="383" t="s">
        <v>4</v>
      </c>
      <c r="AQ4" s="391" t="s">
        <v>280</v>
      </c>
      <c r="AR4" s="391"/>
      <c r="AS4" s="391"/>
      <c r="AT4" s="391"/>
      <c r="AU4" s="391"/>
      <c r="AV4" s="358"/>
    </row>
    <row r="5" spans="1:101" ht="15" thickBot="1">
      <c r="D5" s="408"/>
      <c r="E5" s="409"/>
      <c r="F5" s="409"/>
      <c r="G5" s="409"/>
      <c r="H5" s="409"/>
      <c r="I5" s="409"/>
      <c r="J5" s="409"/>
      <c r="K5" s="410"/>
      <c r="L5" s="399"/>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1"/>
      <c r="AP5" s="384" t="s">
        <v>5</v>
      </c>
      <c r="AQ5" s="392" t="s">
        <v>5</v>
      </c>
      <c r="AR5" s="392"/>
      <c r="AS5" s="392"/>
      <c r="AT5" s="392"/>
      <c r="AU5" s="392"/>
      <c r="AV5" s="360"/>
    </row>
    <row r="7" spans="1:101" ht="18" customHeight="1">
      <c r="C7" s="68"/>
      <c r="D7" s="499" t="s">
        <v>281</v>
      </c>
      <c r="E7" s="499"/>
      <c r="F7" s="499"/>
      <c r="G7" s="499"/>
      <c r="H7" s="499"/>
      <c r="I7" s="499"/>
      <c r="J7" s="499"/>
      <c r="K7" s="499"/>
      <c r="L7" s="455" t="s">
        <v>60</v>
      </c>
      <c r="M7" s="455"/>
      <c r="N7" s="455"/>
      <c r="O7" s="455"/>
      <c r="P7" s="455"/>
      <c r="Q7" s="455"/>
      <c r="R7" s="455"/>
      <c r="S7" s="455"/>
      <c r="T7" s="455"/>
      <c r="U7" s="455"/>
      <c r="V7" s="455"/>
      <c r="W7" s="455"/>
      <c r="X7" s="455"/>
      <c r="Y7" s="455"/>
      <c r="Z7" s="455"/>
      <c r="AA7" s="455"/>
      <c r="AB7" s="455"/>
      <c r="AC7" s="455"/>
      <c r="AD7" s="455"/>
      <c r="AE7" s="455"/>
      <c r="AF7" s="455"/>
      <c r="AG7" s="455"/>
      <c r="AH7" s="455"/>
      <c r="AI7" s="455"/>
      <c r="AJ7" s="455"/>
      <c r="AK7" s="455"/>
      <c r="AL7" s="455"/>
      <c r="AM7" s="455"/>
      <c r="AN7" s="455"/>
      <c r="AO7" s="455"/>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497" t="s">
        <v>9</v>
      </c>
      <c r="B8" s="497"/>
      <c r="C8" s="498"/>
      <c r="D8" s="499"/>
      <c r="E8" s="499"/>
      <c r="F8" s="499"/>
      <c r="G8" s="499"/>
      <c r="H8" s="499"/>
      <c r="I8" s="499"/>
      <c r="J8" s="499"/>
      <c r="K8" s="499"/>
      <c r="L8" s="455"/>
      <c r="M8" s="455"/>
      <c r="N8" s="455"/>
      <c r="O8" s="455"/>
      <c r="P8" s="455"/>
      <c r="Q8" s="455"/>
      <c r="R8" s="455"/>
      <c r="S8" s="455"/>
      <c r="T8" s="455"/>
      <c r="U8" s="455"/>
      <c r="V8" s="455"/>
      <c r="W8" s="455"/>
      <c r="X8" s="455"/>
      <c r="Y8" s="455"/>
      <c r="Z8" s="455"/>
      <c r="AA8" s="455"/>
      <c r="AB8" s="455"/>
      <c r="AC8" s="455"/>
      <c r="AD8" s="455"/>
      <c r="AE8" s="455"/>
      <c r="AF8" s="455"/>
      <c r="AG8" s="455"/>
      <c r="AH8" s="455"/>
      <c r="AI8" s="455"/>
      <c r="AJ8" s="455"/>
      <c r="AK8" s="455"/>
      <c r="AL8" s="455"/>
      <c r="AM8" s="455"/>
      <c r="AN8" s="455"/>
      <c r="AO8" s="455"/>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499"/>
      <c r="E9" s="499"/>
      <c r="F9" s="499"/>
      <c r="G9" s="499"/>
      <c r="H9" s="499"/>
      <c r="I9" s="499"/>
      <c r="J9" s="499"/>
      <c r="K9" s="499"/>
      <c r="L9" s="455"/>
      <c r="M9" s="455"/>
      <c r="N9" s="455"/>
      <c r="O9" s="455"/>
      <c r="P9" s="455"/>
      <c r="Q9" s="455"/>
      <c r="R9" s="455"/>
      <c r="S9" s="455"/>
      <c r="T9" s="455"/>
      <c r="U9" s="455"/>
      <c r="V9" s="455"/>
      <c r="W9" s="455"/>
      <c r="X9" s="455"/>
      <c r="Y9" s="455"/>
      <c r="Z9" s="455"/>
      <c r="AA9" s="455"/>
      <c r="AB9" s="455"/>
      <c r="AC9" s="455"/>
      <c r="AD9" s="455"/>
      <c r="AE9" s="455"/>
      <c r="AF9" s="455"/>
      <c r="AG9" s="455"/>
      <c r="AH9" s="455"/>
      <c r="AI9" s="455"/>
      <c r="AJ9" s="455"/>
      <c r="AK9" s="455"/>
      <c r="AL9" s="455"/>
      <c r="AM9" s="455"/>
      <c r="AN9" s="455"/>
      <c r="AO9" s="455"/>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11" t="s">
        <v>282</v>
      </c>
      <c r="E11" s="411"/>
      <c r="F11" s="412"/>
      <c r="G11" s="449" t="s">
        <v>283</v>
      </c>
      <c r="H11" s="450"/>
      <c r="I11" s="450"/>
      <c r="J11" s="450"/>
      <c r="K11" s="450"/>
      <c r="L11" s="457"/>
      <c r="M11" s="458"/>
      <c r="N11" s="458" t="str">
        <f>IF(AND('Mapa final'!$K$15="Muy Alta",'Mapa final'!$O$15="Leve"),CONCATENATE("R",'Mapa final'!$A$16),"")</f>
        <v/>
      </c>
      <c r="O11" s="458"/>
      <c r="P11" s="458" t="str">
        <f>IF(AND('Mapa final'!$K$17="Muy Alta",'Mapa final'!$O$17="Leve"),CONCATENATE("R",'Mapa final'!$A$17),"")</f>
        <v/>
      </c>
      <c r="Q11" s="471"/>
      <c r="R11" s="457"/>
      <c r="S11" s="458"/>
      <c r="T11" s="458" t="str">
        <f>IF(AND('Mapa final'!$P$15="Muy Alta",'Mapa final'!$S$15="Menor"),CONCATENATE("R",'Mapa final'!$A$16),"")</f>
        <v/>
      </c>
      <c r="U11" s="458"/>
      <c r="V11" s="458" t="str">
        <f>IF(AND('Mapa final'!$P$17="Muy Alta",'Mapa final'!$S$17="Menor"),CONCATENATE("R",'Mapa final'!$A$17),"")</f>
        <v/>
      </c>
      <c r="W11" s="458"/>
      <c r="X11" s="457"/>
      <c r="Y11" s="458"/>
      <c r="Z11" s="458" t="str">
        <f>IF(AND('Mapa final'!P$15="Muy Alta",'Mapa final'!$S$15="Moderado"),CONCATENATE("R",'Mapa final'!$A$16),"")</f>
        <v/>
      </c>
      <c r="AA11" s="458"/>
      <c r="AB11" s="458" t="str">
        <f>IF(AND('Mapa final'!$P$17="Muy Alta",'Mapa final'!$S$17="Moderado"),CONCATENATE("R",'Mapa final'!$A$17),"")</f>
        <v/>
      </c>
      <c r="AC11" s="458"/>
      <c r="AD11" s="457"/>
      <c r="AE11" s="458"/>
      <c r="AF11" s="458" t="str">
        <f>IF(AND('Mapa final'!$P$15="Muy Alta",'Mapa final'!$S$15="Mayor"),CONCATENATE("R",'Mapa final'!$A$16),"")</f>
        <v/>
      </c>
      <c r="AG11" s="458"/>
      <c r="AH11" s="458" t="str">
        <f>IF(AND('Mapa final'!$P$17="Muy Alta",'Mapa final'!$S$17="Mayor"),CONCATENATE("R",'Mapa final'!$A$17),"")</f>
        <v/>
      </c>
      <c r="AI11" s="458"/>
      <c r="AJ11" s="475"/>
      <c r="AK11" s="476"/>
      <c r="AL11" s="476" t="str">
        <f>IF(AND('Mapa final'!$P$15="Muy Alta",'Mapa final'!$S$15="Catastrófico"),CONCATENATE("R",'Mapa final'!$A$16),"")</f>
        <v/>
      </c>
      <c r="AM11" s="476"/>
      <c r="AN11" s="476" t="str">
        <f>IF(AND('Mapa final'!$P$17="Muy Alta",'Mapa final'!$S$17="Catastrófico"),CONCATENATE("R",'Mapa final'!$A$17),"")</f>
        <v/>
      </c>
      <c r="AO11" s="477"/>
      <c r="AQ11" s="413" t="s">
        <v>284</v>
      </c>
      <c r="AR11" s="414"/>
      <c r="AS11" s="414"/>
      <c r="AT11" s="414"/>
      <c r="AU11" s="414"/>
      <c r="AV11" s="415"/>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11"/>
      <c r="E12" s="411"/>
      <c r="F12" s="412"/>
      <c r="G12" s="451"/>
      <c r="H12" s="452"/>
      <c r="I12" s="452"/>
      <c r="J12" s="452"/>
      <c r="K12" s="452"/>
      <c r="L12" s="459"/>
      <c r="M12" s="456"/>
      <c r="N12" s="456"/>
      <c r="O12" s="456"/>
      <c r="P12" s="456"/>
      <c r="Q12" s="464"/>
      <c r="R12" s="459"/>
      <c r="S12" s="456"/>
      <c r="T12" s="456"/>
      <c r="U12" s="456"/>
      <c r="V12" s="456"/>
      <c r="W12" s="456"/>
      <c r="X12" s="459"/>
      <c r="Y12" s="456"/>
      <c r="Z12" s="456"/>
      <c r="AA12" s="456"/>
      <c r="AB12" s="456"/>
      <c r="AC12" s="456"/>
      <c r="AD12" s="459"/>
      <c r="AE12" s="456"/>
      <c r="AF12" s="456"/>
      <c r="AG12" s="456"/>
      <c r="AH12" s="456"/>
      <c r="AI12" s="456"/>
      <c r="AJ12" s="472"/>
      <c r="AK12" s="473"/>
      <c r="AL12" s="473"/>
      <c r="AM12" s="473"/>
      <c r="AN12" s="473"/>
      <c r="AO12" s="474"/>
      <c r="AP12" s="68"/>
      <c r="AQ12" s="416"/>
      <c r="AR12" s="417"/>
      <c r="AS12" s="417"/>
      <c r="AT12" s="417"/>
      <c r="AU12" s="417"/>
      <c r="AV12" s="41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11"/>
      <c r="E13" s="411"/>
      <c r="F13" s="412"/>
      <c r="G13" s="451"/>
      <c r="H13" s="452"/>
      <c r="I13" s="452"/>
      <c r="J13" s="452"/>
      <c r="K13" s="452"/>
      <c r="L13" s="459" t="e">
        <f>IF(AND('Mapa final'!#REF!="Muy Alta",'Mapa final'!#REF!="Leve"),CONCATENATE("R",'Mapa final'!#REF!),"")</f>
        <v>#REF!</v>
      </c>
      <c r="M13" s="456"/>
      <c r="N13" s="456" t="str">
        <f>IF(AND('Mapa final'!$K$19="Muy Alta",'Mapa final'!$O$19="Leve"),CONCATENATE("R",'Mapa final'!$A$19),"")</f>
        <v/>
      </c>
      <c r="O13" s="456"/>
      <c r="P13" s="456" t="str">
        <f>IF(AND('Mapa final'!$K$20="Muy Alta",'Mapa final'!$O$20="Leve"),CONCATENATE("R",'Mapa final'!$A$20),"")</f>
        <v/>
      </c>
      <c r="Q13" s="464"/>
      <c r="R13" s="459" t="e">
        <f>IF(AND('Mapa final'!#REF!="Muy Alta",'Mapa final'!#REF!="Menor"),CONCATENATE("R",'Mapa final'!#REF!),"")</f>
        <v>#REF!</v>
      </c>
      <c r="S13" s="456"/>
      <c r="T13" s="456" t="str">
        <f>IF(AND('Mapa final'!$P$19="Muy Alta",'Mapa final'!$S$19="Menor"),CONCATENATE("R",'Mapa final'!$A$19),"")</f>
        <v/>
      </c>
      <c r="U13" s="456"/>
      <c r="V13" s="456" t="str">
        <f>IF(AND('Mapa final'!$P$20="Muy Alta",'Mapa final'!$S$20="Menor"),CONCATENATE("R",'Mapa final'!$A$20),"")</f>
        <v/>
      </c>
      <c r="W13" s="456"/>
      <c r="X13" s="459" t="e">
        <f>IF(AND('Mapa final'!#REF!="Muy Alta",'Mapa final'!#REF!="Moderado"),CONCATENATE("R",'Mapa final'!#REF!),"")</f>
        <v>#REF!</v>
      </c>
      <c r="Y13" s="456"/>
      <c r="Z13" s="456" t="str">
        <f>IF(AND('Mapa final'!$P$19="Muy Alta",'Mapa final'!$S$19="Moderado"),CONCATENATE("R",'Mapa final'!$A$19),"")</f>
        <v/>
      </c>
      <c r="AA13" s="456"/>
      <c r="AB13" s="456" t="str">
        <f>IF(AND('Mapa final'!$P$20="Muy Alta",'Mapa final'!$S$20="Moderado"),CONCATENATE("R",'Mapa final'!$A$20),"")</f>
        <v/>
      </c>
      <c r="AC13" s="456"/>
      <c r="AD13" s="459" t="e">
        <f>IF(AND('Mapa final'!#REF!="Muy Alta",'Mapa final'!#REF!="Mayor"),CONCATENATE("R",'Mapa final'!#REF!),"")</f>
        <v>#REF!</v>
      </c>
      <c r="AE13" s="456"/>
      <c r="AF13" s="456" t="str">
        <f>IF(AND('Mapa final'!$P$19="Muy Alta",'Mapa final'!$S$19="Mayor"),CONCATENATE("R",'Mapa final'!$A$19),"")</f>
        <v/>
      </c>
      <c r="AG13" s="456"/>
      <c r="AH13" s="456" t="str">
        <f>IF(AND('Mapa final'!$P$20="Muy Alta",'Mapa final'!$S$20="Mayor"),CONCATENATE("R",'Mapa final'!$A$20),"")</f>
        <v/>
      </c>
      <c r="AI13" s="456"/>
      <c r="AJ13" s="472" t="e">
        <f>IF(AND('Mapa final'!#REF!="Muy Alta",'Mapa final'!#REF!="Catastrófico"),CONCATENATE("R",'Mapa final'!#REF!),"")</f>
        <v>#REF!</v>
      </c>
      <c r="AK13" s="473"/>
      <c r="AL13" s="473" t="str">
        <f>IF(AND('Mapa final'!$P$19="Muy Alta",'Mapa final'!$S$19="Catastrófico"),CONCATENATE("R",'Mapa final'!$A$19),"")</f>
        <v/>
      </c>
      <c r="AM13" s="473"/>
      <c r="AN13" s="473" t="str">
        <f>IF(AND('Mapa final'!$P$20="Muy Alta",'Mapa final'!$K$20="Catastrófico"),CONCATENATE("R",'Mapa final'!$A$20),"")</f>
        <v/>
      </c>
      <c r="AO13" s="474"/>
      <c r="AP13" s="68"/>
      <c r="AQ13" s="416"/>
      <c r="AR13" s="417"/>
      <c r="AS13" s="417"/>
      <c r="AT13" s="417"/>
      <c r="AU13" s="417"/>
      <c r="AV13" s="41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11"/>
      <c r="E14" s="411"/>
      <c r="F14" s="412"/>
      <c r="G14" s="451"/>
      <c r="H14" s="452"/>
      <c r="I14" s="452"/>
      <c r="J14" s="452"/>
      <c r="K14" s="452"/>
      <c r="L14" s="459"/>
      <c r="M14" s="456"/>
      <c r="N14" s="456"/>
      <c r="O14" s="456"/>
      <c r="P14" s="456"/>
      <c r="Q14" s="464"/>
      <c r="R14" s="459"/>
      <c r="S14" s="456"/>
      <c r="T14" s="456"/>
      <c r="U14" s="456"/>
      <c r="V14" s="456"/>
      <c r="W14" s="456"/>
      <c r="X14" s="459"/>
      <c r="Y14" s="456"/>
      <c r="Z14" s="456"/>
      <c r="AA14" s="456"/>
      <c r="AB14" s="456"/>
      <c r="AC14" s="456"/>
      <c r="AD14" s="459"/>
      <c r="AE14" s="456"/>
      <c r="AF14" s="456"/>
      <c r="AG14" s="456"/>
      <c r="AH14" s="456"/>
      <c r="AI14" s="456"/>
      <c r="AJ14" s="472"/>
      <c r="AK14" s="473"/>
      <c r="AL14" s="473"/>
      <c r="AM14" s="473"/>
      <c r="AN14" s="473"/>
      <c r="AO14" s="474"/>
      <c r="AP14" s="68"/>
      <c r="AQ14" s="416"/>
      <c r="AR14" s="417"/>
      <c r="AS14" s="417"/>
      <c r="AT14" s="417"/>
      <c r="AU14" s="417"/>
      <c r="AV14" s="41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11"/>
      <c r="E15" s="411"/>
      <c r="F15" s="412"/>
      <c r="G15" s="451"/>
      <c r="H15" s="452"/>
      <c r="I15" s="452"/>
      <c r="J15" s="452"/>
      <c r="K15" s="452"/>
      <c r="L15" s="459" t="str">
        <f>IF(AND('Mapa final'!$P$21="Muy Alta",'Mapa final'!$S$21="Leve"),CONCATENATE("R",'Mapa final'!$A$21),"")</f>
        <v/>
      </c>
      <c r="M15" s="456"/>
      <c r="N15" s="456" t="str">
        <f>IF(AND('Mapa final'!$K$22="Muy Alta",'Mapa final'!$O$22="Leve"),CONCATENATE("R",'Mapa final'!$A$22),"")</f>
        <v/>
      </c>
      <c r="O15" s="456"/>
      <c r="P15" s="456" t="str">
        <f>IF(AND('Mapa final'!$K$31="Muy Alta",'Mapa final'!$O$31="Leve"),CONCATENATE("R",'Mapa final'!$A$31),"")</f>
        <v/>
      </c>
      <c r="Q15" s="464"/>
      <c r="R15" s="459" t="str">
        <f>IF(AND('Mapa final'!$P$21="Muy Alta",'Mapa final'!$S$21="Menor"),CONCATENATE("R",'Mapa final'!$A$21),"")</f>
        <v/>
      </c>
      <c r="S15" s="456"/>
      <c r="T15" s="456" t="str">
        <f>IF(AND('Mapa final'!$LT$22="Muy Alta",'Mapa final'!$S$22="Menor"),CONCATENATE("R",'Mapa final'!$A$22),"")</f>
        <v/>
      </c>
      <c r="U15" s="456"/>
      <c r="V15" s="456" t="str">
        <f>IF(AND('Mapa final'!$P$31="Muy Alta",'Mapa final'!$S$31="Menor"),CONCATENATE("R",'Mapa final'!$A$31),"")</f>
        <v/>
      </c>
      <c r="W15" s="456"/>
      <c r="X15" s="459" t="str">
        <f>IF(AND('Mapa final'!$P$21="Muy Alta",'Mapa final'!$S$21="Moderado"),CONCATENATE("R",'Mapa final'!$A$21),"")</f>
        <v/>
      </c>
      <c r="Y15" s="456"/>
      <c r="Z15" s="456" t="str">
        <f>IF(AND('Mapa final'!$P$22="Muy Alta",'Mapa final'!$S$22="Moderado"),CONCATENATE("R",'Mapa final'!$A$22),"")</f>
        <v/>
      </c>
      <c r="AA15" s="456"/>
      <c r="AB15" s="456" t="str">
        <f>IF(AND('Mapa final'!$P$31="Muy Alta",'Mapa final'!$S$31="Moderado"),CONCATENATE("R",'Mapa final'!$A$31),"")</f>
        <v/>
      </c>
      <c r="AC15" s="456"/>
      <c r="AD15" s="459" t="str">
        <f>IF(AND('Mapa final'!$P$21="Muy Alta",'Mapa final'!$S$21="Mayor"),CONCATENATE("R",'Mapa final'!$A$21),"")</f>
        <v/>
      </c>
      <c r="AE15" s="456"/>
      <c r="AF15" s="456" t="str">
        <f>IF(AND('Mapa final'!$P$22="Muy Alta",'Mapa final'!$S$22="Mayor"),CONCATENATE("R",'Mapa final'!$A$22),"")</f>
        <v/>
      </c>
      <c r="AG15" s="456"/>
      <c r="AH15" s="456" t="str">
        <f>IF(AND('Mapa final'!$P$31="Muy Alta",'Mapa final'!$S$31="Mayor"),CONCATENATE("R",'Mapa final'!$A$31),"")</f>
        <v/>
      </c>
      <c r="AI15" s="456"/>
      <c r="AJ15" s="472" t="str">
        <f>IF(AND('Mapa final'!$P$21="Muy Alta",'Mapa final'!$S$21="Catastrófico"),CONCATENATE("R",'Mapa final'!$A$21),"")</f>
        <v/>
      </c>
      <c r="AK15" s="473"/>
      <c r="AL15" s="473" t="str">
        <f>IF(AND('Mapa final'!$P$22="Muy Alta",'Mapa final'!$S$22="Catastrófico"),CONCATENATE("R",'Mapa final'!$A$22),"")</f>
        <v/>
      </c>
      <c r="AM15" s="473"/>
      <c r="AN15" s="473" t="str">
        <f>IF(AND('Mapa final'!$P$31="Muy Alta",'Mapa final'!$S$31="Catastrófico"),CONCATENATE("R",'Mapa final'!$A$31),"")</f>
        <v/>
      </c>
      <c r="AO15" s="474"/>
      <c r="AP15" s="68"/>
      <c r="AQ15" s="416"/>
      <c r="AR15" s="417"/>
      <c r="AS15" s="417"/>
      <c r="AT15" s="417"/>
      <c r="AU15" s="417"/>
      <c r="AV15" s="41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11"/>
      <c r="E16" s="411"/>
      <c r="F16" s="412"/>
      <c r="G16" s="451"/>
      <c r="H16" s="452"/>
      <c r="I16" s="452"/>
      <c r="J16" s="452"/>
      <c r="K16" s="452"/>
      <c r="L16" s="459"/>
      <c r="M16" s="456"/>
      <c r="N16" s="456"/>
      <c r="O16" s="456"/>
      <c r="P16" s="456"/>
      <c r="Q16" s="464"/>
      <c r="R16" s="459"/>
      <c r="S16" s="456"/>
      <c r="T16" s="456"/>
      <c r="U16" s="456"/>
      <c r="V16" s="456"/>
      <c r="W16" s="456"/>
      <c r="X16" s="459"/>
      <c r="Y16" s="456"/>
      <c r="Z16" s="456"/>
      <c r="AA16" s="456"/>
      <c r="AB16" s="456"/>
      <c r="AC16" s="456"/>
      <c r="AD16" s="459"/>
      <c r="AE16" s="456"/>
      <c r="AF16" s="456"/>
      <c r="AG16" s="456"/>
      <c r="AH16" s="456"/>
      <c r="AI16" s="456"/>
      <c r="AJ16" s="472"/>
      <c r="AK16" s="473"/>
      <c r="AL16" s="473"/>
      <c r="AM16" s="473"/>
      <c r="AN16" s="473"/>
      <c r="AO16" s="474"/>
      <c r="AP16" s="68"/>
      <c r="AQ16" s="416"/>
      <c r="AR16" s="417"/>
      <c r="AS16" s="417"/>
      <c r="AT16" s="417"/>
      <c r="AU16" s="417"/>
      <c r="AV16" s="41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11"/>
      <c r="E17" s="411"/>
      <c r="F17" s="412"/>
      <c r="G17" s="451"/>
      <c r="H17" s="452"/>
      <c r="I17" s="452"/>
      <c r="J17" s="452"/>
      <c r="K17" s="452"/>
      <c r="L17" s="459" t="str">
        <f>IF(AND('Mapa final'!$P$32="Muy Alta",'Mapa final'!$S$32="Leve"),CONCATENATE("R",'Mapa final'!$A$32),"")</f>
        <v/>
      </c>
      <c r="M17" s="456"/>
      <c r="N17" s="456" t="str">
        <f>IF(AND('Mapa final'!$K$33="Muy Alta",'Mapa final'!$O$33="Leve"),CONCATENATE("R",'Mapa final'!$A$33),"")</f>
        <v/>
      </c>
      <c r="O17" s="456"/>
      <c r="P17" s="456" t="str">
        <f>IF(AND('Mapa final'!$K$34="Muy Alta",'Mapa final'!$O$34="Leve"),CONCATENATE("R",'Mapa final'!$A$34),"")</f>
        <v/>
      </c>
      <c r="Q17" s="464"/>
      <c r="R17" s="459" t="str">
        <f>IF(AND('Mapa final'!$P$32="Muy Alta",'Mapa final'!$S$32="Menor"),CONCATENATE("R",'Mapa final'!$A$32),"")</f>
        <v/>
      </c>
      <c r="S17" s="456"/>
      <c r="T17" s="456" t="str">
        <f>IF(AND('Mapa final'!$P$33="Muy Alta",'Mapa final'!$S$33="Menor"),CONCATENATE("R",'Mapa final'!$A$33),"")</f>
        <v/>
      </c>
      <c r="U17" s="456"/>
      <c r="V17" s="456" t="str">
        <f>IF(AND('Mapa final'!$P$34="Muy Alta",'Mapa final'!$S$34="Menor"),CONCATENATE("R",'Mapa final'!$A$34),"")</f>
        <v/>
      </c>
      <c r="W17" s="456"/>
      <c r="X17" s="459" t="str">
        <f>IF(AND('Mapa final'!$P$32="Muy Alta",'Mapa final'!$S$32="Moderado"),CONCATENATE("R",'Mapa final'!$A$32),"")</f>
        <v/>
      </c>
      <c r="Y17" s="456"/>
      <c r="Z17" s="456" t="str">
        <f>IF(AND('Mapa final'!$P$33="Muy Alta",'Mapa final'!$S$33="Moderado"),CONCATENATE("R",'Mapa final'!$A$33),"")</f>
        <v/>
      </c>
      <c r="AA17" s="456"/>
      <c r="AB17" s="456" t="str">
        <f>IF(AND('Mapa final'!$P$34="Muy Alta",'Mapa final'!$S$34="Moderado"),CONCATENATE("R",'Mapa final'!$A$34),"")</f>
        <v/>
      </c>
      <c r="AC17" s="456"/>
      <c r="AD17" s="459" t="str">
        <f>IF(AND('Mapa final'!$P$32="Muy Alta",'Mapa final'!$S$32="Mayor"),CONCATENATE("R",'Mapa final'!$A$32),"")</f>
        <v/>
      </c>
      <c r="AE17" s="456"/>
      <c r="AF17" s="456" t="str">
        <f>IF(AND('Mapa final'!$P$33="Muy Alta",'Mapa final'!$S$33="Mayor"),CONCATENATE("R",'Mapa final'!$A$33),"")</f>
        <v/>
      </c>
      <c r="AG17" s="456"/>
      <c r="AH17" s="456" t="str">
        <f>IF(AND('Mapa final'!$P$34="Muy Alta",'Mapa final'!$S$34="Mayor"),CONCATENATE("R",'Mapa final'!$A$34),"")</f>
        <v/>
      </c>
      <c r="AI17" s="456"/>
      <c r="AJ17" s="472" t="str">
        <f>IF(AND('Mapa final'!$P$32="Muy Alta",'Mapa final'!$S$32="Catastrófico"),CONCATENATE("R",'Mapa final'!$A$32),"")</f>
        <v/>
      </c>
      <c r="AK17" s="473"/>
      <c r="AL17" s="473" t="str">
        <f>IF(AND('Mapa final'!$P$33="Muy Alta",'Mapa final'!$S$33="Catastrófico"),CONCATENATE("R",'Mapa final'!$A$33),"")</f>
        <v/>
      </c>
      <c r="AM17" s="473"/>
      <c r="AN17" s="473" t="str">
        <f>IF(AND('Mapa final'!$P$34="Muy Alta",'Mapa final'!$S$34="Catastrófico"),CONCATENATE("R",'Mapa final'!$A$34),"")</f>
        <v/>
      </c>
      <c r="AO17" s="474"/>
      <c r="AP17" s="68"/>
      <c r="AQ17" s="416"/>
      <c r="AR17" s="417"/>
      <c r="AS17" s="417"/>
      <c r="AT17" s="417"/>
      <c r="AU17" s="417"/>
      <c r="AV17" s="41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11"/>
      <c r="E18" s="411"/>
      <c r="F18" s="412"/>
      <c r="G18" s="453"/>
      <c r="H18" s="454"/>
      <c r="I18" s="454"/>
      <c r="J18" s="454"/>
      <c r="K18" s="454"/>
      <c r="L18" s="470"/>
      <c r="M18" s="465"/>
      <c r="N18" s="465"/>
      <c r="O18" s="465"/>
      <c r="P18" s="465"/>
      <c r="Q18" s="466"/>
      <c r="R18" s="470"/>
      <c r="S18" s="465"/>
      <c r="T18" s="465"/>
      <c r="U18" s="465"/>
      <c r="V18" s="465"/>
      <c r="W18" s="465"/>
      <c r="X18" s="459"/>
      <c r="Y18" s="456"/>
      <c r="Z18" s="456"/>
      <c r="AA18" s="456"/>
      <c r="AB18" s="456"/>
      <c r="AC18" s="456"/>
      <c r="AD18" s="459"/>
      <c r="AE18" s="456"/>
      <c r="AF18" s="456"/>
      <c r="AG18" s="456"/>
      <c r="AH18" s="456"/>
      <c r="AI18" s="456"/>
      <c r="AJ18" s="472"/>
      <c r="AK18" s="473"/>
      <c r="AL18" s="473"/>
      <c r="AM18" s="473"/>
      <c r="AN18" s="473"/>
      <c r="AO18" s="474"/>
      <c r="AP18" s="68"/>
      <c r="AQ18" s="419"/>
      <c r="AR18" s="420"/>
      <c r="AS18" s="420"/>
      <c r="AT18" s="420"/>
      <c r="AU18" s="420"/>
      <c r="AV18" s="421"/>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11"/>
      <c r="E19" s="411"/>
      <c r="F19" s="412"/>
      <c r="G19" s="449" t="s">
        <v>285</v>
      </c>
      <c r="H19" s="450"/>
      <c r="I19" s="450"/>
      <c r="J19" s="450"/>
      <c r="K19" s="450"/>
      <c r="L19" s="485"/>
      <c r="M19" s="486"/>
      <c r="N19" s="486" t="str">
        <f>IF(AND('Mapa final'!$K$15="Alta",'Mapa final'!$O$15="Leve"),CONCATENATE("R",'Mapa final'!$A$16),"")</f>
        <v/>
      </c>
      <c r="O19" s="486"/>
      <c r="P19" s="486" t="str">
        <f>IF(AND('Mapa final'!$K$17="Alta",'Mapa final'!$O$17="Leve"),CONCATENATE("R",'Mapa final'!$A$17),"")</f>
        <v/>
      </c>
      <c r="Q19" s="487"/>
      <c r="R19" s="485"/>
      <c r="S19" s="486"/>
      <c r="T19" s="468" t="str">
        <f>IF(AND('Mapa final'!$P$15="Alta",'Mapa final'!$S$15="Menor"),CONCATENATE("R",'Mapa final'!$A$16),"")</f>
        <v/>
      </c>
      <c r="U19" s="468"/>
      <c r="V19" s="468" t="str">
        <f>IF(AND('Mapa final'!$P$17="Alta",'Mapa final'!$S$17="Menor"),CONCATENATE("R",'Mapa final'!$A$17),"")</f>
        <v/>
      </c>
      <c r="W19" s="468"/>
      <c r="X19" s="457"/>
      <c r="Y19" s="458"/>
      <c r="Z19" s="458" t="str">
        <f>IF(AND('Mapa final'!P$15="Alta",'Mapa final'!$S$15="Moderado"),CONCATENATE("R",'Mapa final'!$A$16),"")</f>
        <v/>
      </c>
      <c r="AA19" s="458"/>
      <c r="AB19" s="458" t="str">
        <f>IF(AND('Mapa final'!$P$17="Alta",'Mapa final'!$S$17="Moderado"),CONCATENATE("R",'Mapa final'!$A$17),"")</f>
        <v/>
      </c>
      <c r="AC19" s="458"/>
      <c r="AD19" s="457"/>
      <c r="AE19" s="458"/>
      <c r="AF19" s="458" t="str">
        <f>IF(AND('Mapa final'!$P$15="Alta",'Mapa final'!$S$15="Mayor"),CONCATENATE("R",'Mapa final'!$A$16),"")</f>
        <v/>
      </c>
      <c r="AG19" s="458"/>
      <c r="AH19" s="458" t="str">
        <f>IF(AND('Mapa final'!$P$17="Alta",'Mapa final'!$S$17="Mayor"),CONCATENATE("R",'Mapa final'!$A$17),"")</f>
        <v/>
      </c>
      <c r="AI19" s="458"/>
      <c r="AJ19" s="475"/>
      <c r="AK19" s="476"/>
      <c r="AL19" s="476" t="str">
        <f>IF(AND('Mapa final'!$P$15="Alta",'Mapa final'!$S$15="Catastrófico"),CONCATENATE("R",'Mapa final'!$A$16),"")</f>
        <v/>
      </c>
      <c r="AM19" s="476"/>
      <c r="AN19" s="476" t="str">
        <f>IF(AND('Mapa final'!$P$17="Alta",'Mapa final'!$S$17="Catastrófico"),CONCATENATE("R",'Mapa final'!$A$17),"")</f>
        <v/>
      </c>
      <c r="AO19" s="477"/>
      <c r="AP19" s="68"/>
      <c r="AQ19" s="422" t="s">
        <v>286</v>
      </c>
      <c r="AR19" s="423"/>
      <c r="AS19" s="423"/>
      <c r="AT19" s="423"/>
      <c r="AU19" s="423"/>
      <c r="AV19" s="424"/>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11"/>
      <c r="E20" s="411"/>
      <c r="F20" s="412"/>
      <c r="G20" s="451"/>
      <c r="H20" s="452"/>
      <c r="I20" s="452"/>
      <c r="J20" s="452"/>
      <c r="K20" s="452"/>
      <c r="L20" s="467"/>
      <c r="M20" s="468"/>
      <c r="N20" s="468"/>
      <c r="O20" s="468"/>
      <c r="P20" s="468"/>
      <c r="Q20" s="481"/>
      <c r="R20" s="467"/>
      <c r="S20" s="468"/>
      <c r="T20" s="468"/>
      <c r="U20" s="468"/>
      <c r="V20" s="468"/>
      <c r="W20" s="468"/>
      <c r="X20" s="459"/>
      <c r="Y20" s="456"/>
      <c r="Z20" s="456"/>
      <c r="AA20" s="456"/>
      <c r="AB20" s="456"/>
      <c r="AC20" s="456"/>
      <c r="AD20" s="459"/>
      <c r="AE20" s="456"/>
      <c r="AF20" s="456"/>
      <c r="AG20" s="456"/>
      <c r="AH20" s="456"/>
      <c r="AI20" s="456"/>
      <c r="AJ20" s="472"/>
      <c r="AK20" s="473"/>
      <c r="AL20" s="473"/>
      <c r="AM20" s="473"/>
      <c r="AN20" s="473"/>
      <c r="AO20" s="474"/>
      <c r="AP20" s="68"/>
      <c r="AQ20" s="425"/>
      <c r="AR20" s="426"/>
      <c r="AS20" s="426"/>
      <c r="AT20" s="426"/>
      <c r="AU20" s="426"/>
      <c r="AV20" s="427"/>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11"/>
      <c r="E21" s="411"/>
      <c r="F21" s="412"/>
      <c r="G21" s="451"/>
      <c r="H21" s="452"/>
      <c r="I21" s="452"/>
      <c r="J21" s="452"/>
      <c r="K21" s="452"/>
      <c r="L21" s="467" t="e">
        <f>IF(AND('Mapa final'!#REF!="Alta",'Mapa final'!#REF!="Leve"),CONCATENATE("R",'Mapa final'!#REF!),"")</f>
        <v>#REF!</v>
      </c>
      <c r="M21" s="468"/>
      <c r="N21" s="468" t="str">
        <f>IF(AND('Mapa final'!$K$19="Alta",'Mapa final'!$O$19="Leve"),CONCATENATE("R",'Mapa final'!$A$19),"")</f>
        <v/>
      </c>
      <c r="O21" s="468"/>
      <c r="P21" s="468" t="str">
        <f>IF(AND('Mapa final'!$K$20="Alta",'Mapa final'!$O$20="Leve"),CONCATENATE("R",'Mapa final'!$A$20),"")</f>
        <v/>
      </c>
      <c r="Q21" s="481"/>
      <c r="R21" s="467" t="e">
        <f>IF(AND('Mapa final'!#REF!="Alta",'Mapa final'!#REF!="Menor"),CONCATENATE("R",'Mapa final'!#REF!),"")</f>
        <v>#REF!</v>
      </c>
      <c r="S21" s="468"/>
      <c r="T21" s="468" t="str">
        <f>IF(AND('Mapa final'!$P$19="Alta",'Mapa final'!$S$19="Menor"),CONCATENATE("R",'Mapa final'!$A$19),"")</f>
        <v/>
      </c>
      <c r="U21" s="468"/>
      <c r="V21" s="468" t="str">
        <f>IF(AND('Mapa final'!$P$20="Alta",'Mapa final'!$S$20="Menor"),CONCATENATE("R",'Mapa final'!$A$20),"")</f>
        <v/>
      </c>
      <c r="W21" s="468"/>
      <c r="X21" s="459" t="e">
        <f>IF(AND('Mapa final'!#REF!="Alta",'Mapa final'!#REF!="Moderado"),CONCATENATE("R",'Mapa final'!#REF!),"")</f>
        <v>#REF!</v>
      </c>
      <c r="Y21" s="456"/>
      <c r="Z21" s="456" t="str">
        <f>IF(AND('Mapa final'!$P$19="Alta",'Mapa final'!$S$19="Moderado"),CONCATENATE("R",'Mapa final'!$A$19),"")</f>
        <v/>
      </c>
      <c r="AA21" s="456"/>
      <c r="AB21" s="456" t="str">
        <f>IF(AND('Mapa final'!$P$20="Alta",'Mapa final'!$S$20="Moderado"),CONCATENATE("R",'Mapa final'!$A$20),"")</f>
        <v/>
      </c>
      <c r="AC21" s="456"/>
      <c r="AD21" s="459" t="e">
        <f>IF(AND('Mapa final'!#REF!="Alta",'Mapa final'!#REF!="Mayor"),CONCATENATE("R",'Mapa final'!#REF!),"")</f>
        <v>#REF!</v>
      </c>
      <c r="AE21" s="456"/>
      <c r="AF21" s="456" t="str">
        <f>IF(AND('Mapa final'!$P$19="Alta",'Mapa final'!$S$19="Mayor"),CONCATENATE("R",'Mapa final'!$A$19),"")</f>
        <v/>
      </c>
      <c r="AG21" s="456"/>
      <c r="AH21" s="456" t="str">
        <f>IF(AND('Mapa final'!$P$20="Alta",'Mapa final'!$S$20="Mayor"),CONCATENATE("R",'Mapa final'!$A$20),"")</f>
        <v/>
      </c>
      <c r="AI21" s="456"/>
      <c r="AJ21" s="472" t="e">
        <f>IF(AND('Mapa final'!#REF!="Alta",'Mapa final'!#REF!="Catastrófico"),CONCATENATE("R",'Mapa final'!#REF!),"")</f>
        <v>#REF!</v>
      </c>
      <c r="AK21" s="473"/>
      <c r="AL21" s="473" t="str">
        <f>IF(AND('Mapa final'!$P$19="Alta",'Mapa final'!$S$19="Catastrófico"),CONCATENATE("R",'Mapa final'!$A$19),"")</f>
        <v/>
      </c>
      <c r="AM21" s="473"/>
      <c r="AN21" s="473" t="str">
        <f>IF(AND('Mapa final'!$P$20="Alta",'Mapa final'!$K$20="Catastrófico"),CONCATENATE("R",'Mapa final'!$A$20),"")</f>
        <v/>
      </c>
      <c r="AO21" s="474"/>
      <c r="AP21" s="68"/>
      <c r="AQ21" s="425"/>
      <c r="AR21" s="426"/>
      <c r="AS21" s="426"/>
      <c r="AT21" s="426"/>
      <c r="AU21" s="426"/>
      <c r="AV21" s="427"/>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11"/>
      <c r="E22" s="411"/>
      <c r="F22" s="412"/>
      <c r="G22" s="451"/>
      <c r="H22" s="452"/>
      <c r="I22" s="452"/>
      <c r="J22" s="452"/>
      <c r="K22" s="452"/>
      <c r="L22" s="467"/>
      <c r="M22" s="468"/>
      <c r="N22" s="468"/>
      <c r="O22" s="468"/>
      <c r="P22" s="468"/>
      <c r="Q22" s="481"/>
      <c r="R22" s="467"/>
      <c r="S22" s="468"/>
      <c r="T22" s="468"/>
      <c r="U22" s="468"/>
      <c r="V22" s="468"/>
      <c r="W22" s="468"/>
      <c r="X22" s="459"/>
      <c r="Y22" s="456"/>
      <c r="Z22" s="456"/>
      <c r="AA22" s="456"/>
      <c r="AB22" s="456"/>
      <c r="AC22" s="456"/>
      <c r="AD22" s="459"/>
      <c r="AE22" s="456"/>
      <c r="AF22" s="456"/>
      <c r="AG22" s="456"/>
      <c r="AH22" s="456"/>
      <c r="AI22" s="456"/>
      <c r="AJ22" s="472"/>
      <c r="AK22" s="473"/>
      <c r="AL22" s="473"/>
      <c r="AM22" s="473"/>
      <c r="AN22" s="473"/>
      <c r="AO22" s="474"/>
      <c r="AP22" s="68"/>
      <c r="AQ22" s="425"/>
      <c r="AR22" s="426"/>
      <c r="AS22" s="426"/>
      <c r="AT22" s="426"/>
      <c r="AU22" s="426"/>
      <c r="AV22" s="427"/>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11"/>
      <c r="E23" s="411"/>
      <c r="F23" s="412"/>
      <c r="G23" s="451"/>
      <c r="H23" s="452"/>
      <c r="I23" s="452"/>
      <c r="J23" s="452"/>
      <c r="K23" s="452"/>
      <c r="L23" s="467" t="str">
        <f>IF(AND('Mapa final'!$P$21="Alta",'Mapa final'!$S$21="Leve"),CONCATENATE("R",'Mapa final'!$A$21),"")</f>
        <v/>
      </c>
      <c r="M23" s="468"/>
      <c r="N23" s="468" t="str">
        <f>IF(AND('Mapa final'!$K$22="Alta",'Mapa final'!$O$22="Leve"),CONCATENATE("R",'Mapa final'!$A$22),"")</f>
        <v/>
      </c>
      <c r="O23" s="468"/>
      <c r="P23" s="468" t="str">
        <f>IF(AND('Mapa final'!$K$31="Alta",'Mapa final'!$O$31="Leve"),CONCATENATE("R",'Mapa final'!$A$31),"")</f>
        <v/>
      </c>
      <c r="Q23" s="481"/>
      <c r="R23" s="467" t="str">
        <f>IF(AND('Mapa final'!$P$21="Alta",'Mapa final'!$S$21="Menor"),CONCATENATE("R",'Mapa final'!$A$21),"")</f>
        <v/>
      </c>
      <c r="S23" s="468"/>
      <c r="T23" s="468" t="str">
        <f>IF(AND('Mapa final'!$LT$22="Alta",'Mapa final'!$S$22="Menor"),CONCATENATE("R",'Mapa final'!$A$22),"")</f>
        <v/>
      </c>
      <c r="U23" s="468"/>
      <c r="V23" s="468" t="str">
        <f>IF(AND('Mapa final'!$P$31="Alta",'Mapa final'!$S$31="Menor"),CONCATENATE("R",'Mapa final'!$A$31),"")</f>
        <v/>
      </c>
      <c r="W23" s="468"/>
      <c r="X23" s="459" t="str">
        <f>IF(AND('Mapa final'!$P$21="Alta",'Mapa final'!$S$21="Moderado"),CONCATENATE("R",'Mapa final'!$A$21),"")</f>
        <v/>
      </c>
      <c r="Y23" s="456"/>
      <c r="Z23" s="456" t="str">
        <f>IF(AND('Mapa final'!$P$22="Alta",'Mapa final'!$S$22="Moderado"),CONCATENATE("R",'Mapa final'!$A$22),"")</f>
        <v/>
      </c>
      <c r="AA23" s="456"/>
      <c r="AB23" s="456" t="str">
        <f>IF(AND('Mapa final'!$P$31="Alta",'Mapa final'!$S$31="Moderado"),CONCATENATE("R",'Mapa final'!$A$31),"")</f>
        <v/>
      </c>
      <c r="AC23" s="456"/>
      <c r="AD23" s="459" t="str">
        <f>IF(AND('Mapa final'!$P$21="Alta",'Mapa final'!$S$21="Mayor"),CONCATENATE("R",'Mapa final'!$A$21),"")</f>
        <v/>
      </c>
      <c r="AE23" s="456"/>
      <c r="AF23" s="456" t="str">
        <f>IF(AND('Mapa final'!$P$22="Alta",'Mapa final'!$S$22="Mayor"),CONCATENATE("R",'Mapa final'!$A$22),"")</f>
        <v/>
      </c>
      <c r="AG23" s="456"/>
      <c r="AH23" s="456" t="str">
        <f>IF(AND('Mapa final'!$P$31="Alta",'Mapa final'!$S$31="Mayor"),CONCATENATE("R",'Mapa final'!$A$31),"")</f>
        <v/>
      </c>
      <c r="AI23" s="456"/>
      <c r="AJ23" s="472" t="str">
        <f>IF(AND('Mapa final'!$P$21="Alta",'Mapa final'!$S$21="Catastrófico"),CONCATENATE("R",'Mapa final'!$A$21),"")</f>
        <v/>
      </c>
      <c r="AK23" s="473"/>
      <c r="AL23" s="473" t="str">
        <f>IF(AND('Mapa final'!$P$22="Alta",'Mapa final'!$S$22="Catastrófico"),CONCATENATE("R",'Mapa final'!$A$22),"")</f>
        <v/>
      </c>
      <c r="AM23" s="473"/>
      <c r="AN23" s="473" t="str">
        <f>IF(AND('Mapa final'!$P$31="Alta",'Mapa final'!$S$31="Catastrófico"),CONCATENATE("R",'Mapa final'!$A$31),"")</f>
        <v/>
      </c>
      <c r="AO23" s="474"/>
      <c r="AP23" s="68"/>
      <c r="AQ23" s="425"/>
      <c r="AR23" s="426"/>
      <c r="AS23" s="426"/>
      <c r="AT23" s="426"/>
      <c r="AU23" s="426"/>
      <c r="AV23" s="427"/>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11"/>
      <c r="E24" s="411"/>
      <c r="F24" s="412"/>
      <c r="G24" s="451"/>
      <c r="H24" s="452"/>
      <c r="I24" s="452"/>
      <c r="J24" s="452"/>
      <c r="K24" s="452"/>
      <c r="L24" s="467"/>
      <c r="M24" s="468"/>
      <c r="N24" s="468"/>
      <c r="O24" s="468"/>
      <c r="P24" s="468"/>
      <c r="Q24" s="481"/>
      <c r="R24" s="467"/>
      <c r="S24" s="468"/>
      <c r="T24" s="468"/>
      <c r="U24" s="468"/>
      <c r="V24" s="468"/>
      <c r="W24" s="468"/>
      <c r="X24" s="459"/>
      <c r="Y24" s="456"/>
      <c r="Z24" s="456"/>
      <c r="AA24" s="456"/>
      <c r="AB24" s="456"/>
      <c r="AC24" s="456"/>
      <c r="AD24" s="459"/>
      <c r="AE24" s="456"/>
      <c r="AF24" s="456"/>
      <c r="AG24" s="456"/>
      <c r="AH24" s="456"/>
      <c r="AI24" s="456"/>
      <c r="AJ24" s="472"/>
      <c r="AK24" s="473"/>
      <c r="AL24" s="473"/>
      <c r="AM24" s="473"/>
      <c r="AN24" s="473"/>
      <c r="AO24" s="474"/>
      <c r="AP24" s="68"/>
      <c r="AQ24" s="425"/>
      <c r="AR24" s="426"/>
      <c r="AS24" s="426"/>
      <c r="AT24" s="426"/>
      <c r="AU24" s="426"/>
      <c r="AV24" s="427"/>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11"/>
      <c r="E25" s="411"/>
      <c r="F25" s="412"/>
      <c r="G25" s="451"/>
      <c r="H25" s="452"/>
      <c r="I25" s="452"/>
      <c r="J25" s="452"/>
      <c r="K25" s="452"/>
      <c r="L25" s="467" t="str">
        <f>IF(AND('Mapa final'!$P$32="Alta",'Mapa final'!$S$32="Leve"),CONCATENATE("R",'Mapa final'!$A$32),"")</f>
        <v/>
      </c>
      <c r="M25" s="468"/>
      <c r="N25" s="468" t="str">
        <f>IF(AND('Mapa final'!$K$33="Alta",'Mapa final'!$O$33="Leve"),CONCATENATE("R",'Mapa final'!$A$33),"")</f>
        <v/>
      </c>
      <c r="O25" s="468"/>
      <c r="P25" s="468" t="str">
        <f>IF(AND('Mapa final'!$K$34="Alta",'Mapa final'!$O$34="Leve"),CONCATENATE("R",'Mapa final'!$A$34),"")</f>
        <v/>
      </c>
      <c r="Q25" s="481"/>
      <c r="R25" s="467" t="str">
        <f>IF(AND('Mapa final'!$P$32="Alta",'Mapa final'!$S$32="Menor"),CONCATENATE("R",'Mapa final'!$A$32),"")</f>
        <v/>
      </c>
      <c r="S25" s="468"/>
      <c r="T25" s="468" t="str">
        <f>IF(AND('Mapa final'!$P$33="Alta",'Mapa final'!$S$33="Menor"),CONCATENATE("R",'Mapa final'!$A$33),"")</f>
        <v/>
      </c>
      <c r="U25" s="468"/>
      <c r="V25" s="468" t="str">
        <f>IF(AND('Mapa final'!$P$34="Alta",'Mapa final'!$S$34="Menor"),CONCATENATE("R",'Mapa final'!$A$34),"")</f>
        <v/>
      </c>
      <c r="W25" s="468"/>
      <c r="X25" s="459" t="str">
        <f>IF(AND('Mapa final'!$P$32="Alta",'Mapa final'!$S$32="Moderado"),CONCATENATE("R",'Mapa final'!$A$32),"")</f>
        <v/>
      </c>
      <c r="Y25" s="456"/>
      <c r="Z25" s="456" t="str">
        <f>IF(AND('Mapa final'!$P$33="Alta",'Mapa final'!$S$33="Moderado"),CONCATENATE("R",'Mapa final'!$A$33),"")</f>
        <v/>
      </c>
      <c r="AA25" s="456"/>
      <c r="AB25" s="456" t="str">
        <f>IF(AND('Mapa final'!$P$34="Alta",'Mapa final'!$S$34="Moderado"),CONCATENATE("R",'Mapa final'!$A$34),"")</f>
        <v/>
      </c>
      <c r="AC25" s="456"/>
      <c r="AD25" s="459" t="str">
        <f>IF(AND('Mapa final'!$P$32="Alta",'Mapa final'!$S$32="Mayor"),CONCATENATE("R",'Mapa final'!$A$32),"")</f>
        <v/>
      </c>
      <c r="AE25" s="456"/>
      <c r="AF25" s="456" t="str">
        <f>IF(AND('Mapa final'!$P$33="Alta",'Mapa final'!$S$33="Mayor"),CONCATENATE("R",'Mapa final'!$A$33),"")</f>
        <v/>
      </c>
      <c r="AG25" s="456"/>
      <c r="AH25" s="456" t="str">
        <f>IF(AND('Mapa final'!$P$34="Alta",'Mapa final'!$S$34="Mayor"),CONCATENATE("R",'Mapa final'!$A$34),"")</f>
        <v/>
      </c>
      <c r="AI25" s="456"/>
      <c r="AJ25" s="472" t="str">
        <f>IF(AND('Mapa final'!$P$32="Alta",'Mapa final'!$S$32="Catastrófico"),CONCATENATE("R",'Mapa final'!$A$32),"")</f>
        <v/>
      </c>
      <c r="AK25" s="473"/>
      <c r="AL25" s="473" t="str">
        <f>IF(AND('Mapa final'!$P$33="Alta",'Mapa final'!$S$33="Catastrófico"),CONCATENATE("R",'Mapa final'!$A$33),"")</f>
        <v/>
      </c>
      <c r="AM25" s="473"/>
      <c r="AN25" s="473" t="str">
        <f>IF(AND('Mapa final'!$P$34="Alta",'Mapa final'!$S$34="Catastrófico"),CONCATENATE("R",'Mapa final'!$A$34),"")</f>
        <v/>
      </c>
      <c r="AO25" s="474"/>
      <c r="AP25" s="68"/>
      <c r="AQ25" s="425"/>
      <c r="AR25" s="426"/>
      <c r="AS25" s="426"/>
      <c r="AT25" s="426"/>
      <c r="AU25" s="426"/>
      <c r="AV25" s="427"/>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11"/>
      <c r="E26" s="411"/>
      <c r="F26" s="412"/>
      <c r="G26" s="453"/>
      <c r="H26" s="454"/>
      <c r="I26" s="454"/>
      <c r="J26" s="454"/>
      <c r="K26" s="454"/>
      <c r="L26" s="482"/>
      <c r="M26" s="483"/>
      <c r="N26" s="483"/>
      <c r="O26" s="483"/>
      <c r="P26" s="483"/>
      <c r="Q26" s="484"/>
      <c r="R26" s="482"/>
      <c r="S26" s="483"/>
      <c r="T26" s="468"/>
      <c r="U26" s="468"/>
      <c r="V26" s="468"/>
      <c r="W26" s="468"/>
      <c r="X26" s="459"/>
      <c r="Y26" s="456"/>
      <c r="Z26" s="456"/>
      <c r="AA26" s="456"/>
      <c r="AB26" s="456"/>
      <c r="AC26" s="456"/>
      <c r="AD26" s="459"/>
      <c r="AE26" s="456"/>
      <c r="AF26" s="456"/>
      <c r="AG26" s="456"/>
      <c r="AH26" s="456"/>
      <c r="AI26" s="456"/>
      <c r="AJ26" s="472"/>
      <c r="AK26" s="473"/>
      <c r="AL26" s="473"/>
      <c r="AM26" s="473"/>
      <c r="AN26" s="473"/>
      <c r="AO26" s="474"/>
      <c r="AP26" s="68"/>
      <c r="AQ26" s="428"/>
      <c r="AR26" s="429"/>
      <c r="AS26" s="429"/>
      <c r="AT26" s="429"/>
      <c r="AU26" s="429"/>
      <c r="AV26" s="430"/>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11"/>
      <c r="E27" s="411"/>
      <c r="F27" s="412"/>
      <c r="G27" s="449" t="s">
        <v>287</v>
      </c>
      <c r="H27" s="450"/>
      <c r="I27" s="450"/>
      <c r="J27" s="450"/>
      <c r="K27" s="450"/>
      <c r="L27" s="485"/>
      <c r="M27" s="486"/>
      <c r="N27" s="486" t="str">
        <f>IF(AND('Mapa final'!$K$15="Media",'Mapa final'!$O$15="Leve"),CONCATENATE("R",'Mapa final'!$A$16),"")</f>
        <v/>
      </c>
      <c r="O27" s="486"/>
      <c r="P27" s="486" t="str">
        <f>IF(AND('Mapa final'!$K$17="Media",'Mapa final'!$O$17="Leve"),CONCATENATE("R",'Mapa final'!$A$17),"")</f>
        <v/>
      </c>
      <c r="Q27" s="487"/>
      <c r="R27" s="485"/>
      <c r="S27" s="486"/>
      <c r="T27" s="486" t="str">
        <f>IF(AND('Mapa final'!$P$15="Media",'Mapa final'!$S$15="Menor"),CONCATENATE("R",'Mapa final'!$A$16),"")</f>
        <v/>
      </c>
      <c r="U27" s="486"/>
      <c r="V27" s="486" t="str">
        <f>IF(AND('Mapa final'!$P$17="Media",'Mapa final'!$S$17="Menor"),CONCATENATE("R",'Mapa final'!$A$17),"")</f>
        <v/>
      </c>
      <c r="W27" s="486"/>
      <c r="X27" s="485"/>
      <c r="Y27" s="486"/>
      <c r="Z27" s="486" t="str">
        <f>IF(AND('Mapa final'!P$15="Media",'Mapa final'!$S$15="Moderado"),CONCATENATE("R",'Mapa final'!$A$16),"")</f>
        <v>R</v>
      </c>
      <c r="AA27" s="486"/>
      <c r="AB27" s="486" t="str">
        <f>IF(AND('Mapa final'!$P$17="Media",'Mapa final'!$S$17="Moderado"),CONCATENATE("R",'Mapa final'!$A$17),"")</f>
        <v/>
      </c>
      <c r="AC27" s="486"/>
      <c r="AD27" s="457"/>
      <c r="AE27" s="458"/>
      <c r="AF27" s="458" t="str">
        <f>IF(AND('Mapa final'!$P$15="Media",'Mapa final'!$S$15="Mayor"),CONCATENATE("R",'Mapa final'!$A$16),"")</f>
        <v/>
      </c>
      <c r="AG27" s="458"/>
      <c r="AH27" s="458" t="str">
        <f>IF(AND('Mapa final'!$P$17="Media",'Mapa final'!$S$17="Mayor"),CONCATENATE("R",'Mapa final'!$A$17),"")</f>
        <v/>
      </c>
      <c r="AI27" s="458"/>
      <c r="AJ27" s="475"/>
      <c r="AK27" s="476"/>
      <c r="AL27" s="476" t="str">
        <f>IF(AND('Mapa final'!$P$15="Media",'Mapa final'!$S$15="Catastrófico"),CONCATENATE("R",'Mapa final'!$A$16),"")</f>
        <v/>
      </c>
      <c r="AM27" s="476"/>
      <c r="AN27" s="476" t="str">
        <f>IF(AND('Mapa final'!$P$17="Media",'Mapa final'!$S$17="Catastrófico"),CONCATENATE("R",'Mapa final'!$A$17),"")</f>
        <v/>
      </c>
      <c r="AO27" s="477"/>
      <c r="AP27" s="68"/>
      <c r="AQ27" s="431" t="s">
        <v>163</v>
      </c>
      <c r="AR27" s="432"/>
      <c r="AS27" s="432"/>
      <c r="AT27" s="432"/>
      <c r="AU27" s="432"/>
      <c r="AV27" s="433"/>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11"/>
      <c r="E28" s="411"/>
      <c r="F28" s="412"/>
      <c r="G28" s="451"/>
      <c r="H28" s="452"/>
      <c r="I28" s="452"/>
      <c r="J28" s="452"/>
      <c r="K28" s="452"/>
      <c r="L28" s="467"/>
      <c r="M28" s="468"/>
      <c r="N28" s="468"/>
      <c r="O28" s="468"/>
      <c r="P28" s="468"/>
      <c r="Q28" s="481"/>
      <c r="R28" s="467"/>
      <c r="S28" s="468"/>
      <c r="T28" s="468"/>
      <c r="U28" s="468"/>
      <c r="V28" s="468"/>
      <c r="W28" s="468"/>
      <c r="X28" s="467"/>
      <c r="Y28" s="468"/>
      <c r="Z28" s="468"/>
      <c r="AA28" s="468"/>
      <c r="AB28" s="468"/>
      <c r="AC28" s="468"/>
      <c r="AD28" s="459"/>
      <c r="AE28" s="456"/>
      <c r="AF28" s="456"/>
      <c r="AG28" s="456"/>
      <c r="AH28" s="456"/>
      <c r="AI28" s="456"/>
      <c r="AJ28" s="472"/>
      <c r="AK28" s="473"/>
      <c r="AL28" s="473"/>
      <c r="AM28" s="473"/>
      <c r="AN28" s="473"/>
      <c r="AO28" s="474"/>
      <c r="AP28" s="68"/>
      <c r="AQ28" s="434"/>
      <c r="AR28" s="435"/>
      <c r="AS28" s="435"/>
      <c r="AT28" s="435"/>
      <c r="AU28" s="435"/>
      <c r="AV28" s="436"/>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11"/>
      <c r="E29" s="411"/>
      <c r="F29" s="412"/>
      <c r="G29" s="451"/>
      <c r="H29" s="452"/>
      <c r="I29" s="452"/>
      <c r="J29" s="452"/>
      <c r="K29" s="452"/>
      <c r="L29" s="467" t="e">
        <f>IF(AND('Mapa final'!#REF!="Media",'Mapa final'!#REF!="Leve"),CONCATENATE("R",'Mapa final'!#REF!),"")</f>
        <v>#REF!</v>
      </c>
      <c r="M29" s="468"/>
      <c r="N29" s="468" t="str">
        <f>IF(AND('Mapa final'!$K$19="Media",'Mapa final'!$O$19="Leve"),CONCATENATE("R",'Mapa final'!$A$19),"")</f>
        <v/>
      </c>
      <c r="O29" s="468"/>
      <c r="P29" s="468" t="str">
        <f>IF(AND('Mapa final'!$K$20="Media",'Mapa final'!$O$20="Leve"),CONCATENATE("R",'Mapa final'!$A$20),"")</f>
        <v/>
      </c>
      <c r="Q29" s="481"/>
      <c r="R29" s="467" t="e">
        <f>IF(AND('Mapa final'!#REF!="Media",'Mapa final'!#REF!="Menor"),CONCATENATE("R",'Mapa final'!#REF!),"")</f>
        <v>#REF!</v>
      </c>
      <c r="S29" s="468"/>
      <c r="T29" s="468" t="str">
        <f>IF(AND('Mapa final'!$P$19="Media",'Mapa final'!$S$19="Menor"),CONCATENATE("R",'Mapa final'!$A$19),"")</f>
        <v/>
      </c>
      <c r="U29" s="468"/>
      <c r="V29" s="468" t="str">
        <f>IF(AND('Mapa final'!$P$20="Media",'Mapa final'!$S$20="Menor"),CONCATENATE("R",'Mapa final'!$A$20),"")</f>
        <v/>
      </c>
      <c r="W29" s="468"/>
      <c r="X29" s="467" t="e">
        <f>IF(AND('Mapa final'!#REF!="Media",'Mapa final'!#REF!="Moderado"),CONCATENATE("R",'Mapa final'!#REF!),"")</f>
        <v>#REF!</v>
      </c>
      <c r="Y29" s="468"/>
      <c r="Z29" s="468" t="str">
        <f>IF(AND('Mapa final'!$P$19="Media",'Mapa final'!$S$19="Moderado"),CONCATENATE("R",'Mapa final'!$A$19),"")</f>
        <v/>
      </c>
      <c r="AA29" s="468"/>
      <c r="AB29" s="468" t="str">
        <f>IF(AND('Mapa final'!$P$20="Media",'Mapa final'!$S$20="Moderado"),CONCATENATE("R",'Mapa final'!$A$20),"")</f>
        <v/>
      </c>
      <c r="AC29" s="468"/>
      <c r="AD29" s="459" t="e">
        <f>IF(AND('Mapa final'!#REF!="Media",'Mapa final'!#REF!="Mayor"),CONCATENATE("R",'Mapa final'!#REF!),"")</f>
        <v>#REF!</v>
      </c>
      <c r="AE29" s="456"/>
      <c r="AF29" s="456" t="str">
        <f>IF(AND('Mapa final'!$P$19="Media",'Mapa final'!$S$19="Mayor"),CONCATENATE("R",'Mapa final'!$A$19),"")</f>
        <v/>
      </c>
      <c r="AG29" s="456"/>
      <c r="AH29" s="456" t="str">
        <f>IF(AND('Mapa final'!$P$20="Media",'Mapa final'!$S$20="Mayor"),CONCATENATE("R",'Mapa final'!$A$20),"")</f>
        <v/>
      </c>
      <c r="AI29" s="456"/>
      <c r="AJ29" s="472" t="e">
        <f>IF(AND('Mapa final'!#REF!="Media",'Mapa final'!#REF!="Catastrófico"),CONCATENATE("R",'Mapa final'!#REF!),"")</f>
        <v>#REF!</v>
      </c>
      <c r="AK29" s="473"/>
      <c r="AL29" s="473" t="str">
        <f>IF(AND('Mapa final'!$P$19="Media",'Mapa final'!$S$19="Catastrófico"),CONCATENATE("R",'Mapa final'!$A$19),"")</f>
        <v/>
      </c>
      <c r="AM29" s="473"/>
      <c r="AN29" s="473" t="str">
        <f>IF(AND('Mapa final'!$P$20="Media",'Mapa final'!$K$20="Catastrófico"),CONCATENATE("R",'Mapa final'!$A$20),"")</f>
        <v/>
      </c>
      <c r="AO29" s="474"/>
      <c r="AP29" s="68"/>
      <c r="AQ29" s="434"/>
      <c r="AR29" s="435"/>
      <c r="AS29" s="435"/>
      <c r="AT29" s="435"/>
      <c r="AU29" s="435"/>
      <c r="AV29" s="436"/>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11"/>
      <c r="E30" s="411"/>
      <c r="F30" s="412"/>
      <c r="G30" s="451"/>
      <c r="H30" s="452"/>
      <c r="I30" s="452"/>
      <c r="J30" s="452"/>
      <c r="K30" s="452"/>
      <c r="L30" s="467"/>
      <c r="M30" s="468"/>
      <c r="N30" s="468"/>
      <c r="O30" s="468"/>
      <c r="P30" s="468"/>
      <c r="Q30" s="481"/>
      <c r="R30" s="467"/>
      <c r="S30" s="468"/>
      <c r="T30" s="468"/>
      <c r="U30" s="468"/>
      <c r="V30" s="468"/>
      <c r="W30" s="468"/>
      <c r="X30" s="467"/>
      <c r="Y30" s="468"/>
      <c r="Z30" s="468"/>
      <c r="AA30" s="468"/>
      <c r="AB30" s="468"/>
      <c r="AC30" s="468"/>
      <c r="AD30" s="459"/>
      <c r="AE30" s="456"/>
      <c r="AF30" s="456"/>
      <c r="AG30" s="456"/>
      <c r="AH30" s="456"/>
      <c r="AI30" s="456"/>
      <c r="AJ30" s="472"/>
      <c r="AK30" s="473"/>
      <c r="AL30" s="473"/>
      <c r="AM30" s="473"/>
      <c r="AN30" s="473"/>
      <c r="AO30" s="474"/>
      <c r="AP30" s="68"/>
      <c r="AQ30" s="434"/>
      <c r="AR30" s="435"/>
      <c r="AS30" s="435"/>
      <c r="AT30" s="435"/>
      <c r="AU30" s="435"/>
      <c r="AV30" s="436"/>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11"/>
      <c r="E31" s="411"/>
      <c r="F31" s="412"/>
      <c r="G31" s="451"/>
      <c r="H31" s="452"/>
      <c r="I31" s="452"/>
      <c r="J31" s="452"/>
      <c r="K31" s="452"/>
      <c r="L31" s="467" t="str">
        <f>IF(AND('Mapa final'!$P$21="Media",'Mapa final'!$S$21="Leve"),CONCATENATE("R",'Mapa final'!$A$21),"")</f>
        <v/>
      </c>
      <c r="M31" s="468"/>
      <c r="N31" s="468" t="str">
        <f>IF(AND('Mapa final'!$K$22="Media",'Mapa final'!$O$22="Leve"),CONCATENATE("R",'Mapa final'!$A$22),"")</f>
        <v/>
      </c>
      <c r="O31" s="468"/>
      <c r="P31" s="468" t="str">
        <f>IF(AND('Mapa final'!$K$31="Media",'Mapa final'!$O$31="Leve"),CONCATENATE("R",'Mapa final'!$A$31),"")</f>
        <v/>
      </c>
      <c r="Q31" s="481"/>
      <c r="R31" s="467" t="str">
        <f>IF(AND('Mapa final'!$P$21="Media",'Mapa final'!$S$21="Menor"),CONCATENATE("R",'Mapa final'!$A$21),"")</f>
        <v/>
      </c>
      <c r="S31" s="468"/>
      <c r="T31" s="468" t="str">
        <f>IF(AND('Mapa final'!$LT$22="Media",'Mapa final'!$S$22="Menor"),CONCATENATE("R",'Mapa final'!$A$22),"")</f>
        <v/>
      </c>
      <c r="U31" s="468"/>
      <c r="V31" s="468" t="str">
        <f>IF(AND('Mapa final'!$P$31="Media",'Mapa final'!$S$31="Menor"),CONCATENATE("R",'Mapa final'!$A$31),"")</f>
        <v/>
      </c>
      <c r="W31" s="468"/>
      <c r="X31" s="467" t="str">
        <f>IF(AND('Mapa final'!$P$21="Media",'Mapa final'!$S$21="Moderado"),CONCATENATE("R",'Mapa final'!$A$21),"")</f>
        <v/>
      </c>
      <c r="Y31" s="468"/>
      <c r="Z31" s="468" t="str">
        <f>IF(AND('Mapa final'!$P$22="Media",'Mapa final'!$S$22="Moderado"),CONCATENATE("R",'Mapa final'!$A$22),"")</f>
        <v/>
      </c>
      <c r="AA31" s="468"/>
      <c r="AB31" s="468" t="str">
        <f>IF(AND('Mapa final'!$P$31="Media",'Mapa final'!$S$31="Moderado"),CONCATENATE("R",'Mapa final'!$A$31),"")</f>
        <v/>
      </c>
      <c r="AC31" s="468"/>
      <c r="AD31" s="459" t="str">
        <f>IF(AND('Mapa final'!$P$21="Media",'Mapa final'!$S$21="Mayor"),CONCATENATE("R",'Mapa final'!$A$21),"")</f>
        <v/>
      </c>
      <c r="AE31" s="456"/>
      <c r="AF31" s="456" t="str">
        <f>IF(AND('Mapa final'!$P$22="Media",'Mapa final'!$S$22="Mayor"),CONCATENATE("R",'Mapa final'!$A$22),"")</f>
        <v/>
      </c>
      <c r="AG31" s="456"/>
      <c r="AH31" s="456" t="str">
        <f>IF(AND('Mapa final'!$P$31="Media",'Mapa final'!$S$31="Mayor"),CONCATENATE("R",'Mapa final'!$A$31),"")</f>
        <v/>
      </c>
      <c r="AI31" s="456"/>
      <c r="AJ31" s="472" t="str">
        <f>IF(AND('Mapa final'!$P$21="Media",'Mapa final'!$S$21="Catastrófico"),CONCATENATE("R",'Mapa final'!$A$21),"")</f>
        <v/>
      </c>
      <c r="AK31" s="473"/>
      <c r="AL31" s="473" t="str">
        <f>IF(AND('Mapa final'!$P$22="Media",'Mapa final'!$S$22="Catastrófico"),CONCATENATE("R",'Mapa final'!$A$22),"")</f>
        <v/>
      </c>
      <c r="AM31" s="473"/>
      <c r="AN31" s="473" t="str">
        <f>IF(AND('Mapa final'!$P$31="Media",'Mapa final'!$S$31="Catastrófico"),CONCATENATE("R",'Mapa final'!$A$31),"")</f>
        <v/>
      </c>
      <c r="AO31" s="474"/>
      <c r="AP31" s="68"/>
      <c r="AQ31" s="434"/>
      <c r="AR31" s="435"/>
      <c r="AS31" s="435"/>
      <c r="AT31" s="435"/>
      <c r="AU31" s="435"/>
      <c r="AV31" s="436"/>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11"/>
      <c r="E32" s="411"/>
      <c r="F32" s="412"/>
      <c r="G32" s="451"/>
      <c r="H32" s="452"/>
      <c r="I32" s="452"/>
      <c r="J32" s="452"/>
      <c r="K32" s="452"/>
      <c r="L32" s="467"/>
      <c r="M32" s="468"/>
      <c r="N32" s="468"/>
      <c r="O32" s="468"/>
      <c r="P32" s="468"/>
      <c r="Q32" s="481"/>
      <c r="R32" s="467"/>
      <c r="S32" s="468"/>
      <c r="T32" s="468"/>
      <c r="U32" s="468"/>
      <c r="V32" s="468"/>
      <c r="W32" s="468"/>
      <c r="X32" s="467"/>
      <c r="Y32" s="468"/>
      <c r="Z32" s="468"/>
      <c r="AA32" s="468"/>
      <c r="AB32" s="468"/>
      <c r="AC32" s="468"/>
      <c r="AD32" s="459"/>
      <c r="AE32" s="456"/>
      <c r="AF32" s="456"/>
      <c r="AG32" s="456"/>
      <c r="AH32" s="456"/>
      <c r="AI32" s="456"/>
      <c r="AJ32" s="472"/>
      <c r="AK32" s="473"/>
      <c r="AL32" s="473"/>
      <c r="AM32" s="473"/>
      <c r="AN32" s="473"/>
      <c r="AO32" s="474"/>
      <c r="AP32" s="68"/>
      <c r="AQ32" s="434"/>
      <c r="AR32" s="435"/>
      <c r="AS32" s="435"/>
      <c r="AT32" s="435"/>
      <c r="AU32" s="435"/>
      <c r="AV32" s="436"/>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11"/>
      <c r="E33" s="411"/>
      <c r="F33" s="412"/>
      <c r="G33" s="451"/>
      <c r="H33" s="452"/>
      <c r="I33" s="452"/>
      <c r="J33" s="452"/>
      <c r="K33" s="452"/>
      <c r="L33" s="467" t="str">
        <f>IF(AND('Mapa final'!$P$32="Mediaa",'Mapa final'!$S$32="Leve"),CONCATENATE("R",'Mapa final'!$A$32),"")</f>
        <v/>
      </c>
      <c r="M33" s="468"/>
      <c r="N33" s="468" t="str">
        <f>IF(AND('Mapa final'!$K$33="Media",'Mapa final'!$O$33="Leve"),CONCATENATE("R",'Mapa final'!$A$33),"")</f>
        <v/>
      </c>
      <c r="O33" s="468"/>
      <c r="P33" s="468" t="str">
        <f>IF(AND('Mapa final'!$K$34="Media",'Mapa final'!$O$34="Leve"),CONCATENATE("R",'Mapa final'!$A$34),"")</f>
        <v/>
      </c>
      <c r="Q33" s="481"/>
      <c r="R33" s="467" t="str">
        <f>IF(AND('Mapa final'!$P$32="Media",'Mapa final'!$S$32="Menor"),CONCATENATE("R",'Mapa final'!$A$32),"")</f>
        <v/>
      </c>
      <c r="S33" s="468"/>
      <c r="T33" s="468" t="str">
        <f>IF(AND('Mapa final'!$P$33="Media",'Mapa final'!$S$33="Menor"),CONCATENATE("R",'Mapa final'!$A$33),"")</f>
        <v/>
      </c>
      <c r="U33" s="468"/>
      <c r="V33" s="468" t="str">
        <f>IF(AND('Mapa final'!$P$34="Media",'Mapa final'!$S$34="Menor"),CONCATENATE("R",'Mapa final'!$A$34),"")</f>
        <v/>
      </c>
      <c r="W33" s="468"/>
      <c r="X33" s="467" t="str">
        <f>IF(AND('Mapa final'!$P$32="Media",'Mapa final'!$S$32="Moderado"),CONCATENATE("R",'Mapa final'!$A$32),"")</f>
        <v/>
      </c>
      <c r="Y33" s="468"/>
      <c r="Z33" s="468" t="str">
        <f>IF(AND('Mapa final'!$P$33="Media",'Mapa final'!$S$33="Moderado"),CONCATENATE("R",'Mapa final'!$A$33),"")</f>
        <v/>
      </c>
      <c r="AA33" s="468"/>
      <c r="AB33" s="468" t="str">
        <f>IF(AND('Mapa final'!$P$34="Media",'Mapa final'!$S$34="Moderado"),CONCATENATE("R",'Mapa final'!$A$34),"")</f>
        <v/>
      </c>
      <c r="AC33" s="468"/>
      <c r="AD33" s="459" t="str">
        <f>IF(AND('Mapa final'!$P$32="Media",'Mapa final'!$S$32="Mayor"),CONCATENATE("R",'Mapa final'!$A$32),"")</f>
        <v/>
      </c>
      <c r="AE33" s="456"/>
      <c r="AF33" s="456" t="str">
        <f>IF(AND('Mapa final'!$P$33="Media",'Mapa final'!$S$33="Mayor"),CONCATENATE("R",'Mapa final'!$A$33),"")</f>
        <v/>
      </c>
      <c r="AG33" s="456"/>
      <c r="AH33" s="456" t="str">
        <f>IF(AND('Mapa final'!$P$34="Media",'Mapa final'!$S$34="Mayor"),CONCATENATE("R",'Mapa final'!$A$34),"")</f>
        <v/>
      </c>
      <c r="AI33" s="456"/>
      <c r="AJ33" s="472" t="str">
        <f>IF(AND('Mapa final'!$P$32="Media",'Mapa final'!$S$32="Catastrófico"),CONCATENATE("R",'Mapa final'!$A$32),"")</f>
        <v/>
      </c>
      <c r="AK33" s="473"/>
      <c r="AL33" s="473" t="str">
        <f>IF(AND('Mapa final'!$P$33="Media",'Mapa final'!$S$33="Catastrófico"),CONCATENATE("R",'Mapa final'!$A$33),"")</f>
        <v/>
      </c>
      <c r="AM33" s="473"/>
      <c r="AN33" s="473" t="str">
        <f>IF(AND('Mapa final'!$P$34="Media",'Mapa final'!$S$34="Catastrófico"),CONCATENATE("R",'Mapa final'!$A$34),"")</f>
        <v/>
      </c>
      <c r="AO33" s="474"/>
      <c r="AP33" s="68"/>
      <c r="AQ33" s="434"/>
      <c r="AR33" s="435"/>
      <c r="AS33" s="435"/>
      <c r="AT33" s="435"/>
      <c r="AU33" s="435"/>
      <c r="AV33" s="436"/>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11"/>
      <c r="E34" s="411"/>
      <c r="F34" s="412"/>
      <c r="G34" s="453"/>
      <c r="H34" s="454"/>
      <c r="I34" s="454"/>
      <c r="J34" s="454"/>
      <c r="K34" s="454"/>
      <c r="L34" s="482"/>
      <c r="M34" s="483"/>
      <c r="N34" s="483"/>
      <c r="O34" s="483"/>
      <c r="P34" s="483"/>
      <c r="Q34" s="484"/>
      <c r="R34" s="482"/>
      <c r="S34" s="483"/>
      <c r="T34" s="483"/>
      <c r="U34" s="483"/>
      <c r="V34" s="483"/>
      <c r="W34" s="483"/>
      <c r="X34" s="482"/>
      <c r="Y34" s="483"/>
      <c r="Z34" s="483"/>
      <c r="AA34" s="483"/>
      <c r="AB34" s="483"/>
      <c r="AC34" s="483"/>
      <c r="AD34" s="470"/>
      <c r="AE34" s="465"/>
      <c r="AF34" s="465"/>
      <c r="AG34" s="465"/>
      <c r="AH34" s="465"/>
      <c r="AI34" s="465"/>
      <c r="AJ34" s="472"/>
      <c r="AK34" s="473"/>
      <c r="AL34" s="473"/>
      <c r="AM34" s="473"/>
      <c r="AN34" s="473"/>
      <c r="AO34" s="474"/>
      <c r="AP34" s="68"/>
      <c r="AQ34" s="437"/>
      <c r="AR34" s="438"/>
      <c r="AS34" s="438"/>
      <c r="AT34" s="438"/>
      <c r="AU34" s="438"/>
      <c r="AV34" s="439"/>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11"/>
      <c r="E35" s="411"/>
      <c r="F35" s="412"/>
      <c r="G35" s="449" t="s">
        <v>288</v>
      </c>
      <c r="H35" s="450"/>
      <c r="I35" s="450"/>
      <c r="J35" s="450"/>
      <c r="K35" s="450"/>
      <c r="L35" s="494"/>
      <c r="M35" s="495"/>
      <c r="N35" s="495" t="str">
        <f>IF(AND('Mapa final'!$K$15="Baja",'Mapa final'!$O$15="Leve"),CONCATENATE("R",'Mapa final'!$A$16),"")</f>
        <v/>
      </c>
      <c r="O35" s="495"/>
      <c r="P35" s="495" t="str">
        <f>IF(AND('Mapa final'!$K$17="Baja",'Mapa final'!$O$17="Leve"),CONCATENATE("R",'Mapa final'!$A$17),"")</f>
        <v/>
      </c>
      <c r="Q35" s="496"/>
      <c r="R35" s="485"/>
      <c r="S35" s="486"/>
      <c r="T35" s="468" t="str">
        <f>IF(AND('Mapa final'!$P$15="Baja",'Mapa final'!$S$15="Menor"),CONCATENATE("R",'Mapa final'!$A$16),"")</f>
        <v/>
      </c>
      <c r="U35" s="468"/>
      <c r="V35" s="468" t="str">
        <f>IF(AND('Mapa final'!$P$17="Baja",'Mapa final'!$S$17="Menor"),CONCATENATE("R",'Mapa final'!$A$17),"")</f>
        <v/>
      </c>
      <c r="W35" s="481"/>
      <c r="X35" s="467"/>
      <c r="Y35" s="468"/>
      <c r="Z35" s="468" t="str">
        <f>IF(AND('Mapa final'!P$15="Baja",'Mapa final'!$S$15="Moderado"),CONCATENATE("R",'Mapa final'!$A$16),"")</f>
        <v/>
      </c>
      <c r="AA35" s="468"/>
      <c r="AB35" s="468" t="str">
        <f>IF(AND('Mapa final'!$P$17="Baja",'Mapa final'!$S$17="Moderado"),CONCATENATE("R",'Mapa final'!$A$17),"")</f>
        <v/>
      </c>
      <c r="AC35" s="481"/>
      <c r="AD35" s="459"/>
      <c r="AE35" s="456"/>
      <c r="AF35" s="456" t="str">
        <f>IF(AND('Mapa final'!$P$15="Baja",'Mapa final'!$S$15="Mayor"),CONCATENATE("R",'Mapa final'!$A$16),"")</f>
        <v/>
      </c>
      <c r="AG35" s="456"/>
      <c r="AH35" s="456" t="str">
        <f>IF(AND('Mapa final'!$P$17="Baja",'Mapa final'!$S$17="Mayor"),CONCATENATE("R",'Mapa final'!$A$17),"")</f>
        <v/>
      </c>
      <c r="AI35" s="456"/>
      <c r="AJ35" s="475"/>
      <c r="AK35" s="476"/>
      <c r="AL35" s="476" t="str">
        <f>IF(AND('Mapa final'!$P$15="Baja",'Mapa final'!$S$15="Catastrófico"),CONCATENATE("R",'Mapa final'!$A$16),"")</f>
        <v/>
      </c>
      <c r="AM35" s="476"/>
      <c r="AN35" s="476" t="str">
        <f>IF(AND('Mapa final'!$P$17="Baja",'Mapa final'!$S$17="Catastrófico"),CONCATENATE("R",'Mapa final'!$A$17),"")</f>
        <v/>
      </c>
      <c r="AO35" s="477"/>
      <c r="AP35" s="68"/>
      <c r="AQ35" s="440" t="s">
        <v>289</v>
      </c>
      <c r="AR35" s="441"/>
      <c r="AS35" s="441"/>
      <c r="AT35" s="441"/>
      <c r="AU35" s="441"/>
      <c r="AV35" s="442"/>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11"/>
      <c r="E36" s="411"/>
      <c r="F36" s="412"/>
      <c r="G36" s="451"/>
      <c r="H36" s="452"/>
      <c r="I36" s="452"/>
      <c r="J36" s="452"/>
      <c r="K36" s="452"/>
      <c r="L36" s="490"/>
      <c r="M36" s="488"/>
      <c r="N36" s="488"/>
      <c r="O36" s="488"/>
      <c r="P36" s="488"/>
      <c r="Q36" s="489"/>
      <c r="R36" s="467"/>
      <c r="S36" s="468"/>
      <c r="T36" s="468"/>
      <c r="U36" s="468"/>
      <c r="V36" s="468"/>
      <c r="W36" s="481"/>
      <c r="X36" s="467"/>
      <c r="Y36" s="468"/>
      <c r="Z36" s="468"/>
      <c r="AA36" s="468"/>
      <c r="AB36" s="468"/>
      <c r="AC36" s="481"/>
      <c r="AD36" s="459"/>
      <c r="AE36" s="456"/>
      <c r="AF36" s="456"/>
      <c r="AG36" s="456"/>
      <c r="AH36" s="456"/>
      <c r="AI36" s="456"/>
      <c r="AJ36" s="472"/>
      <c r="AK36" s="473"/>
      <c r="AL36" s="473"/>
      <c r="AM36" s="473"/>
      <c r="AN36" s="473"/>
      <c r="AO36" s="474"/>
      <c r="AP36" s="68"/>
      <c r="AQ36" s="443"/>
      <c r="AR36" s="444"/>
      <c r="AS36" s="444"/>
      <c r="AT36" s="444"/>
      <c r="AU36" s="444"/>
      <c r="AV36" s="445"/>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11"/>
      <c r="E37" s="411"/>
      <c r="F37" s="412"/>
      <c r="G37" s="451"/>
      <c r="H37" s="452"/>
      <c r="I37" s="452"/>
      <c r="J37" s="452"/>
      <c r="K37" s="452"/>
      <c r="L37" s="490" t="e">
        <f>IF(AND('Mapa final'!#REF!="Baja",'Mapa final'!#REF!="Leve"),CONCATENATE("R",'Mapa final'!#REF!),"")</f>
        <v>#REF!</v>
      </c>
      <c r="M37" s="488"/>
      <c r="N37" s="488" t="str">
        <f>IF(AND('Mapa final'!$K$19="Baja",'Mapa final'!$O$19="Leve"),CONCATENATE("R",'Mapa final'!$A$19),"")</f>
        <v/>
      </c>
      <c r="O37" s="488"/>
      <c r="P37" s="488" t="str">
        <f>IF(AND('Mapa final'!$K$20="Baja",'Mapa final'!$O$20="Leve"),CONCATENATE("R",'Mapa final'!$A$20),"")</f>
        <v/>
      </c>
      <c r="Q37" s="489"/>
      <c r="R37" s="467" t="e">
        <f>IF(AND('Mapa final'!#REF!="Baja",'Mapa final'!#REF!="Menor"),CONCATENATE("R",'Mapa final'!#REF!),"")</f>
        <v>#REF!</v>
      </c>
      <c r="S37" s="468"/>
      <c r="T37" s="468" t="str">
        <f>IF(AND('Mapa final'!$P$19="Baja",'Mapa final'!$S$19="Menor"),CONCATENATE("R",'Mapa final'!$A$19),"")</f>
        <v/>
      </c>
      <c r="U37" s="468"/>
      <c r="V37" s="468" t="str">
        <f>IF(AND('Mapa final'!$P$20="Baja",'Mapa final'!$S$20="Menor"),CONCATENATE("R",'Mapa final'!$A$20),"")</f>
        <v/>
      </c>
      <c r="W37" s="481"/>
      <c r="X37" s="467" t="e">
        <f>IF(AND('Mapa final'!#REF!="Baja",'Mapa final'!#REF!="Moderado"),CONCATENATE("R",'Mapa final'!#REF!),"")</f>
        <v>#REF!</v>
      </c>
      <c r="Y37" s="468"/>
      <c r="Z37" s="468" t="str">
        <f>IF(AND('Mapa final'!$P$19="Baja",'Mapa final'!$S$19="Moderado"),CONCATENATE("R",'Mapa final'!$A$19),"")</f>
        <v/>
      </c>
      <c r="AA37" s="468"/>
      <c r="AB37" s="468" t="str">
        <f>IF(AND('Mapa final'!$P$20="Baja",'Mapa final'!$S$20="Moderado"),CONCATENATE("R",'Mapa final'!$A$20),"")</f>
        <v/>
      </c>
      <c r="AC37" s="481"/>
      <c r="AD37" s="459" t="e">
        <f>IF(AND('Mapa final'!#REF!="Baja",'Mapa final'!#REF!="Mayor"),CONCATENATE("R",'Mapa final'!#REF!),"")</f>
        <v>#REF!</v>
      </c>
      <c r="AE37" s="456"/>
      <c r="AF37" s="456" t="str">
        <f>IF(AND('Mapa final'!$P$19="Baja",'Mapa final'!$S$19="Mayor"),CONCATENATE("R",'Mapa final'!$A$19),"")</f>
        <v/>
      </c>
      <c r="AG37" s="456"/>
      <c r="AH37" s="456" t="str">
        <f>IF(AND('Mapa final'!$P$20="Baja",'Mapa final'!$S$20="Mayor"),CONCATENATE("R",'Mapa final'!$A$20),"")</f>
        <v/>
      </c>
      <c r="AI37" s="456"/>
      <c r="AJ37" s="472" t="e">
        <f>IF(AND('Mapa final'!#REF!="Baja",'Mapa final'!#REF!="Catastrófico"),CONCATENATE("R",'Mapa final'!#REF!),"")</f>
        <v>#REF!</v>
      </c>
      <c r="AK37" s="473"/>
      <c r="AL37" s="473" t="str">
        <f>IF(AND('Mapa final'!$P$19="Baja",'Mapa final'!$S$19="Catastrófico"),CONCATENATE("R",'Mapa final'!$A$19),"")</f>
        <v/>
      </c>
      <c r="AM37" s="473"/>
      <c r="AN37" s="473" t="str">
        <f>IF(AND('Mapa final'!$P$20="Baja",'Mapa final'!$K$20="Catastrófico"),CONCATENATE("R",'Mapa final'!$A$20),"")</f>
        <v/>
      </c>
      <c r="AO37" s="474"/>
      <c r="AP37" s="68"/>
      <c r="AQ37" s="443"/>
      <c r="AR37" s="444"/>
      <c r="AS37" s="444"/>
      <c r="AT37" s="444"/>
      <c r="AU37" s="444"/>
      <c r="AV37" s="445"/>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11"/>
      <c r="E38" s="411"/>
      <c r="F38" s="412"/>
      <c r="G38" s="451"/>
      <c r="H38" s="452"/>
      <c r="I38" s="452"/>
      <c r="J38" s="452"/>
      <c r="K38" s="452"/>
      <c r="L38" s="490"/>
      <c r="M38" s="488"/>
      <c r="N38" s="488"/>
      <c r="O38" s="488"/>
      <c r="P38" s="488"/>
      <c r="Q38" s="489"/>
      <c r="R38" s="467"/>
      <c r="S38" s="468"/>
      <c r="T38" s="468"/>
      <c r="U38" s="468"/>
      <c r="V38" s="468"/>
      <c r="W38" s="481"/>
      <c r="X38" s="467"/>
      <c r="Y38" s="468"/>
      <c r="Z38" s="468"/>
      <c r="AA38" s="468"/>
      <c r="AB38" s="468"/>
      <c r="AC38" s="481"/>
      <c r="AD38" s="459"/>
      <c r="AE38" s="456"/>
      <c r="AF38" s="456"/>
      <c r="AG38" s="456"/>
      <c r="AH38" s="456"/>
      <c r="AI38" s="456"/>
      <c r="AJ38" s="472"/>
      <c r="AK38" s="473"/>
      <c r="AL38" s="473"/>
      <c r="AM38" s="473"/>
      <c r="AN38" s="473"/>
      <c r="AO38" s="474"/>
      <c r="AP38" s="68"/>
      <c r="AQ38" s="443"/>
      <c r="AR38" s="444"/>
      <c r="AS38" s="444"/>
      <c r="AT38" s="444"/>
      <c r="AU38" s="444"/>
      <c r="AV38" s="445"/>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11"/>
      <c r="E39" s="411"/>
      <c r="F39" s="412"/>
      <c r="G39" s="451"/>
      <c r="H39" s="452"/>
      <c r="I39" s="452"/>
      <c r="J39" s="452"/>
      <c r="K39" s="452"/>
      <c r="L39" s="490" t="str">
        <f>IF(AND('Mapa final'!$P$21="Baja",'Mapa final'!$S$21="Leve"),CONCATENATE("R",'Mapa final'!$A$21),"")</f>
        <v/>
      </c>
      <c r="M39" s="488"/>
      <c r="N39" s="488" t="str">
        <f>IF(AND('Mapa final'!$K$22="Baja",'Mapa final'!$O$22="Leve"),CONCATENATE("R",'Mapa final'!$A$22),"")</f>
        <v/>
      </c>
      <c r="O39" s="488"/>
      <c r="P39" s="488" t="str">
        <f>IF(AND('Mapa final'!$K$31="Baja",'Mapa final'!$O$31="Leve"),CONCATENATE("R",'Mapa final'!$A$31),"")</f>
        <v/>
      </c>
      <c r="Q39" s="489"/>
      <c r="R39" s="467" t="str">
        <f>IF(AND('Mapa final'!$P$21="Baja",'Mapa final'!$S$21="Menor"),CONCATENATE("R",'Mapa final'!$A$21),"")</f>
        <v/>
      </c>
      <c r="S39" s="468"/>
      <c r="T39" s="468" t="str">
        <f>IF(AND('Mapa final'!$LT$22="Baja",'Mapa final'!$S$22="Menor"),CONCATENATE("R",'Mapa final'!$A$22),"")</f>
        <v/>
      </c>
      <c r="U39" s="468"/>
      <c r="V39" s="468" t="str">
        <f>IF(AND('Mapa final'!$P$31="Baja",'Mapa final'!$S$31="Menor"),CONCATENATE("R",'Mapa final'!$A$31),"")</f>
        <v/>
      </c>
      <c r="W39" s="481"/>
      <c r="X39" s="467" t="str">
        <f>IF(AND('Mapa final'!$P$21="Baja",'Mapa final'!$S$21="Moderado"),CONCATENATE("R",'Mapa final'!$A$21),"")</f>
        <v/>
      </c>
      <c r="Y39" s="468"/>
      <c r="Z39" s="468" t="str">
        <f>IF(AND('Mapa final'!$P$22="Baja",'Mapa final'!$S$22="Moderado"),CONCATENATE("R",'Mapa final'!$A$22),"")</f>
        <v/>
      </c>
      <c r="AA39" s="468"/>
      <c r="AB39" s="468" t="str">
        <f>IF(AND('Mapa final'!$P$31="Baja",'Mapa final'!$S$31="Moderado"),CONCATENATE("R",'Mapa final'!$A$31),"")</f>
        <v/>
      </c>
      <c r="AC39" s="481"/>
      <c r="AD39" s="459" t="str">
        <f>IF(AND('Mapa final'!$P$21="Baja",'Mapa final'!$S$21="Mayor"),CONCATENATE("R",'Mapa final'!$A$21),"")</f>
        <v/>
      </c>
      <c r="AE39" s="456"/>
      <c r="AF39" s="456" t="str">
        <f>IF(AND('Mapa final'!$P$22="Baja",'Mapa final'!$S$22="Mayor"),CONCATENATE("R",'Mapa final'!$A$22),"")</f>
        <v/>
      </c>
      <c r="AG39" s="456"/>
      <c r="AH39" s="456" t="str">
        <f>IF(AND('Mapa final'!$P$31="Baja",'Mapa final'!$S$31="Mayor"),CONCATENATE("R",'Mapa final'!$A$31),"")</f>
        <v/>
      </c>
      <c r="AI39" s="456"/>
      <c r="AJ39" s="472" t="str">
        <f>IF(AND('Mapa final'!$P$21="Baja",'Mapa final'!$S$21="Catastrófico"),CONCATENATE("R",'Mapa final'!$A$21),"")</f>
        <v/>
      </c>
      <c r="AK39" s="473"/>
      <c r="AL39" s="473" t="str">
        <f>IF(AND('Mapa final'!$P$22="Baja",'Mapa final'!$S$22="Catastrófico"),CONCATENATE("R",'Mapa final'!$A$22),"")</f>
        <v/>
      </c>
      <c r="AM39" s="473"/>
      <c r="AN39" s="473" t="str">
        <f>IF(AND('Mapa final'!$P$31="Baja",'Mapa final'!$S$31="Catastrófico"),CONCATENATE("R",'Mapa final'!$A$31),"")</f>
        <v/>
      </c>
      <c r="AO39" s="474"/>
      <c r="AP39" s="68"/>
      <c r="AQ39" s="443"/>
      <c r="AR39" s="444"/>
      <c r="AS39" s="444"/>
      <c r="AT39" s="444"/>
      <c r="AU39" s="444"/>
      <c r="AV39" s="445"/>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11"/>
      <c r="E40" s="411"/>
      <c r="F40" s="412"/>
      <c r="G40" s="451"/>
      <c r="H40" s="452"/>
      <c r="I40" s="452"/>
      <c r="J40" s="452"/>
      <c r="K40" s="452"/>
      <c r="L40" s="490"/>
      <c r="M40" s="488"/>
      <c r="N40" s="488"/>
      <c r="O40" s="488"/>
      <c r="P40" s="488"/>
      <c r="Q40" s="489"/>
      <c r="R40" s="467"/>
      <c r="S40" s="468"/>
      <c r="T40" s="468"/>
      <c r="U40" s="468"/>
      <c r="V40" s="468"/>
      <c r="W40" s="481"/>
      <c r="X40" s="467"/>
      <c r="Y40" s="468"/>
      <c r="Z40" s="468"/>
      <c r="AA40" s="468"/>
      <c r="AB40" s="468"/>
      <c r="AC40" s="481"/>
      <c r="AD40" s="459"/>
      <c r="AE40" s="456"/>
      <c r="AF40" s="456"/>
      <c r="AG40" s="456"/>
      <c r="AH40" s="456"/>
      <c r="AI40" s="456"/>
      <c r="AJ40" s="472"/>
      <c r="AK40" s="473"/>
      <c r="AL40" s="473"/>
      <c r="AM40" s="473"/>
      <c r="AN40" s="473"/>
      <c r="AO40" s="474"/>
      <c r="AP40" s="68"/>
      <c r="AQ40" s="443"/>
      <c r="AR40" s="444"/>
      <c r="AS40" s="444"/>
      <c r="AT40" s="444"/>
      <c r="AU40" s="444"/>
      <c r="AV40" s="445"/>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11"/>
      <c r="E41" s="411"/>
      <c r="F41" s="412"/>
      <c r="G41" s="451"/>
      <c r="H41" s="452"/>
      <c r="I41" s="452"/>
      <c r="J41" s="452"/>
      <c r="K41" s="452"/>
      <c r="L41" s="490" t="str">
        <f>IF(AND('Mapa final'!$P$32="Baja",'Mapa final'!$S$32="Leve"),CONCATENATE("R",'Mapa final'!$A$32),"")</f>
        <v/>
      </c>
      <c r="M41" s="488"/>
      <c r="N41" s="488" t="str">
        <f>IF(AND('Mapa final'!$K$33="Baja",'Mapa final'!$O$33="Leve"),CONCATENATE("R",'Mapa final'!$A$33),"")</f>
        <v/>
      </c>
      <c r="O41" s="488"/>
      <c r="P41" s="488" t="str">
        <f>IF(AND('Mapa final'!$K$34="Baja",'Mapa final'!$O$34="Leve"),CONCATENATE("R",'Mapa final'!$A$34),"")</f>
        <v/>
      </c>
      <c r="Q41" s="489"/>
      <c r="R41" s="467" t="str">
        <f>IF(AND('Mapa final'!$P$32="Baja",'Mapa final'!$S$32="Menor"),CONCATENATE("R",'Mapa final'!$A$32),"")</f>
        <v/>
      </c>
      <c r="S41" s="468"/>
      <c r="T41" s="468" t="str">
        <f>IF(AND('Mapa final'!$P$33="Baja",'Mapa final'!$S$33="Menor"),CONCATENATE("R",'Mapa final'!$A$33),"")</f>
        <v/>
      </c>
      <c r="U41" s="468"/>
      <c r="V41" s="468" t="str">
        <f>IF(AND('Mapa final'!$P$34="Baja",'Mapa final'!$S$34="Menor"),CONCATENATE("R",'Mapa final'!$A$34),"")</f>
        <v/>
      </c>
      <c r="W41" s="481"/>
      <c r="X41" s="467" t="str">
        <f>IF(AND('Mapa final'!$P$32="Baja",'Mapa final'!$S$32="Moderado"),CONCATENATE("R",'Mapa final'!$A$32),"")</f>
        <v/>
      </c>
      <c r="Y41" s="468"/>
      <c r="Z41" s="468" t="str">
        <f>IF(AND('Mapa final'!$P$33="Baja",'Mapa final'!$S$33="Moderado"),CONCATENATE("R",'Mapa final'!$A$33),"")</f>
        <v/>
      </c>
      <c r="AA41" s="468"/>
      <c r="AB41" s="468" t="str">
        <f>IF(AND('Mapa final'!$P$34="Baja",'Mapa final'!$S$34="Moderado"),CONCATENATE("R",'Mapa final'!$A$34),"")</f>
        <v/>
      </c>
      <c r="AC41" s="481"/>
      <c r="AD41" s="459" t="str">
        <f>IF(AND('Mapa final'!$P$32="Baja",'Mapa final'!$S$32="Mayor"),CONCATENATE("R",'Mapa final'!$A$32),"")</f>
        <v/>
      </c>
      <c r="AE41" s="456"/>
      <c r="AF41" s="456" t="str">
        <f>IF(AND('Mapa final'!$P$33="Baja",'Mapa final'!$S$33="Mayor"),CONCATENATE("R",'Mapa final'!$A$33),"")</f>
        <v/>
      </c>
      <c r="AG41" s="456"/>
      <c r="AH41" s="456" t="str">
        <f>IF(AND('Mapa final'!$P$34="Baja",'Mapa final'!$S$34="Mayor"),CONCATENATE("R",'Mapa final'!$A$34),"")</f>
        <v/>
      </c>
      <c r="AI41" s="456"/>
      <c r="AJ41" s="472" t="str">
        <f>IF(AND('Mapa final'!$P$32="Baja",'Mapa final'!$S$32="Catastrófico"),CONCATENATE("R",'Mapa final'!$A$32),"")</f>
        <v/>
      </c>
      <c r="AK41" s="473"/>
      <c r="AL41" s="473" t="str">
        <f>IF(AND('Mapa final'!$P$33="Baja",'Mapa final'!$S$33="Catastrófico"),CONCATENATE("R",'Mapa final'!$A$33),"")</f>
        <v/>
      </c>
      <c r="AM41" s="473"/>
      <c r="AN41" s="473" t="str">
        <f>IF(AND('Mapa final'!$P$34="Baja",'Mapa final'!$S$34="Catastrófico"),CONCATENATE("R",'Mapa final'!$A$34),"")</f>
        <v/>
      </c>
      <c r="AO41" s="474"/>
      <c r="AP41" s="68"/>
      <c r="AQ41" s="443"/>
      <c r="AR41" s="444"/>
      <c r="AS41" s="444"/>
      <c r="AT41" s="444"/>
      <c r="AU41" s="444"/>
      <c r="AV41" s="445"/>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11"/>
      <c r="E42" s="411"/>
      <c r="F42" s="412"/>
      <c r="G42" s="453"/>
      <c r="H42" s="454"/>
      <c r="I42" s="454"/>
      <c r="J42" s="454"/>
      <c r="K42" s="454"/>
      <c r="L42" s="491"/>
      <c r="M42" s="492"/>
      <c r="N42" s="492"/>
      <c r="O42" s="492"/>
      <c r="P42" s="492"/>
      <c r="Q42" s="493"/>
      <c r="R42" s="482"/>
      <c r="S42" s="483"/>
      <c r="T42" s="483"/>
      <c r="U42" s="483"/>
      <c r="V42" s="483"/>
      <c r="W42" s="484"/>
      <c r="X42" s="482"/>
      <c r="Y42" s="483"/>
      <c r="Z42" s="483"/>
      <c r="AA42" s="483"/>
      <c r="AB42" s="483"/>
      <c r="AC42" s="484"/>
      <c r="AD42" s="470"/>
      <c r="AE42" s="465"/>
      <c r="AF42" s="465"/>
      <c r="AG42" s="465"/>
      <c r="AH42" s="465"/>
      <c r="AI42" s="465"/>
      <c r="AJ42" s="478"/>
      <c r="AK42" s="479"/>
      <c r="AL42" s="479"/>
      <c r="AM42" s="479"/>
      <c r="AN42" s="479"/>
      <c r="AO42" s="480"/>
      <c r="AP42" s="68"/>
      <c r="AQ42" s="446"/>
      <c r="AR42" s="447"/>
      <c r="AS42" s="447"/>
      <c r="AT42" s="447"/>
      <c r="AU42" s="447"/>
      <c r="AV42" s="44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11"/>
      <c r="E43" s="411"/>
      <c r="F43" s="412"/>
      <c r="G43" s="449" t="s">
        <v>290</v>
      </c>
      <c r="H43" s="450"/>
      <c r="I43" s="450"/>
      <c r="J43" s="450"/>
      <c r="K43" s="450"/>
      <c r="L43" s="494"/>
      <c r="M43" s="495"/>
      <c r="N43" s="495" t="str">
        <f>IF(AND('Mapa final'!$K$15="Muy Baja",'Mapa final'!$O$15="Leve"),CONCATENATE("R",'Mapa final'!$A$16),"")</f>
        <v/>
      </c>
      <c r="O43" s="495"/>
      <c r="P43" s="495" t="str">
        <f>IF(AND('Mapa final'!$K$17="Muy Baja",'Mapa final'!$O$17="Leve"),CONCATENATE("R",'Mapa final'!$A$17),"")</f>
        <v/>
      </c>
      <c r="Q43" s="496"/>
      <c r="R43" s="494"/>
      <c r="S43" s="495"/>
      <c r="T43" s="495" t="str">
        <f>IF(AND('Mapa final'!$P$15="Muy Baja",'Mapa final'!$S$15="Menor"),CONCATENATE("R",'Mapa final'!$A$16),"")</f>
        <v/>
      </c>
      <c r="U43" s="495"/>
      <c r="V43" s="495" t="str">
        <f>IF(AND('Mapa final'!$P$17="Muy Baja",'Mapa final'!$S$17="Menor"),CONCATENATE("R",'Mapa final'!$A$17),"")</f>
        <v/>
      </c>
      <c r="W43" s="496"/>
      <c r="X43" s="485"/>
      <c r="Y43" s="486"/>
      <c r="Z43" s="486" t="str">
        <f>IF(AND('Mapa final'!P$15="Muy Baja",'Mapa final'!$S$15="Moderado"),CONCATENATE("R",'Mapa final'!$D$15),"")</f>
        <v/>
      </c>
      <c r="AA43" s="486"/>
      <c r="AB43" s="486" t="str">
        <f>IF(AND('Mapa final'!$P$17="Muy Baja",'Mapa final'!$S$17="Moderado"),CONCATENATE("R",'Mapa final'!$A$17),"")</f>
        <v/>
      </c>
      <c r="AC43" s="487"/>
      <c r="AD43" s="457"/>
      <c r="AE43" s="458"/>
      <c r="AF43" s="458" t="str">
        <f>IF(AND('Mapa final'!$P$15="Muy Baja",'Mapa final'!$S$15="Mayor"),CONCATENATE("R",'Mapa final'!$A$16),"")</f>
        <v/>
      </c>
      <c r="AG43" s="458"/>
      <c r="AH43" s="458" t="str">
        <f>IF(AND('Mapa final'!$P$17="Muy Baja",'Mapa final'!$S$17="Mayor"),CONCATENATE("R",'Mapa final'!$D$17),"")</f>
        <v/>
      </c>
      <c r="AI43" s="471"/>
      <c r="AJ43" s="472"/>
      <c r="AK43" s="473"/>
      <c r="AL43" s="473" t="str">
        <f>IF(AND('Mapa final'!$P$15="Muy Baja",'Mapa final'!$S$15="Catastrófico"),CONCATENATE("R",'Mapa final'!$D$15),"")</f>
        <v/>
      </c>
      <c r="AM43" s="473"/>
      <c r="AN43" s="473" t="str">
        <f>IF(AND('Mapa final'!$P$17="Muy Baja",'Mapa final'!$S$17="Catastrófico"),CONCATENATE("R",'Mapa final'!$A$17),"")</f>
        <v/>
      </c>
      <c r="AO43" s="474"/>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11"/>
      <c r="E44" s="411"/>
      <c r="F44" s="412"/>
      <c r="G44" s="451"/>
      <c r="H44" s="452"/>
      <c r="I44" s="452"/>
      <c r="J44" s="452"/>
      <c r="K44" s="452"/>
      <c r="L44" s="490"/>
      <c r="M44" s="488"/>
      <c r="N44" s="488"/>
      <c r="O44" s="488"/>
      <c r="P44" s="488"/>
      <c r="Q44" s="489"/>
      <c r="R44" s="490"/>
      <c r="S44" s="488"/>
      <c r="T44" s="488"/>
      <c r="U44" s="488"/>
      <c r="V44" s="488"/>
      <c r="W44" s="489"/>
      <c r="X44" s="467"/>
      <c r="Y44" s="468"/>
      <c r="Z44" s="468"/>
      <c r="AA44" s="468"/>
      <c r="AB44" s="468"/>
      <c r="AC44" s="481"/>
      <c r="AD44" s="459"/>
      <c r="AE44" s="456"/>
      <c r="AF44" s="456"/>
      <c r="AG44" s="456"/>
      <c r="AH44" s="456"/>
      <c r="AI44" s="464"/>
      <c r="AJ44" s="472"/>
      <c r="AK44" s="473"/>
      <c r="AL44" s="473"/>
      <c r="AM44" s="473"/>
      <c r="AN44" s="473"/>
      <c r="AO44" s="474"/>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11"/>
      <c r="E45" s="411"/>
      <c r="F45" s="412"/>
      <c r="G45" s="451"/>
      <c r="H45" s="452"/>
      <c r="I45" s="452"/>
      <c r="J45" s="452"/>
      <c r="K45" s="452"/>
      <c r="L45" s="490" t="e">
        <f>IF(AND('Mapa final'!#REF!="Muy Baja",'Mapa final'!#REF!="Leve"),CONCATENATE("R",'Mapa final'!#REF!),"")</f>
        <v>#REF!</v>
      </c>
      <c r="M45" s="488"/>
      <c r="N45" s="488" t="str">
        <f>IF(AND('Mapa final'!$K$19="Muy Baja",'Mapa final'!$O$19="Leve"),CONCATENATE("R",'Mapa final'!$A$19),"")</f>
        <v/>
      </c>
      <c r="O45" s="488"/>
      <c r="P45" s="488" t="str">
        <f>IF(AND('Mapa final'!$K$20="Muy Baja",'Mapa final'!$O$20="Leve"),CONCATENATE("R",'Mapa final'!$A$20),"")</f>
        <v/>
      </c>
      <c r="Q45" s="489"/>
      <c r="R45" s="490" t="e">
        <f>IF(AND('Mapa final'!#REF!="Muy Baja",'Mapa final'!#REF!="Menor"),CONCATENATE("R",'Mapa final'!#REF!),"")</f>
        <v>#REF!</v>
      </c>
      <c r="S45" s="488"/>
      <c r="T45" s="488" t="str">
        <f>IF(AND('Mapa final'!$P$19="Muy Baja",'Mapa final'!$S$19="Menor"),CONCATENATE("R",'Mapa final'!$A$19),"")</f>
        <v/>
      </c>
      <c r="U45" s="488"/>
      <c r="V45" s="488" t="str">
        <f>IF(AND('Mapa final'!$P$20="Muy Baja",'Mapa final'!$S$20="Menor"),CONCATENATE("R",'Mapa final'!$A$20),"")</f>
        <v/>
      </c>
      <c r="W45" s="489"/>
      <c r="X45" s="467" t="e">
        <f>IF(AND('Mapa final'!#REF!="Muy Baja",'Mapa final'!#REF!="Moderado"),CONCATENATE("R",'Mapa final'!#REF!),"")</f>
        <v>#REF!</v>
      </c>
      <c r="Y45" s="468"/>
      <c r="Z45" s="468" t="str">
        <f>IF(AND('Mapa final'!$P$19="Muy Baja",'Mapa final'!$S$19="Moderado"),CONCATENATE("R",'Mapa final'!$A$19),"")</f>
        <v/>
      </c>
      <c r="AA45" s="468"/>
      <c r="AB45" s="468" t="str">
        <f>IF(AND('Mapa final'!$P$20="Muy Baja",'Mapa final'!$S$20="Moderado"),CONCATENATE("R",'Mapa final'!$A$20),"")</f>
        <v/>
      </c>
      <c r="AC45" s="481"/>
      <c r="AD45" s="459" t="e">
        <f>IF(AND('Mapa final'!#REF!="Muy Baja",'Mapa final'!#REF!="Mayor"),CONCATENATE("R",'Mapa final'!#REF!),"")</f>
        <v>#REF!</v>
      </c>
      <c r="AE45" s="456"/>
      <c r="AF45" s="456" t="str">
        <f>IF(AND('Mapa final'!$P$19="Muy Baja",'Mapa final'!$S$19="Mayor"),CONCATENATE("R",'Mapa final'!$A$19),"")</f>
        <v/>
      </c>
      <c r="AG45" s="456"/>
      <c r="AH45" s="456" t="str">
        <f>IF(AND('Mapa final'!$P$20="Muy Baja",'Mapa final'!$S$20="Mayor"),CONCATENATE("R",'Mapa final'!$A$20),"")</f>
        <v/>
      </c>
      <c r="AI45" s="464"/>
      <c r="AJ45" s="472" t="e">
        <f>IF(AND('Mapa final'!#REF!="Muy Baja",'Mapa final'!#REF!="Catastrófico"),CONCATENATE("R",'Mapa final'!#REF!),"")</f>
        <v>#REF!</v>
      </c>
      <c r="AK45" s="473"/>
      <c r="AL45" s="473" t="str">
        <f>IF(AND('Mapa final'!$P$19="Muy Baja",'Mapa final'!$S$19="Catastrófico"),CONCATENATE("R",'Mapa final'!$A$19),"")</f>
        <v/>
      </c>
      <c r="AM45" s="473"/>
      <c r="AN45" s="473" t="str">
        <f>IF(AND('Mapa final'!$P$20="Muy Baja",'Mapa final'!$K$20="Catastrófico"),CONCATENATE("R",'Mapa final'!$A$20),"")</f>
        <v/>
      </c>
      <c r="AO45" s="474"/>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11"/>
      <c r="E46" s="411"/>
      <c r="F46" s="412"/>
      <c r="G46" s="451"/>
      <c r="H46" s="452"/>
      <c r="I46" s="452"/>
      <c r="J46" s="452"/>
      <c r="K46" s="452"/>
      <c r="L46" s="490"/>
      <c r="M46" s="488"/>
      <c r="N46" s="488"/>
      <c r="O46" s="488"/>
      <c r="P46" s="488"/>
      <c r="Q46" s="489"/>
      <c r="R46" s="490"/>
      <c r="S46" s="488"/>
      <c r="T46" s="488"/>
      <c r="U46" s="488"/>
      <c r="V46" s="488"/>
      <c r="W46" s="489"/>
      <c r="X46" s="467"/>
      <c r="Y46" s="468"/>
      <c r="Z46" s="468"/>
      <c r="AA46" s="468"/>
      <c r="AB46" s="468"/>
      <c r="AC46" s="481"/>
      <c r="AD46" s="459"/>
      <c r="AE46" s="456"/>
      <c r="AF46" s="456"/>
      <c r="AG46" s="456"/>
      <c r="AH46" s="456"/>
      <c r="AI46" s="464"/>
      <c r="AJ46" s="472"/>
      <c r="AK46" s="473"/>
      <c r="AL46" s="473"/>
      <c r="AM46" s="473"/>
      <c r="AN46" s="473"/>
      <c r="AO46" s="474"/>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11"/>
      <c r="E47" s="411"/>
      <c r="F47" s="412"/>
      <c r="G47" s="451"/>
      <c r="H47" s="452"/>
      <c r="I47" s="452"/>
      <c r="J47" s="452"/>
      <c r="K47" s="452"/>
      <c r="L47" s="490" t="str">
        <f>IF(AND('Mapa final'!$P$21="Muy Baja",'Mapa final'!$S$21="Leve"),CONCATENATE("R",'Mapa final'!$A$21),"")</f>
        <v/>
      </c>
      <c r="M47" s="488"/>
      <c r="N47" s="488" t="str">
        <f>IF(AND('Mapa final'!$K$22="Muy Baja",'Mapa final'!$O$22="Leve"),CONCATENATE("R",'Mapa final'!$A$22),"")</f>
        <v/>
      </c>
      <c r="O47" s="488"/>
      <c r="P47" s="488" t="str">
        <f>IF(AND('Mapa final'!$K$31="Muy Baja",'Mapa final'!$O$31="Leve"),CONCATENATE("R",'Mapa final'!$A$31),"")</f>
        <v/>
      </c>
      <c r="Q47" s="489"/>
      <c r="R47" s="490" t="str">
        <f>IF(AND('Mapa final'!$P$21="Muy Baja",'Mapa final'!$S$21="Menor"),CONCATENATE("R",'Mapa final'!$A$21),"")</f>
        <v/>
      </c>
      <c r="S47" s="488"/>
      <c r="T47" s="488" t="str">
        <f>IF(AND('Mapa final'!$LT$22="Muy Baja",'Mapa final'!$S$22="Menor"),CONCATENATE("R",'Mapa final'!$A$22),"")</f>
        <v/>
      </c>
      <c r="U47" s="488"/>
      <c r="V47" s="488" t="str">
        <f>IF(AND('Mapa final'!$P$31="Muy Baja",'Mapa final'!$S$31="Menor"),CONCATENATE("R",'Mapa final'!$A$31),"")</f>
        <v/>
      </c>
      <c r="W47" s="489"/>
      <c r="X47" s="467" t="str">
        <f>IF(AND('Mapa final'!$P$21="Muy Baja",'Mapa final'!$S$21="Moderado"),CONCATENATE("R",'Mapa final'!$A$21),"")</f>
        <v/>
      </c>
      <c r="Y47" s="468"/>
      <c r="Z47" s="468" t="str">
        <f>IF(AND('Mapa final'!$P$22="Muy Baja",'Mapa final'!$S$22="Moderado"),CONCATENATE("R",'Mapa final'!$A$22),"")</f>
        <v/>
      </c>
      <c r="AA47" s="468"/>
      <c r="AB47" s="468" t="str">
        <f>IF(AND('Mapa final'!$P$31="Muy Baja",'Mapa final'!$S$31="Moderado"),CONCATENATE("R",'Mapa final'!$A$31),"")</f>
        <v/>
      </c>
      <c r="AC47" s="481"/>
      <c r="AD47" s="459" t="str">
        <f>IF(AND('Mapa final'!$P$21="Muy Baja",'Mapa final'!$S$21="Mayor"),CONCATENATE("R",'Mapa final'!$A$21),"")</f>
        <v/>
      </c>
      <c r="AE47" s="456"/>
      <c r="AF47" s="456" t="str">
        <f>IF(AND('Mapa final'!$P$22="Muy Baja",'Mapa final'!$S$22="Mayor"),CONCATENATE("R",'Mapa final'!$A$22),"")</f>
        <v/>
      </c>
      <c r="AG47" s="456"/>
      <c r="AH47" s="456" t="str">
        <f>IF(AND('Mapa final'!$P$31="Muy Baja",'Mapa final'!$S$31="Mayor"),CONCATENATE("R",'Mapa final'!$A$31),"")</f>
        <v/>
      </c>
      <c r="AI47" s="464"/>
      <c r="AJ47" s="472" t="str">
        <f>IF(AND('Mapa final'!$P$21="Muy Baja",'Mapa final'!$S$21="Catastrófico"),CONCATENATE("R",'Mapa final'!$A$21),"")</f>
        <v/>
      </c>
      <c r="AK47" s="473"/>
      <c r="AL47" s="473" t="str">
        <f>IF(AND('Mapa final'!$P$22="Muy Baja",'Mapa final'!$S$22="Catastrófico"),CONCATENATE("R",'Mapa final'!$A$22),"")</f>
        <v/>
      </c>
      <c r="AM47" s="473"/>
      <c r="AN47" s="473" t="str">
        <f>IF(AND('Mapa final'!$P$31="Muy Baja",'Mapa final'!$S$31="Catastrófico"),CONCATENATE("R",'Mapa final'!$A$31),"")</f>
        <v/>
      </c>
      <c r="AO47" s="474"/>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11"/>
      <c r="E48" s="411"/>
      <c r="F48" s="412"/>
      <c r="G48" s="451"/>
      <c r="H48" s="452"/>
      <c r="I48" s="452"/>
      <c r="J48" s="452"/>
      <c r="K48" s="452"/>
      <c r="L48" s="490"/>
      <c r="M48" s="488"/>
      <c r="N48" s="488"/>
      <c r="O48" s="488"/>
      <c r="P48" s="488"/>
      <c r="Q48" s="489"/>
      <c r="R48" s="490"/>
      <c r="S48" s="488"/>
      <c r="T48" s="488"/>
      <c r="U48" s="488"/>
      <c r="V48" s="488"/>
      <c r="W48" s="489"/>
      <c r="X48" s="467"/>
      <c r="Y48" s="468"/>
      <c r="Z48" s="468"/>
      <c r="AA48" s="468"/>
      <c r="AB48" s="468"/>
      <c r="AC48" s="481"/>
      <c r="AD48" s="459"/>
      <c r="AE48" s="456"/>
      <c r="AF48" s="456"/>
      <c r="AG48" s="456"/>
      <c r="AH48" s="456"/>
      <c r="AI48" s="464"/>
      <c r="AJ48" s="472"/>
      <c r="AK48" s="473"/>
      <c r="AL48" s="473"/>
      <c r="AM48" s="473"/>
      <c r="AN48" s="473"/>
      <c r="AO48" s="474"/>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11"/>
      <c r="E49" s="411"/>
      <c r="F49" s="412"/>
      <c r="G49" s="451"/>
      <c r="H49" s="452"/>
      <c r="I49" s="452"/>
      <c r="J49" s="452"/>
      <c r="K49" s="452"/>
      <c r="L49" s="490" t="str">
        <f>IF(AND('Mapa final'!$P$32="Muy Baja",'Mapa final'!$S$32="Leve"),CONCATENATE("R",'Mapa final'!$A$32),"")</f>
        <v/>
      </c>
      <c r="M49" s="488"/>
      <c r="N49" s="488" t="str">
        <f>IF(AND('Mapa final'!$K$33="Muy Baja",'Mapa final'!$O$33="Leve"),CONCATENATE("R",'Mapa final'!$A$33),"")</f>
        <v/>
      </c>
      <c r="O49" s="488"/>
      <c r="P49" s="488" t="str">
        <f>IF(AND('Mapa final'!$K$34="Muy Baja",'Mapa final'!$O$34="Leve"),CONCATENATE("R",'Mapa final'!$A$34),"")</f>
        <v/>
      </c>
      <c r="Q49" s="489"/>
      <c r="R49" s="488" t="str">
        <f>IF(AND('Mapa final'!$P$32="Muy Baja",'Mapa final'!$S$32="Menor"),CONCATENATE("R",'Mapa final'!$A$32),"")</f>
        <v/>
      </c>
      <c r="S49" s="488"/>
      <c r="T49" s="488" t="str">
        <f>IF(AND('Mapa final'!$P$33="Muy Baja",'Mapa final'!$S$33="Menor"),CONCATENATE("R",'Mapa final'!$A$33),"")</f>
        <v/>
      </c>
      <c r="U49" s="488"/>
      <c r="V49" s="488" t="str">
        <f>IF(AND('Mapa final'!$P$34="Muy Baja",'Mapa final'!$S$34="Menor"),CONCATENATE("R",'Mapa final'!$A$34),"")</f>
        <v/>
      </c>
      <c r="W49" s="489"/>
      <c r="X49" s="467" t="str">
        <f>IF(AND('Mapa final'!$P$32="Muy Baja",'Mapa final'!$S$32="Moderado"),CONCATENATE("R",'Mapa final'!$A$32),"")</f>
        <v/>
      </c>
      <c r="Y49" s="468"/>
      <c r="Z49" s="468" t="str">
        <f>IF(AND('Mapa final'!$P$33="Muy Baja",'Mapa final'!$S$33="Moderado"),CONCATENATE("R",'Mapa final'!$A$33),"")</f>
        <v/>
      </c>
      <c r="AA49" s="468"/>
      <c r="AB49" s="468" t="str">
        <f>IF(AND('Mapa final'!$P$34="Muy Baja",'Mapa final'!$S$34="Moderado"),CONCATENATE("R",'Mapa final'!$A$34),"")</f>
        <v/>
      </c>
      <c r="AC49" s="481"/>
      <c r="AD49" s="459" t="str">
        <f>IF(AND('Mapa final'!$P$32="Muy Baja",'Mapa final'!$S$32="Mayor"),CONCATENATE("R",'Mapa final'!$A$32),"")</f>
        <v/>
      </c>
      <c r="AE49" s="456"/>
      <c r="AF49" s="456" t="str">
        <f>IF(AND('Mapa final'!$P$33="Muy Baja",'Mapa final'!$S$33="Mayor"),CONCATENATE("R",'Mapa final'!$A$33),"")</f>
        <v/>
      </c>
      <c r="AG49" s="456"/>
      <c r="AH49" s="456" t="str">
        <f>IF(AND('Mapa final'!$P$34="Muy Baja",'Mapa final'!$S$34="Mayor"),CONCATENATE("R",'Mapa final'!$A$34),"")</f>
        <v/>
      </c>
      <c r="AI49" s="464"/>
      <c r="AJ49" s="472" t="str">
        <f>IF(AND('Mapa final'!$P$32="Muy Baja",'Mapa final'!$S$32="Catastrófico"),CONCATENATE("R",'Mapa final'!$A$32),"")</f>
        <v/>
      </c>
      <c r="AK49" s="473"/>
      <c r="AL49" s="473" t="str">
        <f>IF(AND('Mapa final'!$P$33="Muy Baja",'Mapa final'!$S$33="Catastrófico"),CONCATENATE("R",'Mapa final'!$A$33),"")</f>
        <v/>
      </c>
      <c r="AM49" s="473"/>
      <c r="AN49" s="473" t="str">
        <f>IF(AND('Mapa final'!$P$34="Muy Baja",'Mapa final'!$S$34="Catastrófico"),CONCATENATE("R",'Mapa final'!$A$34),"")</f>
        <v/>
      </c>
      <c r="AO49" s="474"/>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11"/>
      <c r="E50" s="411"/>
      <c r="F50" s="412"/>
      <c r="G50" s="453"/>
      <c r="H50" s="454"/>
      <c r="I50" s="454"/>
      <c r="J50" s="454"/>
      <c r="K50" s="454"/>
      <c r="L50" s="491"/>
      <c r="M50" s="492"/>
      <c r="N50" s="492"/>
      <c r="O50" s="492"/>
      <c r="P50" s="492"/>
      <c r="Q50" s="493"/>
      <c r="R50" s="492"/>
      <c r="S50" s="492"/>
      <c r="T50" s="492"/>
      <c r="U50" s="492"/>
      <c r="V50" s="492"/>
      <c r="W50" s="493"/>
      <c r="X50" s="482"/>
      <c r="Y50" s="483"/>
      <c r="Z50" s="483"/>
      <c r="AA50" s="483"/>
      <c r="AB50" s="483"/>
      <c r="AC50" s="484"/>
      <c r="AD50" s="470"/>
      <c r="AE50" s="465"/>
      <c r="AF50" s="465"/>
      <c r="AG50" s="465"/>
      <c r="AH50" s="465"/>
      <c r="AI50" s="466"/>
      <c r="AJ50" s="478"/>
      <c r="AK50" s="479"/>
      <c r="AL50" s="479"/>
      <c r="AM50" s="479"/>
      <c r="AN50" s="479"/>
      <c r="AO50" s="480"/>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60" t="s">
        <v>291</v>
      </c>
      <c r="M51" s="452"/>
      <c r="N51" s="452"/>
      <c r="O51" s="452"/>
      <c r="P51" s="452"/>
      <c r="Q51" s="461"/>
      <c r="R51" s="449" t="s">
        <v>292</v>
      </c>
      <c r="S51" s="450"/>
      <c r="T51" s="450"/>
      <c r="U51" s="450"/>
      <c r="V51" s="450"/>
      <c r="W51" s="463"/>
      <c r="X51" s="449" t="s">
        <v>293</v>
      </c>
      <c r="Y51" s="450"/>
      <c r="Z51" s="450"/>
      <c r="AA51" s="450"/>
      <c r="AB51" s="450"/>
      <c r="AC51" s="463"/>
      <c r="AD51" s="449" t="s">
        <v>294</v>
      </c>
      <c r="AE51" s="469"/>
      <c r="AF51" s="450"/>
      <c r="AG51" s="450"/>
      <c r="AH51" s="450"/>
      <c r="AI51" s="463"/>
      <c r="AJ51" s="449" t="s">
        <v>295</v>
      </c>
      <c r="AK51" s="450"/>
      <c r="AL51" s="450"/>
      <c r="AM51" s="450"/>
      <c r="AN51" s="450"/>
      <c r="AO51" s="463"/>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51"/>
      <c r="M52" s="452"/>
      <c r="N52" s="452"/>
      <c r="O52" s="452"/>
      <c r="P52" s="452"/>
      <c r="Q52" s="461"/>
      <c r="R52" s="451"/>
      <c r="S52" s="452"/>
      <c r="T52" s="452"/>
      <c r="U52" s="452"/>
      <c r="V52" s="452"/>
      <c r="W52" s="461"/>
      <c r="X52" s="451"/>
      <c r="Y52" s="452"/>
      <c r="Z52" s="452"/>
      <c r="AA52" s="452"/>
      <c r="AB52" s="452"/>
      <c r="AC52" s="461"/>
      <c r="AD52" s="451"/>
      <c r="AE52" s="452"/>
      <c r="AF52" s="452"/>
      <c r="AG52" s="452"/>
      <c r="AH52" s="452"/>
      <c r="AI52" s="461"/>
      <c r="AJ52" s="451"/>
      <c r="AK52" s="452"/>
      <c r="AL52" s="452"/>
      <c r="AM52" s="452"/>
      <c r="AN52" s="452"/>
      <c r="AO52" s="461"/>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51"/>
      <c r="M53" s="452"/>
      <c r="N53" s="452"/>
      <c r="O53" s="452"/>
      <c r="P53" s="452"/>
      <c r="Q53" s="461"/>
      <c r="R53" s="451"/>
      <c r="S53" s="452"/>
      <c r="T53" s="452"/>
      <c r="U53" s="452"/>
      <c r="V53" s="452"/>
      <c r="W53" s="461"/>
      <c r="X53" s="451"/>
      <c r="Y53" s="452"/>
      <c r="Z53" s="452"/>
      <c r="AA53" s="452"/>
      <c r="AB53" s="452"/>
      <c r="AC53" s="461"/>
      <c r="AD53" s="451"/>
      <c r="AE53" s="452"/>
      <c r="AF53" s="452"/>
      <c r="AG53" s="452"/>
      <c r="AH53" s="452"/>
      <c r="AI53" s="461"/>
      <c r="AJ53" s="451"/>
      <c r="AK53" s="452"/>
      <c r="AL53" s="452"/>
      <c r="AM53" s="452"/>
      <c r="AN53" s="452"/>
      <c r="AO53" s="461"/>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51"/>
      <c r="M54" s="452"/>
      <c r="N54" s="452"/>
      <c r="O54" s="452"/>
      <c r="P54" s="452"/>
      <c r="Q54" s="461"/>
      <c r="R54" s="451"/>
      <c r="S54" s="452"/>
      <c r="T54" s="452"/>
      <c r="U54" s="452"/>
      <c r="V54" s="452"/>
      <c r="W54" s="461"/>
      <c r="X54" s="451"/>
      <c r="Y54" s="452"/>
      <c r="Z54" s="452"/>
      <c r="AA54" s="452"/>
      <c r="AB54" s="452"/>
      <c r="AC54" s="461"/>
      <c r="AD54" s="451"/>
      <c r="AE54" s="452"/>
      <c r="AF54" s="452"/>
      <c r="AG54" s="452"/>
      <c r="AH54" s="452"/>
      <c r="AI54" s="461"/>
      <c r="AJ54" s="451"/>
      <c r="AK54" s="452"/>
      <c r="AL54" s="452"/>
      <c r="AM54" s="452"/>
      <c r="AN54" s="452"/>
      <c r="AO54" s="461"/>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51"/>
      <c r="M55" s="452"/>
      <c r="N55" s="452"/>
      <c r="O55" s="452"/>
      <c r="P55" s="452"/>
      <c r="Q55" s="461"/>
      <c r="R55" s="451"/>
      <c r="S55" s="452"/>
      <c r="T55" s="452"/>
      <c r="U55" s="452"/>
      <c r="V55" s="452"/>
      <c r="W55" s="461"/>
      <c r="X55" s="451"/>
      <c r="Y55" s="452"/>
      <c r="Z55" s="452"/>
      <c r="AA55" s="452"/>
      <c r="AB55" s="452"/>
      <c r="AC55" s="461"/>
      <c r="AD55" s="451"/>
      <c r="AE55" s="452"/>
      <c r="AF55" s="452"/>
      <c r="AG55" s="452"/>
      <c r="AH55" s="452"/>
      <c r="AI55" s="461"/>
      <c r="AJ55" s="451"/>
      <c r="AK55" s="452"/>
      <c r="AL55" s="452"/>
      <c r="AM55" s="452"/>
      <c r="AN55" s="452"/>
      <c r="AO55" s="461"/>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 thickBot="1">
      <c r="C56" s="68"/>
      <c r="D56" s="68"/>
      <c r="E56" s="68"/>
      <c r="F56" s="68"/>
      <c r="G56" s="68"/>
      <c r="H56" s="68"/>
      <c r="I56" s="68"/>
      <c r="J56" s="68"/>
      <c r="K56" s="68"/>
      <c r="L56" s="453"/>
      <c r="M56" s="454"/>
      <c r="N56" s="454"/>
      <c r="O56" s="454"/>
      <c r="P56" s="454"/>
      <c r="Q56" s="462"/>
      <c r="R56" s="453"/>
      <c r="S56" s="454"/>
      <c r="T56" s="454"/>
      <c r="U56" s="454"/>
      <c r="V56" s="454"/>
      <c r="W56" s="462"/>
      <c r="X56" s="453"/>
      <c r="Y56" s="454"/>
      <c r="Z56" s="454"/>
      <c r="AA56" s="454"/>
      <c r="AB56" s="454"/>
      <c r="AC56" s="462"/>
      <c r="AD56" s="453"/>
      <c r="AE56" s="454"/>
      <c r="AF56" s="454"/>
      <c r="AG56" s="454"/>
      <c r="AH56" s="454"/>
      <c r="AI56" s="462"/>
      <c r="AJ56" s="453"/>
      <c r="AK56" s="454"/>
      <c r="AL56" s="454"/>
      <c r="AM56" s="454"/>
      <c r="AN56" s="454"/>
      <c r="AO56" s="462"/>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296</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79" activePane="bottomLeft" state="frozen"/>
      <selection pane="bottomLeft" activeCell="AX15" sqref="AX14:AX15"/>
    </sheetView>
  </sheetViews>
  <sheetFormatPr defaultColWidth="11.42578125" defaultRowHeight="14.45"/>
  <cols>
    <col min="3" max="19" width="5.7109375" customWidth="1"/>
    <col min="20" max="20" width="6.7109375" customWidth="1"/>
    <col min="21" max="23" width="5.7109375" customWidth="1"/>
    <col min="24" max="24" width="7.42578125" customWidth="1"/>
    <col min="25" max="25" width="8.42578125" customWidth="1"/>
    <col min="26" max="26" width="12" customWidth="1"/>
    <col min="27" max="27" width="5.7109375" customWidth="1"/>
    <col min="28" max="28" width="10.7109375" customWidth="1"/>
    <col min="29" max="29" width="5.7109375" customWidth="1"/>
    <col min="30" max="30" width="7.42578125" customWidth="1"/>
    <col min="31" max="31" width="8.5703125" customWidth="1"/>
    <col min="32" max="34" width="5.7109375" customWidth="1"/>
    <col min="35" max="35" width="8.42578125" customWidth="1"/>
    <col min="36" max="36" width="9.7109375" customWidth="1"/>
    <col min="37" max="40" width="5.7109375" customWidth="1"/>
    <col min="42" max="47" width="5.7109375" customWidth="1"/>
  </cols>
  <sheetData>
    <row r="1" spans="1:92" ht="15" thickBot="1"/>
    <row r="2" spans="1:92">
      <c r="C2" s="402" t="s">
        <v>278</v>
      </c>
      <c r="D2" s="403"/>
      <c r="E2" s="403"/>
      <c r="F2" s="403"/>
      <c r="G2" s="403"/>
      <c r="H2" s="403"/>
      <c r="I2" s="403"/>
      <c r="J2" s="404"/>
      <c r="K2" s="393" t="s">
        <v>1</v>
      </c>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c r="AL2" s="394"/>
      <c r="AM2" s="394"/>
      <c r="AN2" s="395"/>
      <c r="AO2" s="382" t="s">
        <v>8</v>
      </c>
      <c r="AP2" s="390"/>
      <c r="AQ2" s="390"/>
      <c r="AR2" s="390"/>
      <c r="AS2" s="390"/>
      <c r="AT2" s="390"/>
      <c r="AU2" s="356"/>
    </row>
    <row r="3" spans="1:92">
      <c r="C3" s="405"/>
      <c r="D3" s="406"/>
      <c r="E3" s="406"/>
      <c r="F3" s="406"/>
      <c r="G3" s="406"/>
      <c r="H3" s="406"/>
      <c r="I3" s="406"/>
      <c r="J3" s="407"/>
      <c r="K3" s="396"/>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8"/>
      <c r="AO3" s="383" t="s">
        <v>3</v>
      </c>
      <c r="AP3" s="391"/>
      <c r="AQ3" s="391"/>
      <c r="AR3" s="391"/>
      <c r="AS3" s="391"/>
      <c r="AT3" s="391"/>
      <c r="AU3" s="358"/>
    </row>
    <row r="4" spans="1:92">
      <c r="C4" s="405"/>
      <c r="D4" s="406"/>
      <c r="E4" s="406"/>
      <c r="F4" s="406"/>
      <c r="G4" s="406"/>
      <c r="H4" s="406"/>
      <c r="I4" s="406"/>
      <c r="J4" s="407"/>
      <c r="K4" s="396"/>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8"/>
      <c r="AO4" s="383" t="s">
        <v>4</v>
      </c>
      <c r="AP4" s="391" t="s">
        <v>280</v>
      </c>
      <c r="AQ4" s="391"/>
      <c r="AR4" s="391"/>
      <c r="AS4" s="391"/>
      <c r="AT4" s="391"/>
      <c r="AU4" s="358"/>
    </row>
    <row r="5" spans="1:92" ht="15" thickBot="1">
      <c r="C5" s="408"/>
      <c r="D5" s="409"/>
      <c r="E5" s="409"/>
      <c r="F5" s="409"/>
      <c r="G5" s="409"/>
      <c r="H5" s="409"/>
      <c r="I5" s="409"/>
      <c r="J5" s="410"/>
      <c r="K5" s="399"/>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1"/>
      <c r="AO5" s="384" t="s">
        <v>5</v>
      </c>
      <c r="AP5" s="392" t="s">
        <v>5</v>
      </c>
      <c r="AQ5" s="392"/>
      <c r="AR5" s="392"/>
      <c r="AS5" s="392"/>
      <c r="AT5" s="392"/>
      <c r="AU5" s="360"/>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549" t="s">
        <v>9</v>
      </c>
      <c r="B8" s="549"/>
      <c r="C8" s="528" t="s">
        <v>297</v>
      </c>
      <c r="D8" s="529"/>
      <c r="E8" s="529"/>
      <c r="F8" s="529"/>
      <c r="G8" s="529"/>
      <c r="H8" s="529"/>
      <c r="I8" s="529"/>
      <c r="J8" s="529"/>
      <c r="K8" s="530" t="s">
        <v>60</v>
      </c>
      <c r="L8" s="530"/>
      <c r="M8" s="530"/>
      <c r="N8" s="530"/>
      <c r="O8" s="530"/>
      <c r="P8" s="530"/>
      <c r="Q8" s="530"/>
      <c r="R8" s="530"/>
      <c r="S8" s="530"/>
      <c r="T8" s="530"/>
      <c r="U8" s="530"/>
      <c r="V8" s="530"/>
      <c r="W8" s="530"/>
      <c r="X8" s="530"/>
      <c r="Y8" s="530"/>
      <c r="Z8" s="530"/>
      <c r="AA8" s="530"/>
      <c r="AB8" s="530"/>
      <c r="AC8" s="530"/>
      <c r="AD8" s="530"/>
      <c r="AE8" s="530"/>
      <c r="AF8" s="530"/>
      <c r="AG8" s="530"/>
      <c r="AH8" s="530"/>
      <c r="AI8" s="530"/>
      <c r="AJ8" s="530"/>
      <c r="AK8" s="530"/>
      <c r="AL8" s="530"/>
      <c r="AM8" s="530"/>
      <c r="AN8" s="530"/>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29"/>
      <c r="D9" s="529"/>
      <c r="E9" s="529"/>
      <c r="F9" s="529"/>
      <c r="G9" s="529"/>
      <c r="H9" s="529"/>
      <c r="I9" s="529"/>
      <c r="J9" s="529"/>
      <c r="K9" s="530"/>
      <c r="L9" s="530"/>
      <c r="M9" s="530"/>
      <c r="N9" s="530"/>
      <c r="O9" s="530"/>
      <c r="P9" s="530"/>
      <c r="Q9" s="530"/>
      <c r="R9" s="530"/>
      <c r="S9" s="530"/>
      <c r="T9" s="530"/>
      <c r="U9" s="530"/>
      <c r="V9" s="530"/>
      <c r="W9" s="530"/>
      <c r="X9" s="530"/>
      <c r="Y9" s="530"/>
      <c r="Z9" s="530"/>
      <c r="AA9" s="530"/>
      <c r="AB9" s="530"/>
      <c r="AC9" s="530"/>
      <c r="AD9" s="530"/>
      <c r="AE9" s="530"/>
      <c r="AF9" s="530"/>
      <c r="AG9" s="530"/>
      <c r="AH9" s="530"/>
      <c r="AI9" s="530"/>
      <c r="AJ9" s="530"/>
      <c r="AK9" s="530"/>
      <c r="AL9" s="530"/>
      <c r="AM9" s="530"/>
      <c r="AN9" s="530"/>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29"/>
      <c r="D10" s="529"/>
      <c r="E10" s="529"/>
      <c r="F10" s="529"/>
      <c r="G10" s="529"/>
      <c r="H10" s="529"/>
      <c r="I10" s="529"/>
      <c r="J10" s="529"/>
      <c r="K10" s="530"/>
      <c r="L10" s="530"/>
      <c r="M10" s="530"/>
      <c r="N10" s="530"/>
      <c r="O10" s="530"/>
      <c r="P10" s="530"/>
      <c r="Q10" s="530"/>
      <c r="R10" s="530"/>
      <c r="S10" s="530"/>
      <c r="T10" s="530"/>
      <c r="U10" s="530"/>
      <c r="V10" s="530"/>
      <c r="W10" s="530"/>
      <c r="X10" s="530"/>
      <c r="Y10" s="530"/>
      <c r="Z10" s="530"/>
      <c r="AA10" s="530"/>
      <c r="AB10" s="530"/>
      <c r="AC10" s="530"/>
      <c r="AD10" s="530"/>
      <c r="AE10" s="530"/>
      <c r="AF10" s="530"/>
      <c r="AG10" s="530"/>
      <c r="AH10" s="530"/>
      <c r="AI10" s="530"/>
      <c r="AJ10" s="530"/>
      <c r="AK10" s="530"/>
      <c r="AL10" s="530"/>
      <c r="AM10" s="530"/>
      <c r="AN10" s="530"/>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11" t="s">
        <v>282</v>
      </c>
      <c r="D12" s="411"/>
      <c r="E12" s="412"/>
      <c r="F12" s="500" t="s">
        <v>283</v>
      </c>
      <c r="G12" s="501"/>
      <c r="H12" s="501"/>
      <c r="I12" s="501"/>
      <c r="J12" s="501"/>
      <c r="K12" s="32"/>
      <c r="L12" s="33" t="str">
        <f>IF(AND('Mapa final'!$AH$16="Muy Alta",'Mapa final'!$AJ$16="Leve"),CONCATENATE("R2C",'Mapa final'!$R$15),"")</f>
        <v/>
      </c>
      <c r="M12" s="33" t="str">
        <f>IF(AND('Mapa final'!$AH$17="Muy Alta",'Mapa final'!$AJ$17="Leve"),CONCATENATE("R2C",'Mapa final'!$R$17),"")</f>
        <v/>
      </c>
      <c r="N12" s="33" t="e">
        <f>IF(AND('Mapa final'!#REF!="Muy Alta",'Mapa final'!#REF!="Leve"),CONCATENATE("R2C",'Mapa final'!#REF!),"")</f>
        <v>#REF!</v>
      </c>
      <c r="O12" s="33" t="str">
        <f>IF(AND('Mapa final'!$AH$19="Muy Alta",'Mapa final'!$AJ$19="Leve"),CONCATENATE("R2C",'Mapa final'!$R$19),"")</f>
        <v/>
      </c>
      <c r="P12" s="34" t="str">
        <f>IF(AND('Mapa final'!$AH$20="Muy Alta",'Mapa final'!$AJ$20="Leve"),CONCATENATE("R2C",'Mapa final'!$R$20),"")</f>
        <v/>
      </c>
      <c r="Q12" s="33"/>
      <c r="R12" s="33" t="str">
        <f>IF(AND('Mapa final'!$AH$16="Muy Alta",'Mapa final'!$AJ$16="Menore"),CONCATENATE("R2C",'Mapa final'!$R$15),"")</f>
        <v/>
      </c>
      <c r="S12" s="33" t="str">
        <f>IF(AND('Mapa final'!$AH$17="Muy Alta",'Mapa final'!$AJ$17="Menor"),CONCATENATE("R2C",'Mapa final'!$R$17),"")</f>
        <v/>
      </c>
      <c r="T12" s="33" t="e">
        <f>IF(AND('Mapa final'!#REF!="Muy Alta",'Mapa final'!#REF!="Menor"),CONCATENATE("R2C",'Mapa final'!#REF!),"")</f>
        <v>#REF!</v>
      </c>
      <c r="U12" s="33" t="str">
        <f>IF(AND('Mapa final'!$AH$19="Muy Alta",'Mapa final'!$AJ$19="Menor"),CONCATENATE("R2C",'Mapa final'!$R$19),"")</f>
        <v/>
      </c>
      <c r="V12" s="34" t="str">
        <f>IF(AND('Mapa final'!$AH$20="Muy Alta",'Mapa final'!$AJ$20="Menor"),CONCATENATE("R2C",'Mapa final'!$R$20),"")</f>
        <v/>
      </c>
      <c r="W12" s="32"/>
      <c r="X12" s="33" t="str">
        <f>IF(AND('Mapa final'!$AH$16="Muy Alta",'Mapa final'!$AJ$16="Moderado"),CONCATENATE("R2C",'Mapa final'!$R$15),"")</f>
        <v/>
      </c>
      <c r="Y12" s="33"/>
      <c r="Z12" s="33" t="e">
        <f>IF(AND('Mapa final'!#REF!="Muy Alta",'Mapa final'!#REF!="Moderado"),CONCATENATE("R2C",'Mapa final'!#REF!),"")</f>
        <v>#REF!</v>
      </c>
      <c r="AA12" s="33" t="str">
        <f>IF(AND('Mapa final'!$AH$19="Muy Alta",'Mapa final'!$AJ$19="Moderado"),CONCATENATE("R2C",'Mapa final'!$R$19),"")</f>
        <v/>
      </c>
      <c r="AB12" s="34" t="str">
        <f>IF(AND('Mapa final'!$AH$20="Muy Alta",'Mapa final'!$AJ$20="Moderado"),CONCATENATE("R2C",'Mapa final'!$R$20),"")</f>
        <v/>
      </c>
      <c r="AC12" s="32"/>
      <c r="AD12" s="33" t="str">
        <f>IF(AND('Mapa final'!$AH$16="Muy Alta",'Mapa final'!$AJ$16="Mayor"),CONCATENATE("R2C",'Mapa final'!$R$15),"")</f>
        <v/>
      </c>
      <c r="AE12" s="33" t="str">
        <f>IF(AND('Mapa final'!$AH$17="Muy Alta",'Mapa final'!$AJ$17="Mayor"),CONCATENATE("R2C",'Mapa final'!$R$17),"")</f>
        <v/>
      </c>
      <c r="AF12" s="33" t="e">
        <f>IF(AND('Mapa final'!#REF!="Muy Alta",'Mapa final'!#REF!="Mayor"),CONCATENATE("R2C",'Mapa final'!#REF!),"")</f>
        <v>#REF!</v>
      </c>
      <c r="AG12" s="33" t="str">
        <f>IF(AND('Mapa final'!$AH$19="Muy Alta",'Mapa final'!$AJ$19="Mayor"),CONCATENATE("R2C",'Mapa final'!$R$19),"")</f>
        <v/>
      </c>
      <c r="AH12" s="34" t="str">
        <f>IF(AND('Mapa final'!$AH$20="Muy Alta",'Mapa final'!$AJ$20="Mayor"),CONCATENATE("R2C",'Mapa final'!$R$20),"")</f>
        <v/>
      </c>
      <c r="AI12" s="35"/>
      <c r="AJ12" s="36" t="str">
        <f>IF(AND('Mapa final'!$AH$16="Muy Alta",'Mapa final'!$AJ$16="Catastrófico"),CONCATENATE("R2C",'Mapa final'!$R$15),"")</f>
        <v/>
      </c>
      <c r="AK12" s="36" t="str">
        <f>IF(AND('Mapa final'!$AH$17="Muy Alta",'Mapa final'!$AJ$17="Catastrófico"),CONCATENATE("R2C",'Mapa final'!$R$17),"")</f>
        <v/>
      </c>
      <c r="AL12" s="36" t="e">
        <f>IF(AND('Mapa final'!#REF!="Muy Alta",'Mapa final'!#REF!="Catastrófico"),CONCATENATE("R2C",'Mapa final'!#REF!),"")</f>
        <v>#REF!</v>
      </c>
      <c r="AM12" s="36" t="str">
        <f>IF(AND('Mapa final'!$AH$19="Muy Alta",'Mapa final'!$AJ$19="Catastrófico"),CONCATENATE("R2C",'Mapa final'!$R$19),"")</f>
        <v/>
      </c>
      <c r="AN12" s="37" t="str">
        <f>IF(AND('Mapa final'!$AH$20="Muy Alta",'Mapa final'!$AJ$20="Catastrófico"),CONCATENATE("R2C",'Mapa final'!$R$20),"")</f>
        <v/>
      </c>
      <c r="AO12" s="68"/>
      <c r="AP12" s="519" t="s">
        <v>284</v>
      </c>
      <c r="AQ12" s="520"/>
      <c r="AR12" s="520"/>
      <c r="AS12" s="520"/>
      <c r="AT12" s="520"/>
      <c r="AU12" s="521"/>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11"/>
      <c r="D13" s="411"/>
      <c r="E13" s="412"/>
      <c r="F13" s="503"/>
      <c r="G13" s="504"/>
      <c r="H13" s="504"/>
      <c r="I13" s="504"/>
      <c r="J13" s="504"/>
      <c r="K13" s="38" t="str">
        <f>IF(AND('Mapa final'!$AH$21="Muy Alta",'Mapa final'!$AJ$21="Leve"),CONCATENATE("R2C",'Mapa final'!$R$21),"")</f>
        <v/>
      </c>
      <c r="L13" s="39" t="str">
        <f>IF(AND('Mapa final'!$AH$22="Muy Alta",'Mapa final'!$AJ$22="Leve"),CONCATENATE("R2C",'Mapa final'!$R$22),"")</f>
        <v/>
      </c>
      <c r="M13" s="39" t="str">
        <f>IF(AND('Mapa final'!$AH$31="Muy Alta",'Mapa final'!$AJ$31="Leve"),CONCATENATE("R2C",'Mapa final'!$R$31),"")</f>
        <v/>
      </c>
      <c r="N13" s="39" t="str">
        <f>IF(AND('Mapa final'!$AH$32="Muy Alta",'Mapa final'!$AJ$32="Leve"),CONCATENATE("R2C",'Mapa final'!$R$32),"")</f>
        <v/>
      </c>
      <c r="O13" s="39" t="str">
        <f>IF(AND('Mapa final'!$AH$33="Muy Alta",'Mapa final'!$AJ$33="Leve"),CONCATENATE("R2C",'Mapa final'!$R$33),"")</f>
        <v/>
      </c>
      <c r="P13" s="40" t="str">
        <f>IF(AND('Mapa final'!$AH$34="Muy Alta",'Mapa final'!$AJ$34="Leve"),CONCATENATE("R2C",'Mapa final'!$R$34),"")</f>
        <v/>
      </c>
      <c r="Q13" s="39" t="str">
        <f>IF(AND('Mapa final'!$AH$21="Muy Alta",'Mapa final'!$AJ$21="Menor"),CONCATENATE("R2C",'Mapa final'!$R$21),"")</f>
        <v/>
      </c>
      <c r="R13" s="39" t="str">
        <f>IF(AND('Mapa final'!$AH$22="Muy Alta",'Mapa final'!$AJ$22="Menor"),CONCATENATE("R2C",'Mapa final'!$R$22),"")</f>
        <v/>
      </c>
      <c r="S13" s="39" t="str">
        <f>IF(AND('Mapa final'!$AH$31="Muy Alta",'Mapa final'!$AJ$31="Menor"),CONCATENATE("R2C",'Mapa final'!$R$31),"")</f>
        <v/>
      </c>
      <c r="T13" s="39" t="str">
        <f>IF(AND('Mapa final'!$AH$32="Muy Alta",'Mapa final'!$AJ$32="Menor"),CONCATENATE("R2C",'Mapa final'!$R$32),"")</f>
        <v/>
      </c>
      <c r="U13" s="39" t="str">
        <f>IF(AND('Mapa final'!$AH$33="Muy Alta",'Mapa final'!$AJ$33="Menor"),CONCATENATE("R2C",'Mapa final'!$R$33),"")</f>
        <v/>
      </c>
      <c r="V13" s="40" t="str">
        <f>IF(AND('Mapa final'!$AH$34="Muy Alta",'Mapa final'!$AJ$34="Menor"),CONCATENATE("R2C",'Mapa final'!$R$34),"")</f>
        <v/>
      </c>
      <c r="W13" s="38" t="str">
        <f>IF(AND('Mapa final'!$AH$21="Muy Alta",'Mapa final'!$AJ$21="Moderado"),CONCATENATE("R2C",'Mapa final'!$R$21),"")</f>
        <v/>
      </c>
      <c r="X13" s="39" t="str">
        <f>IF(AND('Mapa final'!$AH$22="Muy Alta",'Mapa final'!$AJ$22="Moderado"),CONCATENATE("R2C",'Mapa final'!$R$22),"")</f>
        <v/>
      </c>
      <c r="Y13" s="39" t="str">
        <f>IF(AND('Mapa final'!$AH$31="Muy Alta",'Mapa final'!$AJ$31="Moderado"),CONCATENATE("R2C",'Mapa final'!$R$31),"")</f>
        <v/>
      </c>
      <c r="Z13" s="39" t="str">
        <f>IF(AND('Mapa final'!$AH$32="Muy Alta",'Mapa final'!$AJ$32="Moderado"),CONCATENATE("R2C",'Mapa final'!$R$32),"")</f>
        <v/>
      </c>
      <c r="AA13" s="39" t="str">
        <f>IF(AND('Mapa final'!$AH$33="Muy Alta",'Mapa final'!$AJ$33="Moderado"),CONCATENATE("R2C",'Mapa final'!$R$33),"")</f>
        <v/>
      </c>
      <c r="AB13" s="40" t="str">
        <f>IF(AND('Mapa final'!$AH$34="Muy Alta",'Mapa final'!$AJ$34="Moderado"),CONCATENATE("R2C",'Mapa final'!$R$34),"")</f>
        <v/>
      </c>
      <c r="AC13" s="38" t="str">
        <f>IF(AND('Mapa final'!$AH$21="Muy Alta",'Mapa final'!$AJ$21="Mayor"),CONCATENATE("R2C",'Mapa final'!$R$21),"")</f>
        <v/>
      </c>
      <c r="AD13" s="39" t="str">
        <f>IF(AND('Mapa final'!$AH$22="Muy Alta",'Mapa final'!$AJ$22="Mayor"),CONCATENATE("R2C",'Mapa final'!$R$22),"")</f>
        <v/>
      </c>
      <c r="AE13" s="39" t="str">
        <f>IF(AND('Mapa final'!$AH$31="Muy Alta",'Mapa final'!$AJ$31="Mayor"),CONCATENATE("R2C",'Mapa final'!$R$31),"")</f>
        <v/>
      </c>
      <c r="AF13" s="39" t="str">
        <f>IF(AND('Mapa final'!$AH$32="Muy Alta",'Mapa final'!$AJ$32="Mayor"),CONCATENATE("R2C",'Mapa final'!$R$32),"")</f>
        <v/>
      </c>
      <c r="AG13" s="39" t="str">
        <f>IF(AND('Mapa final'!$AH$33="Muy Alta",'Mapa final'!$AJ$33="Mayor"),CONCATENATE("R2C",'Mapa final'!$R$33),"")</f>
        <v/>
      </c>
      <c r="AH13" s="40" t="str">
        <f>IF(AND('Mapa final'!$AH$34="Muy Alta",'Mapa final'!$AJ$34="Mayor"),CONCATENATE("R2C",'Mapa final'!$R$34),"")</f>
        <v/>
      </c>
      <c r="AI13" s="41" t="str">
        <f>IF(AND('Mapa final'!$AH$21="Muy Alta",'Mapa final'!$AJ$21="Catastrófico"),CONCATENATE("R2C",'Mapa final'!$R$21),"")</f>
        <v/>
      </c>
      <c r="AJ13" s="42" t="str">
        <f>IF(AND('Mapa final'!$AH$22="Muy Alta",'Mapa final'!$AJ$22="Catastrófico"),CONCATENATE("R2C",'Mapa final'!$R$22),"")</f>
        <v/>
      </c>
      <c r="AK13" s="42" t="str">
        <f>IF(AND('Mapa final'!$AH$31="Muy Alta",'Mapa final'!$AJ$31="Catastrófico"),CONCATENATE("R2C",'Mapa final'!$R$31),"")</f>
        <v/>
      </c>
      <c r="AL13" s="42" t="str">
        <f>IF(AND('Mapa final'!$AH$32="Muy Alta",'Mapa final'!$AJ$32="Catastrófico"),CONCATENATE("R2C",'Mapa final'!$R$32),"")</f>
        <v/>
      </c>
      <c r="AM13" s="42" t="str">
        <f>IF(AND('Mapa final'!$AH$33="Muy Alta",'Mapa final'!$AJ$33="Catastrófico"),CONCATENATE("R2C",'Mapa final'!$R$33),"")</f>
        <v/>
      </c>
      <c r="AN13" s="43" t="str">
        <f>IF(AND('Mapa final'!$AH$34="Muy Alta",'Mapa final'!$AJ$34="Catastrófico"),CONCATENATE("R2C",'Mapa final'!$R$34),"")</f>
        <v/>
      </c>
      <c r="AO13" s="68"/>
      <c r="AP13" s="522"/>
      <c r="AQ13" s="523"/>
      <c r="AR13" s="523"/>
      <c r="AS13" s="523"/>
      <c r="AT13" s="523"/>
      <c r="AU13" s="524"/>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11"/>
      <c r="D14" s="411"/>
      <c r="E14" s="412"/>
      <c r="F14" s="503"/>
      <c r="G14" s="504"/>
      <c r="H14" s="504"/>
      <c r="I14" s="504"/>
      <c r="J14" s="504"/>
      <c r="K14" s="38" t="str">
        <f>IF(AND('Mapa final'!$AH$35="Muy Alta",'Mapa final'!$AJ$35="Leve"),CONCATENATE("R2C",'Mapa final'!$R$35),"")</f>
        <v/>
      </c>
      <c r="L14" s="39" t="str">
        <f>IF(AND('Mapa final'!$AH$36="Muy Alta",'Mapa final'!$AJ$36="Leve"),CONCATENATE("R2C",'Mapa final'!$R$36),"")</f>
        <v/>
      </c>
      <c r="M14" s="39" t="str">
        <f>IF(AND('Mapa final'!$AH$37="Muy Alta",'Mapa final'!$AJ$37="Leve"),CONCATENATE("R2C",'Mapa final'!$R$37),"")</f>
        <v/>
      </c>
      <c r="N14" s="39" t="str">
        <f>IF(AND('Mapa final'!$AH$38="Muy Alta",'Mapa final'!$AJ$38="Leve"),CONCATENATE("R2C",'Mapa final'!$R$38),"")</f>
        <v/>
      </c>
      <c r="O14" s="39" t="str">
        <f>IF(AND('Mapa final'!$AH$39="Muy Alta",'Mapa final'!$AJ$39="Leve"),CONCATENATE("R2C",'Mapa final'!$R$39),"")</f>
        <v/>
      </c>
      <c r="P14" s="40" t="str">
        <f>IF(AND('Mapa final'!$AH$40="Muy Alta",'Mapa final'!$AJ$40="Leve"),CONCATENATE("R2C",'Mapa final'!$R$40),"")</f>
        <v/>
      </c>
      <c r="Q14" s="39" t="str">
        <f>IF(AND('Mapa final'!$AH$35="Muy Alta",'Mapa final'!$AJ$35="Menor"),CONCATENATE("R2C",'Mapa final'!$R$35),"")</f>
        <v/>
      </c>
      <c r="R14" s="39" t="str">
        <f>IF(AND('Mapa final'!$AH$36="Muy Alta",'Mapa final'!$AJ$36="Menor"),CONCATENATE("R2C",'Mapa final'!$R$36),"")</f>
        <v/>
      </c>
      <c r="S14" s="39" t="str">
        <f>IF(AND('Mapa final'!$AH$37="Muy Alta",'Mapa final'!$AJ$37="Menor"),CONCATENATE("R2C",'Mapa final'!$R$37),"")</f>
        <v/>
      </c>
      <c r="T14" s="39" t="str">
        <f>IF(AND('Mapa final'!$AH$38="Muy Alta",'Mapa final'!$AJ$38="Menor"),CONCATENATE("R2C",'Mapa final'!$R$38),"")</f>
        <v/>
      </c>
      <c r="U14" s="39" t="str">
        <f>IF(AND('Mapa final'!$AH$39="Muy Alta",'Mapa final'!$AJ$39="Menor"),CONCATENATE("R2C",'Mapa final'!$R$39),"")</f>
        <v/>
      </c>
      <c r="V14" s="40" t="str">
        <f>IF(AND('Mapa final'!$AH$40="Muy Alta",'Mapa final'!$AJ$40="Menor"),CONCATENATE("R2C",'Mapa final'!$R$40),"")</f>
        <v/>
      </c>
      <c r="W14" s="38" t="str">
        <f>IF(AND('Mapa final'!$AH$35="Muy Alta",'Mapa final'!$AJ$35="Moderado"),CONCATENATE("R2C",'Mapa final'!$R$35),"")</f>
        <v/>
      </c>
      <c r="X14" s="39" t="str">
        <f>IF(AND('Mapa final'!$AH$36="Muy Alta",'Mapa final'!$AJ$36="Moderado"),CONCATENATE("R2C",'Mapa final'!$R$36),"")</f>
        <v/>
      </c>
      <c r="Y14" s="39" t="str">
        <f>IF(AND('Mapa final'!$AH$37="Muy Alta",'Mapa final'!$AJ$37="Moderado"),CONCATENATE("R2C",'Mapa final'!$R$37),"")</f>
        <v/>
      </c>
      <c r="Z14" s="39" t="str">
        <f>IF(AND('Mapa final'!$AH$38="Muy Alta",'Mapa final'!$AJ$38="Moderado"),CONCATENATE("R2C",'Mapa final'!$R$38),"")</f>
        <v/>
      </c>
      <c r="AA14" s="39" t="str">
        <f>IF(AND('Mapa final'!$AH$39="Muy Alta",'Mapa final'!$AJ$39="Moderado"),CONCATENATE("R2C",'Mapa final'!$R$39),"")</f>
        <v/>
      </c>
      <c r="AB14" s="40" t="str">
        <f>IF(AND('Mapa final'!$AH$40="Muy Alta",'Mapa final'!$AJ$40="Moderado"),CONCATENATE("R2C",'Mapa final'!$R$40),"")</f>
        <v/>
      </c>
      <c r="AC14" s="38" t="str">
        <f>IF(AND('Mapa final'!$AH$35="Muy Alta",'Mapa final'!$AJ$35="Mayor"),CONCATENATE("R2C",'Mapa final'!$R$35),"")</f>
        <v/>
      </c>
      <c r="AD14" s="39" t="str">
        <f>IF(AND('Mapa final'!$AH$36="Muy Alta",'Mapa final'!$AJ$36="Mayor"),CONCATENATE("R2C",'Mapa final'!$R$36),"")</f>
        <v/>
      </c>
      <c r="AE14" s="39" t="str">
        <f>IF(AND('Mapa final'!$AH$37="Muy Alta",'Mapa final'!$AJ$37="Mayor"),CONCATENATE("R2C",'Mapa final'!$R$37),"")</f>
        <v/>
      </c>
      <c r="AF14" s="39" t="str">
        <f>IF(AND('Mapa final'!$AH$38="Muy Alta",'Mapa final'!$AJ$38="Mayor"),CONCATENATE("R2C",'Mapa final'!$R$38),"")</f>
        <v/>
      </c>
      <c r="AG14" s="39" t="str">
        <f>IF(AND('Mapa final'!$AH$39="Muy Alta",'Mapa final'!$AJ$39="Mayor"),CONCATENATE("R2C",'Mapa final'!$R$39),"")</f>
        <v/>
      </c>
      <c r="AH14" s="40" t="str">
        <f>IF(AND('Mapa final'!$AH$40="Muy Alta",'Mapa final'!$AJ$40="Mayor"),CONCATENATE("R2C",'Mapa final'!$R$40),"")</f>
        <v/>
      </c>
      <c r="AI14" s="41" t="str">
        <f>IF(AND('Mapa final'!$AH$35="Muy Alta",'Mapa final'!$AJ$35="Catastrófico"),CONCATENATE("R2C",'Mapa final'!$R$35),"")</f>
        <v/>
      </c>
      <c r="AJ14" s="42" t="str">
        <f>IF(AND('Mapa final'!$AH$36="Muy Alta",'Mapa final'!$AJ$36="Catastrófico"),CONCATENATE("R2C",'Mapa final'!$R$36),"")</f>
        <v/>
      </c>
      <c r="AK14" s="42" t="str">
        <f>IF(AND('Mapa final'!$AH$37="Muy Alta",'Mapa final'!$AJ$37="Catastrófico"),CONCATENATE("R2C",'Mapa final'!$R$37),"")</f>
        <v/>
      </c>
      <c r="AL14" s="42" t="str">
        <f>IF(AND('Mapa final'!$AH$38="Muy Alta",'Mapa final'!$AJ$38="Catastrófico"),CONCATENATE("R2C",'Mapa final'!$R$38),"")</f>
        <v/>
      </c>
      <c r="AM14" s="42" t="str">
        <f>IF(AND('Mapa final'!$AH$39="Muy Alta",'Mapa final'!$AJ$39="Catastrófico"),CONCATENATE("R2C",'Mapa final'!$R$39),"")</f>
        <v/>
      </c>
      <c r="AN14" s="43" t="str">
        <f>IF(AND('Mapa final'!$AH$40="Muy Alta",'Mapa final'!$AJ$40="Catastrófico"),CONCATENATE("R2C",'Mapa final'!$R$40),"")</f>
        <v/>
      </c>
      <c r="AO14" s="68"/>
      <c r="AP14" s="522"/>
      <c r="AQ14" s="523"/>
      <c r="AR14" s="523"/>
      <c r="AS14" s="523"/>
      <c r="AT14" s="523"/>
      <c r="AU14" s="524"/>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11"/>
      <c r="D15" s="411"/>
      <c r="E15" s="412"/>
      <c r="F15" s="503"/>
      <c r="G15" s="504"/>
      <c r="H15" s="504"/>
      <c r="I15" s="504"/>
      <c r="J15" s="504"/>
      <c r="K15" s="38" t="str">
        <f>IF(AND('Mapa final'!$AH$41="Muy Alta",'Mapa final'!$AJ$41="Leve"),CONCATENATE("R2C",'Mapa final'!$R$41),"")</f>
        <v/>
      </c>
      <c r="L15" s="39" t="str">
        <f>IF(AND('Mapa final'!$AH$42="Muy Alta",'Mapa final'!$AJ$42="Leve"),CONCATENATE("R2C",'Mapa final'!$R$42),"")</f>
        <v/>
      </c>
      <c r="M15" s="39" t="str">
        <f>IF(AND('Mapa final'!$AH$43="Muy Alta",'Mapa final'!$AJ$43="Leve"),CONCATENATE("R2C",'Mapa final'!$R$43),"")</f>
        <v/>
      </c>
      <c r="N15" s="39" t="str">
        <f>IF(AND('Mapa final'!$AH$44="Muy Alta",'Mapa final'!$AJ$44="Leve"),CONCATENATE("R2C",'Mapa final'!$R$44),"")</f>
        <v/>
      </c>
      <c r="O15" s="39" t="str">
        <f>IF(AND('Mapa final'!$AH$45="Muy Alta",'Mapa final'!$AJ$45="Leve"),CONCATENATE("R2C",'Mapa final'!$R$45),"")</f>
        <v/>
      </c>
      <c r="P15" s="40" t="str">
        <f>IF(AND('Mapa final'!$AH$46="Muy Alta",'Mapa final'!$AJ$46="Leve"),CONCATENATE("R2C",'Mapa final'!$R$46),"")</f>
        <v/>
      </c>
      <c r="Q15" s="39" t="str">
        <f>IF(AND('Mapa final'!$AH$41="Muy Alta",'Mapa final'!$AJ$41="Menor"),CONCATENATE("R2C",'Mapa final'!$R$41),"")</f>
        <v/>
      </c>
      <c r="R15" s="39" t="str">
        <f>IF(AND('Mapa final'!$AH$42="Muy Alta",'Mapa final'!$AJ$42="Menor"),CONCATENATE("R2C",'Mapa final'!$R$42),"")</f>
        <v/>
      </c>
      <c r="S15" s="39" t="str">
        <f>IF(AND('Mapa final'!$AH$43="Muy Alta",'Mapa final'!$AJ$43="Menor"),CONCATENATE("R2C",'Mapa final'!$R$43),"")</f>
        <v/>
      </c>
      <c r="T15" s="39" t="str">
        <f>IF(AND('Mapa final'!$AH$44="Muy Alta",'Mapa final'!$AJ$44="Menor"),CONCATENATE("R2C",'Mapa final'!$R$44),"")</f>
        <v/>
      </c>
      <c r="U15" s="39" t="str">
        <f>IF(AND('Mapa final'!$AH$45="Muy Alta",'Mapa final'!$AJ$45="LMenor"),CONCATENATE("R2C",'Mapa final'!$R$45),"")</f>
        <v/>
      </c>
      <c r="V15" s="40" t="str">
        <f>IF(AND('Mapa final'!$AH$46="Muy Alta",'Mapa final'!$AJ$46="Menor"),CONCATENATE("R2C",'Mapa final'!$R$46),"")</f>
        <v/>
      </c>
      <c r="W15" s="38" t="str">
        <f>IF(AND('Mapa final'!$AH$41="Muy Alta",'Mapa final'!$AJ$41="Moderado"),CONCATENATE("R2C",'Mapa final'!$R$41),"")</f>
        <v/>
      </c>
      <c r="X15" s="39" t="str">
        <f>IF(AND('Mapa final'!$AH$42="Muy Alta",'Mapa final'!$AJ$42="Moderado"),CONCATENATE("R2C",'Mapa final'!$R$42),"")</f>
        <v/>
      </c>
      <c r="Y15" s="39" t="str">
        <f>IF(AND('Mapa final'!$AH$43="Muy Alta",'Mapa final'!$AJ$43="Moderado"),CONCATENATE("R2C",'Mapa final'!$R$43),"")</f>
        <v/>
      </c>
      <c r="Z15" s="39" t="str">
        <f>IF(AND('Mapa final'!$AH$44="Muy Alta",'Mapa final'!$AJ$44="Moderado"),CONCATENATE("R2C",'Mapa final'!$R$44),"")</f>
        <v/>
      </c>
      <c r="AA15" s="39" t="str">
        <f>IF(AND('Mapa final'!$AH$45="Muy Alta",'Mapa final'!$AJ$45="Moderado"),CONCATENATE("R2C",'Mapa final'!$R$45),"")</f>
        <v/>
      </c>
      <c r="AB15" s="40" t="str">
        <f>IF(AND('Mapa final'!$AH$46="Muy Alta",'Mapa final'!$AJ$46="Moderado"),CONCATENATE("R2C",'Mapa final'!$R$46),"")</f>
        <v/>
      </c>
      <c r="AC15" s="38" t="str">
        <f>IF(AND('Mapa final'!$AH$41="Muy Alta",'Mapa final'!$AJ$41="Mayor"),CONCATENATE("R2C",'Mapa final'!$R$41),"")</f>
        <v/>
      </c>
      <c r="AD15" s="39" t="str">
        <f>IF(AND('Mapa final'!$AH$42="Muy Alta",'Mapa final'!$AJ$42="Mayor"),CONCATENATE("R2C",'Mapa final'!$R$42),"")</f>
        <v/>
      </c>
      <c r="AE15" s="39" t="str">
        <f>IF(AND('Mapa final'!$AH$43="Muy Alta",'Mapa final'!$AJ$43="Mayor"),CONCATENATE("R2C",'Mapa final'!$R$43),"")</f>
        <v/>
      </c>
      <c r="AF15" s="39" t="str">
        <f>IF(AND('Mapa final'!$AH$44="Muy Alta",'Mapa final'!$AJ$44="Mayor"),CONCATENATE("R2C",'Mapa final'!$R$44),"")</f>
        <v/>
      </c>
      <c r="AG15" s="39" t="str">
        <f>IF(AND('Mapa final'!$AH$45="Muy Alta",'Mapa final'!$AJ$45="Mayor"),CONCATENATE("R2C",'Mapa final'!$R$45),"")</f>
        <v/>
      </c>
      <c r="AH15" s="40" t="str">
        <f>IF(AND('Mapa final'!$AH$46="Muy Alta",'Mapa final'!$AJ$46="Mayor"),CONCATENATE("R2C",'Mapa final'!$R$46),"")</f>
        <v/>
      </c>
      <c r="AI15" s="41" t="str">
        <f>IF(AND('Mapa final'!$AH$41="Muy Alta",'Mapa final'!$AJ$41="Catastrófico"),CONCATENATE("R2C",'Mapa final'!$R$41),"")</f>
        <v/>
      </c>
      <c r="AJ15" s="42" t="str">
        <f>IF(AND('Mapa final'!$AH$42="Muy Alta",'Mapa final'!$AJ$42="Catastrófico"),CONCATENATE("R2C",'Mapa final'!$R$42),"")</f>
        <v/>
      </c>
      <c r="AK15" s="42" t="str">
        <f>IF(AND('Mapa final'!$AH$43="Muy Alta",'Mapa final'!$AJ$43="Catastrófico"),CONCATENATE("R2C",'Mapa final'!$R$43),"")</f>
        <v/>
      </c>
      <c r="AL15" s="42" t="str">
        <f>IF(AND('Mapa final'!$AH$44="Muy Alta",'Mapa final'!$AJ$44="Catastrófico"),CONCATENATE("R2C",'Mapa final'!$R$44),"")</f>
        <v/>
      </c>
      <c r="AM15" s="42" t="str">
        <f>IF(AND('Mapa final'!$AH$45="Muy Alta",'Mapa final'!$AJ$45="LCatastrófico"),CONCATENATE("R2C",'Mapa final'!$R$45),"")</f>
        <v/>
      </c>
      <c r="AN15" s="43" t="str">
        <f>IF(AND('Mapa final'!$AH$46="Muy Alta",'Mapa final'!$AJ$46="Catastrófico"),CONCATENATE("R2C",'Mapa final'!$R$46),"")</f>
        <v/>
      </c>
      <c r="AO15" s="68"/>
      <c r="AP15" s="522"/>
      <c r="AQ15" s="523"/>
      <c r="AR15" s="523"/>
      <c r="AS15" s="523"/>
      <c r="AT15" s="523"/>
      <c r="AU15" s="524"/>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11"/>
      <c r="D16" s="411"/>
      <c r="E16" s="412"/>
      <c r="F16" s="503"/>
      <c r="G16" s="504"/>
      <c r="H16" s="504"/>
      <c r="I16" s="504"/>
      <c r="J16" s="504"/>
      <c r="K16" s="38" t="str">
        <f>IF(AND('Mapa final'!$AH$47="Muy Alta",'Mapa final'!$AJ$47="Leve"),CONCATENATE("R2C",'Mapa final'!$R$47),"")</f>
        <v/>
      </c>
      <c r="L16" s="39" t="str">
        <f>IF(AND('Mapa final'!$AH$48="Muy Alta",'Mapa final'!$AJ$48="Leve"),CONCATENATE("R2C",'Mapa final'!$R$48),"")</f>
        <v/>
      </c>
      <c r="M16" s="39" t="str">
        <f>IF(AND('Mapa final'!$AH$49="Muy Alta",'Mapa final'!$AJ$49="Leve"),CONCATENATE("R2C",'Mapa final'!$R$49),"")</f>
        <v/>
      </c>
      <c r="N16" s="39" t="str">
        <f>IF(AND('Mapa final'!$AH$50="Muy Alta",'Mapa final'!$AJ$50="Leve"),CONCATENATE("R2C",'Mapa final'!$R$50),"")</f>
        <v/>
      </c>
      <c r="O16" s="39" t="str">
        <f>IF(AND('Mapa final'!$AH$51="Muy Alta",'Mapa final'!$AJ$51="Leve"),CONCATENATE("R2C",'Mapa final'!$R$51),"")</f>
        <v/>
      </c>
      <c r="P16" s="40" t="str">
        <f>IF(AND('Mapa final'!$AH$52="Muy Alta",'Mapa final'!$AJ$52="Leve"),CONCATENATE("R2C",'Mapa final'!$R$52),"")</f>
        <v/>
      </c>
      <c r="Q16" s="39" t="str">
        <f>IF(AND('Mapa final'!$AH$47="Muy Alta",'Mapa final'!$AJ$47="Menor"),CONCATENATE("R2C",'Mapa final'!$R$47),"")</f>
        <v/>
      </c>
      <c r="R16" s="39" t="str">
        <f>IF(AND('Mapa final'!$AH$48="Muy Alta",'Mapa final'!$AJ$48="Menor"),CONCATENATE("R2C",'Mapa final'!$R$48),"")</f>
        <v/>
      </c>
      <c r="S16" s="39" t="str">
        <f>IF(AND('Mapa final'!$AH$49="Muy Alta",'Mapa final'!$AJ$49="Menor"),CONCATENATE("R2C",'Mapa final'!$R$49),"")</f>
        <v/>
      </c>
      <c r="T16" s="39" t="str">
        <f>IF(AND('Mapa final'!$AH$50="Muy Alta",'Mapa final'!$AJ$50="Menor"),CONCATENATE("R2C",'Mapa final'!$R$50),"")</f>
        <v/>
      </c>
      <c r="U16" s="39" t="str">
        <f>IF(AND('Mapa final'!$AH$51="Muy Alta",'Mapa final'!$AJ$51="Menor"),CONCATENATE("R2C",'Mapa final'!$R$51),"")</f>
        <v/>
      </c>
      <c r="V16" s="40" t="str">
        <f>IF(AND('Mapa final'!$AH$52="Muy Alta",'Mapa final'!$AJ$52="Menor"),CONCATENATE("R2C",'Mapa final'!$R$52),"")</f>
        <v/>
      </c>
      <c r="W16" s="38" t="str">
        <f>IF(AND('Mapa final'!$AH$47="Muy Alta",'Mapa final'!$AJ$47="Moderado"),CONCATENATE("R2C",'Mapa final'!$R$47),"")</f>
        <v/>
      </c>
      <c r="X16" s="39" t="str">
        <f>IF(AND('Mapa final'!$AH$48="Muy Alta",'Mapa final'!$AJ$48="Moderado"),CONCATENATE("R2C",'Mapa final'!$R$48),"")</f>
        <v/>
      </c>
      <c r="Y16" s="39" t="str">
        <f>IF(AND('Mapa final'!$AH$49="Muy Alta",'Mapa final'!$AJ$49="Moderado"),CONCATENATE("R2C",'Mapa final'!$R$49),"")</f>
        <v/>
      </c>
      <c r="Z16" s="39" t="str">
        <f>IF(AND('Mapa final'!$AH$50="Muy Alta",'Mapa final'!$AJ$50="Moderado"),CONCATENATE("R2C",'Mapa final'!$R$50),"")</f>
        <v/>
      </c>
      <c r="AA16" s="39" t="str">
        <f>IF(AND('Mapa final'!$AH$51="Muy Alta",'Mapa final'!$AJ$51="Moderado"),CONCATENATE("R2C",'Mapa final'!$R$51),"")</f>
        <v/>
      </c>
      <c r="AB16" s="40" t="str">
        <f>IF(AND('Mapa final'!$AH$52="Muy Alta",'Mapa final'!$AJ$52="Moderado"),CONCATENATE("R2C",'Mapa final'!$R$52),"")</f>
        <v/>
      </c>
      <c r="AC16" s="38" t="str">
        <f>IF(AND('Mapa final'!$AH$47="Muy Alta",'Mapa final'!$AJ$47="Mayor"),CONCATENATE("R2C",'Mapa final'!$R$47),"")</f>
        <v/>
      </c>
      <c r="AD16" s="39" t="str">
        <f>IF(AND('Mapa final'!$AH$48="Muy Alta",'Mapa final'!$AJ$48="Mayor"),CONCATENATE("R2C",'Mapa final'!$R$48),"")</f>
        <v/>
      </c>
      <c r="AE16" s="39" t="str">
        <f>IF(AND('Mapa final'!$AH$49="Muy Alta",'Mapa final'!$AJ$49="Mayor"),CONCATENATE("R2C",'Mapa final'!$R$49),"")</f>
        <v/>
      </c>
      <c r="AF16" s="39" t="str">
        <f>IF(AND('Mapa final'!$AH$50="Muy Alta",'Mapa final'!$AJ$50="Mayor"),CONCATENATE("R2C",'Mapa final'!$R$50),"")</f>
        <v/>
      </c>
      <c r="AG16" s="39" t="str">
        <f>IF(AND('Mapa final'!$AH$51="Muy Alta",'Mapa final'!$AJ$51="Mayor"),CONCATENATE("R2C",'Mapa final'!$R$51),"")</f>
        <v/>
      </c>
      <c r="AH16" s="40" t="str">
        <f>IF(AND('Mapa final'!$AH$52="Muy Alta",'Mapa final'!$AJ$52="Mayor"),CONCATENATE("R2C",'Mapa final'!$R$52),"")</f>
        <v/>
      </c>
      <c r="AI16" s="41" t="str">
        <f>IF(AND('Mapa final'!$AH$47="Muy Alta",'Mapa final'!$AJ$47="Catastrófico"),CONCATENATE("R2C",'Mapa final'!$R$47),"")</f>
        <v/>
      </c>
      <c r="AJ16" s="42" t="str">
        <f>IF(AND('Mapa final'!$AH$48="Muy Alta",'Mapa final'!$AJ$48="Catastrófico"),CONCATENATE("R2C",'Mapa final'!$R$48),"")</f>
        <v/>
      </c>
      <c r="AK16" s="42" t="str">
        <f>IF(AND('Mapa final'!$AH$49="Muy Alta",'Mapa final'!$AJ$49="Catastrófico"),CONCATENATE("R2C",'Mapa final'!$R$49),"")</f>
        <v/>
      </c>
      <c r="AL16" s="42" t="str">
        <f>IF(AND('Mapa final'!$AH$50="Muy Alta",'Mapa final'!$AJ$50="Catastrófico"),CONCATENATE("R2C",'Mapa final'!$R$50),"")</f>
        <v/>
      </c>
      <c r="AM16" s="42" t="str">
        <f>IF(AND('Mapa final'!$AH$51="Muy Alta",'Mapa final'!$AJ$51="Catastrófico"),CONCATENATE("R2C",'Mapa final'!$R$51),"")</f>
        <v/>
      </c>
      <c r="AN16" s="43" t="str">
        <f>IF(AND('Mapa final'!$AH$52="Muy Alta",'Mapa final'!$AJ$52="Catastrófico"),CONCATENATE("R2C",'Mapa final'!$R$52),"")</f>
        <v/>
      </c>
      <c r="AO16" s="68"/>
      <c r="AP16" s="522"/>
      <c r="AQ16" s="523"/>
      <c r="AR16" s="523"/>
      <c r="AS16" s="523"/>
      <c r="AT16" s="523"/>
      <c r="AU16" s="524"/>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11"/>
      <c r="D17" s="411"/>
      <c r="E17" s="412"/>
      <c r="F17" s="503"/>
      <c r="G17" s="504"/>
      <c r="H17" s="504"/>
      <c r="I17" s="504"/>
      <c r="J17" s="504"/>
      <c r="K17" s="38" t="str">
        <f>IF(AND('Mapa final'!$AH$53="Muy Alta",'Mapa final'!$AJ$53="Leve"),CONCATENATE("R2C",'Mapa final'!$R$53),"")</f>
        <v/>
      </c>
      <c r="L17" s="39" t="str">
        <f>IF(AND('Mapa final'!$AH$54="Muy Alta",'Mapa final'!$AJ$54="Leve"),CONCATENATE("R2C",'Mapa final'!$R$54),"")</f>
        <v/>
      </c>
      <c r="M17" s="39" t="str">
        <f>IF(AND('Mapa final'!$AH$55="Muy Alta",'Mapa final'!$AJ$55="Leve"),CONCATENATE("R2C",'Mapa final'!$R$55),"")</f>
        <v/>
      </c>
      <c r="N17" s="39" t="str">
        <f>IF(AND('Mapa final'!$AH$56="Muy Alta",'Mapa final'!$AJ$56="Leve"),CONCATENATE("R2C",'Mapa final'!$R$56),"")</f>
        <v/>
      </c>
      <c r="O17" s="39" t="str">
        <f>IF(AND('Mapa final'!$AH$57="Muy Alta",'Mapa final'!$AJ$57="Leve"),CONCATENATE("R2C",'Mapa final'!$R$57),"")</f>
        <v/>
      </c>
      <c r="P17" s="40" t="str">
        <f>IF(AND('Mapa final'!$AH$68="Muy Alta",'Mapa final'!$AJ$58="Leve"),CONCATENATE("R2C",'Mapa final'!$R$58),"")</f>
        <v/>
      </c>
      <c r="Q17" s="39" t="str">
        <f>IF(AND('Mapa final'!$AH$53="Muy Alta",'Mapa final'!$AJ$53="Menor"),CONCATENATE("R2C",'Mapa final'!$R$53),"")</f>
        <v/>
      </c>
      <c r="R17" s="39" t="str">
        <f>IF(AND('Mapa final'!$AH$54="Muy Alta",'Mapa final'!$AJ$54="Menor"),CONCATENATE("R2C",'Mapa final'!$R$54),"")</f>
        <v/>
      </c>
      <c r="S17" s="39" t="str">
        <f>IF(AND('Mapa final'!$AH$55="Muy Alta",'Mapa final'!$AJ$55="Menor"),CONCATENATE("R2C",'Mapa final'!$R$55),"")</f>
        <v/>
      </c>
      <c r="T17" s="39" t="str">
        <f>IF(AND('Mapa final'!$AH$56="Muy Alta",'Mapa final'!$AJ$56="Menor"),CONCATENATE("R2C",'Mapa final'!$R$56),"")</f>
        <v/>
      </c>
      <c r="U17" s="39" t="str">
        <f>IF(AND('Mapa final'!$AH$57="Muy Alta",'Mapa final'!$AJ$57="Menor"),CONCATENATE("R2C",'Mapa final'!$R$57),"")</f>
        <v/>
      </c>
      <c r="V17" s="40" t="str">
        <f>IF(AND('Mapa final'!$AH$68="Muy Alta",'Mapa final'!$AJ$58="Menor"),CONCATENATE("R2C",'Mapa final'!$R$58),"")</f>
        <v/>
      </c>
      <c r="W17" s="38" t="str">
        <f>IF(AND('Mapa final'!$AH$53="Muy Alta",'Mapa final'!$AJ$53="Moderado"),CONCATENATE("R2C",'Mapa final'!$R$53),"")</f>
        <v/>
      </c>
      <c r="X17" s="39" t="str">
        <f>IF(AND('Mapa final'!$AH$54="Muy Alta",'Mapa final'!$AJ$54="Moderado"),CONCATENATE("R2C",'Mapa final'!$R$54),"")</f>
        <v/>
      </c>
      <c r="Y17" s="39" t="str">
        <f>IF(AND('Mapa final'!$AH$55="Muy Alta",'Mapa final'!$AJ$55="Moderado"),CONCATENATE("R2C",'Mapa final'!$R$55),"")</f>
        <v/>
      </c>
      <c r="Z17" s="39" t="str">
        <f>IF(AND('Mapa final'!$AH$56="Muy Alta",'Mapa final'!$AJ$56="Moderado"),CONCATENATE("R2C",'Mapa final'!$R$56),"")</f>
        <v/>
      </c>
      <c r="AA17" s="39" t="str">
        <f>IF(AND('Mapa final'!$AH$57="Muy Alta",'Mapa final'!$AJ$57="Moderado"),CONCATENATE("R2C",'Mapa final'!$R$57),"")</f>
        <v/>
      </c>
      <c r="AB17" s="40" t="str">
        <f>IF(AND('Mapa final'!$AH$68="Muy Alta",'Mapa final'!$AJ$58="Moderado"),CONCATENATE("R2C",'Mapa final'!$R$58),"")</f>
        <v/>
      </c>
      <c r="AC17" s="38" t="str">
        <f>IF(AND('Mapa final'!$AH$53="Muy Alta",'Mapa final'!$AJ$53="Mayor"),CONCATENATE("R2C",'Mapa final'!$R$53),"")</f>
        <v/>
      </c>
      <c r="AD17" s="39" t="str">
        <f>IF(AND('Mapa final'!$AH$54="Muy Alta",'Mapa final'!$AJ$54="Mayor"),CONCATENATE("R2C",'Mapa final'!$R$54),"")</f>
        <v/>
      </c>
      <c r="AE17" s="39" t="str">
        <f>IF(AND('Mapa final'!$AH$55="Muy Alta",'Mapa final'!$AJ$55="Mayor"),CONCATENATE("R2C",'Mapa final'!$R$55),"")</f>
        <v/>
      </c>
      <c r="AF17" s="39" t="str">
        <f>IF(AND('Mapa final'!$AH$56="Muy Alta",'Mapa final'!$AJ$56="Mayor"),CONCATENATE("R2C",'Mapa final'!$R$56),"")</f>
        <v/>
      </c>
      <c r="AG17" s="39" t="str">
        <f>IF(AND('Mapa final'!$AH$57="Muy Alta",'Mapa final'!$AJ$57="Mayor"),CONCATENATE("R2C",'Mapa final'!$R$57),"")</f>
        <v/>
      </c>
      <c r="AH17" s="40" t="str">
        <f>IF(AND('Mapa final'!$AH$68="Muy Alta",'Mapa final'!$AJ$58="Mayor"),CONCATENATE("R2C",'Mapa final'!$R$58),"")</f>
        <v/>
      </c>
      <c r="AI17" s="41" t="str">
        <f>IF(AND('Mapa final'!$AH$53="Muy Alta",'Mapa final'!$AJ$53="Catastrófico"),CONCATENATE("R2C",'Mapa final'!$R$53),"")</f>
        <v/>
      </c>
      <c r="AJ17" s="42" t="str">
        <f>IF(AND('Mapa final'!$AH$54="Muy Alta",'Mapa final'!$AJ$54="Catastrófico"),CONCATENATE("R2C",'Mapa final'!$R$54),"")</f>
        <v/>
      </c>
      <c r="AK17" s="42" t="str">
        <f>IF(AND('Mapa final'!$AH$55="Muy Alta",'Mapa final'!$AJ$55="Catastrófico"),CONCATENATE("R2C",'Mapa final'!$R$55),"")</f>
        <v/>
      </c>
      <c r="AL17" s="42" t="str">
        <f>IF(AND('Mapa final'!$AH$56="Muy Alta",'Mapa final'!$AJ$56="Catastrófico"),CONCATENATE("R2C",'Mapa final'!$R$56),"")</f>
        <v/>
      </c>
      <c r="AM17" s="42" t="str">
        <f>IF(AND('Mapa final'!$AH$57="Muy Alta",'Mapa final'!$AJ$57="Catastrófico"),CONCATENATE("R2C",'Mapa final'!$R$57),"")</f>
        <v/>
      </c>
      <c r="AN17" s="43" t="str">
        <f>IF(AND('Mapa final'!$AH$68="Muy Alta",'Mapa final'!$AJ$58="Catastrófico"),CONCATENATE("R2C",'Mapa final'!$R$58),"")</f>
        <v/>
      </c>
      <c r="AO17" s="68"/>
      <c r="AP17" s="522"/>
      <c r="AQ17" s="523"/>
      <c r="AR17" s="523"/>
      <c r="AS17" s="523"/>
      <c r="AT17" s="523"/>
      <c r="AU17" s="524"/>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11"/>
      <c r="D18" s="411"/>
      <c r="E18" s="412"/>
      <c r="F18" s="503"/>
      <c r="G18" s="504"/>
      <c r="H18" s="504"/>
      <c r="I18" s="504"/>
      <c r="J18" s="504"/>
      <c r="K18" s="38" t="str">
        <f>IF(AND('Mapa final'!$AH$59="Muy Alta",'Mapa final'!$AJ$59="Leve"),CONCATENATE("R2C",'Mapa final'!$R$59),"")</f>
        <v/>
      </c>
      <c r="L18" s="39" t="str">
        <f>IF(AND('Mapa final'!$AH$60="Muy Alta",'Mapa final'!$AJ$60="Leve"),CONCATENATE("R2C",'Mapa final'!$R$60),"")</f>
        <v/>
      </c>
      <c r="M18" s="39" t="str">
        <f>IF(AND('Mapa final'!$AH$61="Muy Alta",'Mapa final'!$AJ$61="Leve"),CONCATENATE("R2C",'Mapa final'!$R$61),"")</f>
        <v/>
      </c>
      <c r="N18" s="39" t="str">
        <f>IF(AND('Mapa final'!$AH$62="Muy Alta",'Mapa final'!$AJ$62="Leve"),CONCATENATE("R2C",'Mapa final'!$R$62),"")</f>
        <v/>
      </c>
      <c r="O18" s="39" t="str">
        <f>IF(AND('Mapa final'!$AH$63="Muy Alta",'Mapa final'!$AJ$63="Leve"),CONCATENATE("R2C",'Mapa final'!$R$63),"")</f>
        <v/>
      </c>
      <c r="P18" s="40" t="str">
        <f>IF(AND('Mapa final'!$AH$64="Muy Alta",'Mapa final'!$AJ$64="Leve"),CONCATENATE("R2C",'Mapa final'!$R$64),"")</f>
        <v/>
      </c>
      <c r="Q18" s="39" t="str">
        <f>IF(AND('Mapa final'!$AH$59="Muy Alta",'Mapa final'!$AJ$59="Menor"),CONCATENATE("R2C",'Mapa final'!$R$59),"")</f>
        <v/>
      </c>
      <c r="R18" s="39" t="str">
        <f>IF(AND('Mapa final'!$AH$60="Muy Alta",'Mapa final'!$AJ$60="Menor"),CONCATENATE("R2C",'Mapa final'!$R$60),"")</f>
        <v/>
      </c>
      <c r="S18" s="39" t="str">
        <f>IF(AND('Mapa final'!$AH$61="Muy Alta",'Mapa final'!$AJ$61="Menor"),CONCATENATE("R2C",'Mapa final'!$R$61),"")</f>
        <v/>
      </c>
      <c r="T18" s="39" t="str">
        <f>IF(AND('Mapa final'!$AH$62="Muy Alta",'Mapa final'!$AJ$62="Menor"),CONCATENATE("R2C",'Mapa final'!$R$62),"")</f>
        <v/>
      </c>
      <c r="U18" s="39" t="str">
        <f>IF(AND('Mapa final'!$AH$63="Muy Alta",'Mapa final'!$AJ$63="Menor"),CONCATENATE("R2C",'Mapa final'!$R$63),"")</f>
        <v/>
      </c>
      <c r="V18" s="40" t="str">
        <f>IF(AND('Mapa final'!$AH$64="Muy Alta",'Mapa final'!$AJ$64="Menor"),CONCATENATE("R2C",'Mapa final'!$R$64),"")</f>
        <v/>
      </c>
      <c r="W18" s="38" t="str">
        <f>IF(AND('Mapa final'!$AH$59="Muy Alta",'Mapa final'!$AJ$59="Moderado"),CONCATENATE("R2C",'Mapa final'!$R$59),"")</f>
        <v/>
      </c>
      <c r="X18" s="39" t="str">
        <f>IF(AND('Mapa final'!$AH$60="Muy Alta",'Mapa final'!$AJ$60="Moderado"),CONCATENATE("R2C",'Mapa final'!$R$60),"")</f>
        <v/>
      </c>
      <c r="Y18" s="39" t="str">
        <f>IF(AND('Mapa final'!$AH$61="Muy Alta",'Mapa final'!$AJ$61="Moderado"),CONCATENATE("R2C",'Mapa final'!$R$61),"")</f>
        <v/>
      </c>
      <c r="Z18" s="39" t="str">
        <f>IF(AND('Mapa final'!$AH$62="Muy Alta",'Mapa final'!$AJ$62="Moderado"),CONCATENATE("R2C",'Mapa final'!$R$62),"")</f>
        <v/>
      </c>
      <c r="AA18" s="39" t="str">
        <f>IF(AND('Mapa final'!$AH$63="Muy Alta",'Mapa final'!$AJ$63="Moderado"),CONCATENATE("R2C",'Mapa final'!$R$63),"")</f>
        <v/>
      </c>
      <c r="AB18" s="40" t="str">
        <f>IF(AND('Mapa final'!$AH$64="Muy Alta",'Mapa final'!$AJ$64="Moderado"),CONCATENATE("R2C",'Mapa final'!$R$64),"")</f>
        <v/>
      </c>
      <c r="AC18" s="38" t="str">
        <f>IF(AND('Mapa final'!$AH$59="Muy Alta",'Mapa final'!$AJ$59="Mayor"),CONCATENATE("R2C",'Mapa final'!$R$59),"")</f>
        <v/>
      </c>
      <c r="AD18" s="39" t="str">
        <f>IF(AND('Mapa final'!$AH$60="Muy Alta",'Mapa final'!$AJ$60="Mayor"),CONCATENATE("R2C",'Mapa final'!$R$60),"")</f>
        <v/>
      </c>
      <c r="AE18" s="39" t="str">
        <f>IF(AND('Mapa final'!$AH$61="Muy Alta",'Mapa final'!$AJ$61="Mayor"),CONCATENATE("R2C",'Mapa final'!$R$61),"")</f>
        <v/>
      </c>
      <c r="AF18" s="39" t="str">
        <f>IF(AND('Mapa final'!$AH$62="Muy Alta",'Mapa final'!$AJ$62="Mayor"),CONCATENATE("R2C",'Mapa final'!$R$62),"")</f>
        <v/>
      </c>
      <c r="AG18" s="39" t="str">
        <f>IF(AND('Mapa final'!$AH$63="Muy Alta",'Mapa final'!$AJ$63="Mayor"),CONCATENATE("R2C",'Mapa final'!$R$63),"")</f>
        <v/>
      </c>
      <c r="AH18" s="40" t="str">
        <f>IF(AND('Mapa final'!$AH$64="Muy Alta",'Mapa final'!$AJ$64="Mayor"),CONCATENATE("R2C",'Mapa final'!$R$64),"")</f>
        <v/>
      </c>
      <c r="AI18" s="41" t="str">
        <f>IF(AND('Mapa final'!$AH$59="Muy Alta",'Mapa final'!$AJ$59="Catastrófico"),CONCATENATE("R2C",'Mapa final'!$R$59),"")</f>
        <v/>
      </c>
      <c r="AJ18" s="42" t="str">
        <f>IF(AND('Mapa final'!$AH$60="Muy Alta",'Mapa final'!$AJ$60="Catastrófico"),CONCATENATE("R2C",'Mapa final'!$R$60),"")</f>
        <v/>
      </c>
      <c r="AK18" s="42" t="str">
        <f>IF(AND('Mapa final'!$AH$61="Muy Alta",'Mapa final'!$AJ$61="Catastrófico"),CONCATENATE("R2C",'Mapa final'!$R$61),"")</f>
        <v/>
      </c>
      <c r="AL18" s="42" t="str">
        <f>IF(AND('Mapa final'!$AH$62="Muy Alta",'Mapa final'!$AJ$62="Catastrófico"),CONCATENATE("R2C",'Mapa final'!$R$62),"")</f>
        <v/>
      </c>
      <c r="AM18" s="42" t="str">
        <f>IF(AND('Mapa final'!$AH$63="Muy Alta",'Mapa final'!$AJ$63="Catastrófico"),CONCATENATE("R2C",'Mapa final'!$R$63),"")</f>
        <v/>
      </c>
      <c r="AN18" s="43" t="str">
        <f>IF(AND('Mapa final'!$AH$64="Muy Alta",'Mapa final'!$AJ$64="Catastrófico"),CONCATENATE("R2C",'Mapa final'!$R$64),"")</f>
        <v/>
      </c>
      <c r="AO18" s="68"/>
      <c r="AP18" s="522"/>
      <c r="AQ18" s="523"/>
      <c r="AR18" s="523"/>
      <c r="AS18" s="523"/>
      <c r="AT18" s="523"/>
      <c r="AU18" s="524"/>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11"/>
      <c r="D19" s="411"/>
      <c r="E19" s="412"/>
      <c r="F19" s="503"/>
      <c r="G19" s="504"/>
      <c r="H19" s="504"/>
      <c r="I19" s="504"/>
      <c r="J19" s="504"/>
      <c r="K19" s="38" t="str">
        <f>IF(AND('Mapa final'!$AH$65="Muy Alta",'Mapa final'!$AJ$65="Leve"),CONCATENATE("R2C",'Mapa final'!$R$65),"")</f>
        <v/>
      </c>
      <c r="L19" s="39" t="str">
        <f>IF(AND('Mapa final'!$AH$66="Muy Alta",'Mapa final'!$AJ$66="Leve"),CONCATENATE("R2C",'Mapa final'!$R$66),"")</f>
        <v/>
      </c>
      <c r="M19" s="39" t="str">
        <f>IF(AND('Mapa final'!$AH$67="Muy Alta",'Mapa final'!$AJ$67="Leve"),CONCATENATE("R2C",'Mapa final'!$R$67),"")</f>
        <v/>
      </c>
      <c r="N19" s="39" t="str">
        <f>IF(AND('Mapa final'!$AH$68="Muy Alta",'Mapa final'!$AJ$68="Leve"),CONCATENATE("R2C",'Mapa final'!$R$68),"")</f>
        <v/>
      </c>
      <c r="O19" s="39" t="str">
        <f>IF(AND('Mapa final'!$AH$69="Muy Alta",'Mapa final'!$AJ$69="Leve"),CONCATENATE("R2C",'Mapa final'!$R$69),"")</f>
        <v/>
      </c>
      <c r="P19" s="40" t="str">
        <f>IF(AND('Mapa final'!$AH$70="Muy Alta",'Mapa final'!$AJ$70="Leve"),CONCATENATE("R2C",'Mapa final'!$R$70),"")</f>
        <v/>
      </c>
      <c r="Q19" s="39" t="str">
        <f>IF(AND('Mapa final'!$AH$65="Muy Alta",'Mapa final'!$AJ$65="Menor"),CONCATENATE("R2C",'Mapa final'!$R$65),"")</f>
        <v/>
      </c>
      <c r="R19" s="39" t="str">
        <f>IF(AND('Mapa final'!$AH$66="Muy Alta",'Mapa final'!$AJ$66="Menor"),CONCATENATE("R2C",'Mapa final'!$R$66),"")</f>
        <v/>
      </c>
      <c r="S19" s="39" t="str">
        <f>IF(AND('Mapa final'!$AH$67="Muy Alta",'Mapa final'!$AJ$67="Menor"),CONCATENATE("R2C",'Mapa final'!$R$67),"")</f>
        <v/>
      </c>
      <c r="T19" s="39" t="str">
        <f>IF(AND('Mapa final'!$AH$68="Muy Alta",'Mapa final'!$AJ$68="Menor"),CONCATENATE("R2C",'Mapa final'!$R$68),"")</f>
        <v/>
      </c>
      <c r="U19" s="39" t="str">
        <f>IF(AND('Mapa final'!$AH$69="Muy Alta",'Mapa final'!$AJ$69="Menor"),CONCATENATE("R2C",'Mapa final'!$R$69),"")</f>
        <v/>
      </c>
      <c r="V19" s="40" t="str">
        <f>IF(AND('Mapa final'!$AH$70="Muy Alta",'Mapa final'!$AJ$70="Menor"),CONCATENATE("R2C",'Mapa final'!$R$70),"")</f>
        <v/>
      </c>
      <c r="W19" s="38" t="str">
        <f>IF(AND('Mapa final'!$AH$65="Muy Alta",'Mapa final'!$AJ$65="Moderado"),CONCATENATE("R2C",'Mapa final'!$R$65),"")</f>
        <v/>
      </c>
      <c r="X19" s="39" t="str">
        <f>IF(AND('Mapa final'!$AH$66="Muy Alta",'Mapa final'!$AJ$66="Moderado"),CONCATENATE("R2C",'Mapa final'!$R$66),"")</f>
        <v/>
      </c>
      <c r="Y19" s="39" t="str">
        <f>IF(AND('Mapa final'!$AH$67="Muy Alta",'Mapa final'!$AJ$67="Moderado"),CONCATENATE("R2C",'Mapa final'!$R$67),"")</f>
        <v/>
      </c>
      <c r="Z19" s="39" t="str">
        <f>IF(AND('Mapa final'!$AH$68="Muy Alta",'Mapa final'!$AJ$68="Moderado"),CONCATENATE("R2C",'Mapa final'!$R$68),"")</f>
        <v/>
      </c>
      <c r="AA19" s="39" t="str">
        <f>IF(AND('Mapa final'!$AH$69="Muy Alta",'Mapa final'!$AJ$69="Moderado"),CONCATENATE("R2C",'Mapa final'!$R$69),"")</f>
        <v/>
      </c>
      <c r="AB19" s="40" t="str">
        <f>IF(AND('Mapa final'!$AH$70="Muy Alta",'Mapa final'!$AJ$70="Moderado"),CONCATENATE("R2C",'Mapa final'!$R$70),"")</f>
        <v/>
      </c>
      <c r="AC19" s="38" t="str">
        <f>IF(AND('Mapa final'!$AH$65="Muy Alta",'Mapa final'!$AJ$65="Mayor"),CONCATENATE("R2C",'Mapa final'!$R$65),"")</f>
        <v/>
      </c>
      <c r="AD19" s="39" t="str">
        <f>IF(AND('Mapa final'!$AH$66="Muy Alta",'Mapa final'!$AJ$66="Mayor"),CONCATENATE("R2C",'Mapa final'!$R$66),"")</f>
        <v/>
      </c>
      <c r="AE19" s="39" t="str">
        <f>IF(AND('Mapa final'!$AH$67="Muy Alta",'Mapa final'!$AJ$67="Mayor"),CONCATENATE("R2C",'Mapa final'!$R$67),"")</f>
        <v/>
      </c>
      <c r="AF19" s="39" t="str">
        <f>IF(AND('Mapa final'!$AH$68="Muy Alta",'Mapa final'!$AJ$68="Mayor"),CONCATENATE("R2C",'Mapa final'!$R$68),"")</f>
        <v/>
      </c>
      <c r="AG19" s="39" t="str">
        <f>IF(AND('Mapa final'!$AH$69="Muy Alta",'Mapa final'!$AJ$69="Mayor"),CONCATENATE("R2C",'Mapa final'!$R$69),"")</f>
        <v/>
      </c>
      <c r="AH19" s="40" t="str">
        <f>IF(AND('Mapa final'!$AH$70="Muy Alta",'Mapa final'!$AJ$70="Mayor"),CONCATENATE("R2C",'Mapa final'!$R$70),"")</f>
        <v/>
      </c>
      <c r="AI19" s="41" t="str">
        <f>IF(AND('Mapa final'!$AH$65="Muy Alta",'Mapa final'!$AJ$65="Catastrófico"),CONCATENATE("R2C",'Mapa final'!$R$65),"")</f>
        <v/>
      </c>
      <c r="AJ19" s="42" t="str">
        <f>IF(AND('Mapa final'!$AH$66="Muy Alta",'Mapa final'!$AJ$66="Catastrófico"),CONCATENATE("R2C",'Mapa final'!$R$66),"")</f>
        <v/>
      </c>
      <c r="AK19" s="42" t="str">
        <f>IF(AND('Mapa final'!$AH$67="Muy Alta",'Mapa final'!$AJ$67="Catastrófico"),CONCATENATE("R2C",'Mapa final'!$R$67),"")</f>
        <v/>
      </c>
      <c r="AL19" s="42" t="str">
        <f>IF(AND('Mapa final'!$AH$68="Muy Alta",'Mapa final'!$AJ$68="Catastrófico"),CONCATENATE("R2C",'Mapa final'!$R$68),"")</f>
        <v/>
      </c>
      <c r="AM19" s="42" t="str">
        <f>IF(AND('Mapa final'!$AH$69="Muy Alta",'Mapa final'!$AJ$69="Catastrófico"),CONCATENATE("R2C",'Mapa final'!$R$69),"")</f>
        <v/>
      </c>
      <c r="AN19" s="43" t="str">
        <f>IF(AND('Mapa final'!$AH$70="Muy Alta",'Mapa final'!$AJ$70="Catastrófico"),CONCATENATE("R2C",'Mapa final'!$R$70),"")</f>
        <v/>
      </c>
      <c r="AO19" s="68"/>
      <c r="AP19" s="522"/>
      <c r="AQ19" s="523"/>
      <c r="AR19" s="523"/>
      <c r="AS19" s="523"/>
      <c r="AT19" s="523"/>
      <c r="AU19" s="524"/>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11"/>
      <c r="D20" s="411"/>
      <c r="E20" s="412"/>
      <c r="F20" s="503"/>
      <c r="G20" s="504"/>
      <c r="H20" s="504"/>
      <c r="I20" s="504"/>
      <c r="J20" s="504"/>
      <c r="K20" s="38" t="str">
        <f>IF(AND('Mapa final'!$AH$71="Muy Alta",'Mapa final'!$AJ$71="Leve"),CONCATENATE("R2C",'Mapa final'!$R$71),"")</f>
        <v/>
      </c>
      <c r="L20" s="39" t="str">
        <f>IF(AND('Mapa final'!$AH$72="Muy Alta",'Mapa final'!$AJ$72="Leve"),CONCATENATE("R2C",'Mapa final'!$R$72),"")</f>
        <v/>
      </c>
      <c r="M20" s="39" t="str">
        <f>IF(AND('Mapa final'!$AH$73="Muy Alta",'Mapa final'!$AJ$73="Leve"),CONCATENATE("R2C",'Mapa final'!$R$73),"")</f>
        <v/>
      </c>
      <c r="N20" s="39" t="str">
        <f>IF(AND('Mapa final'!$AH$74="Muy Alta",'Mapa final'!$AJ$74="Leve"),CONCATENATE("R2C",'Mapa final'!$R$74),"")</f>
        <v/>
      </c>
      <c r="O20" s="39" t="str">
        <f>IF(AND('Mapa final'!$AH$75="Muy Alta",'Mapa final'!$AJ$75="Leve"),CONCATENATE("R2C",'Mapa final'!$R$75),"")</f>
        <v/>
      </c>
      <c r="P20" s="40" t="str">
        <f>IF(AND('Mapa final'!$AH$76="Muy Alta",'Mapa final'!$AJ$76="Leve"),CONCATENATE("R2C",'Mapa final'!$R$76),"")</f>
        <v/>
      </c>
      <c r="Q20" s="39" t="str">
        <f>IF(AND('Mapa final'!$AH$71="Muy Alta",'Mapa final'!$AJ$71="Menor"),CONCATENATE("R2C",'Mapa final'!$R$71),"")</f>
        <v/>
      </c>
      <c r="R20" s="39" t="str">
        <f>IF(AND('Mapa final'!$AH$72="Muy Alta",'Mapa final'!$AJ$72="Menor"),CONCATENATE("R2C",'Mapa final'!$R$72),"")</f>
        <v/>
      </c>
      <c r="S20" s="39" t="str">
        <f>IF(AND('Mapa final'!$AH$73="Muy Alta",'Mapa final'!$AJ$73="Menor"),CONCATENATE("R2C",'Mapa final'!$R$73),"")</f>
        <v/>
      </c>
      <c r="T20" s="39" t="str">
        <f>IF(AND('Mapa final'!$AH$74="Muy Alta",'Mapa final'!$AJ$74="Menor"),CONCATENATE("R2C",'Mapa final'!$R$74),"")</f>
        <v/>
      </c>
      <c r="U20" s="39" t="str">
        <f>IF(AND('Mapa final'!$AH$75="Muy Alta",'Mapa final'!$AJ$75="Menor"),CONCATENATE("R2C",'Mapa final'!$R$75),"")</f>
        <v/>
      </c>
      <c r="V20" s="40" t="str">
        <f>IF(AND('Mapa final'!$AH$76="Muy Alta",'Mapa final'!$AJ$76="Menor"),CONCATENATE("R2C",'Mapa final'!$R$76),"")</f>
        <v/>
      </c>
      <c r="W20" s="38" t="str">
        <f>IF(AND('Mapa final'!$AH$71="Muy Alta",'Mapa final'!$AJ$71="Moderado"),CONCATENATE("R2C",'Mapa final'!$R$71),"")</f>
        <v/>
      </c>
      <c r="X20" s="39" t="str">
        <f>IF(AND('Mapa final'!$AH$72="Muy Alta",'Mapa final'!$AJ$72="Moderado"),CONCATENATE("R2C",'Mapa final'!$R$72),"")</f>
        <v/>
      </c>
      <c r="Y20" s="39" t="str">
        <f>IF(AND('Mapa final'!$AH$73="Muy Alta",'Mapa final'!$AJ$73="Moderado"),CONCATENATE("R2C",'Mapa final'!$R$73),"")</f>
        <v/>
      </c>
      <c r="Z20" s="39" t="str">
        <f>IF(AND('Mapa final'!$AH$74="Muy Alta",'Mapa final'!$AJ$74="Moderado"),CONCATENATE("R2C",'Mapa final'!$R$74),"")</f>
        <v/>
      </c>
      <c r="AA20" s="39" t="str">
        <f>IF(AND('Mapa final'!$AH$75="Muy Alta",'Mapa final'!$AJ$75="Moderado"),CONCATENATE("R2C",'Mapa final'!$R$75),"")</f>
        <v/>
      </c>
      <c r="AB20" s="40" t="str">
        <f>IF(AND('Mapa final'!$AH$76="Muy Alta",'Mapa final'!$AJ$76="Moderado"),CONCATENATE("R2C",'Mapa final'!$R$76),"")</f>
        <v/>
      </c>
      <c r="AC20" s="38" t="str">
        <f>IF(AND('Mapa final'!$AH$71="Muy Alta",'Mapa final'!$AJ$71="Mayor"),CONCATENATE("R2C",'Mapa final'!$R$71),"")</f>
        <v/>
      </c>
      <c r="AD20" s="39" t="str">
        <f>IF(AND('Mapa final'!$AH$72="Muy Alta",'Mapa final'!$AJ$72="Mayor"),CONCATENATE("R2C",'Mapa final'!$R$72),"")</f>
        <v/>
      </c>
      <c r="AE20" s="39" t="str">
        <f>IF(AND('Mapa final'!$AH$73="Muy Alta",'Mapa final'!$AJ$73="Mayor"),CONCATENATE("R2C",'Mapa final'!$R$73),"")</f>
        <v/>
      </c>
      <c r="AF20" s="39" t="str">
        <f>IF(AND('Mapa final'!$AH$74="Muy Alta",'Mapa final'!$AJ$74="Mayor"),CONCATENATE("R2C",'Mapa final'!$R$74),"")</f>
        <v/>
      </c>
      <c r="AG20" s="39" t="str">
        <f>IF(AND('Mapa final'!$AH$75="Muy Alta",'Mapa final'!$AJ$75="Mayor"),CONCATENATE("R2C",'Mapa final'!$R$75),"")</f>
        <v/>
      </c>
      <c r="AH20" s="40" t="str">
        <f>IF(AND('Mapa final'!$AH$76="Muy Alta",'Mapa final'!$AJ$76="Mayor"),CONCATENATE("R2C",'Mapa final'!$R$76),"")</f>
        <v/>
      </c>
      <c r="AI20" s="41" t="str">
        <f>IF(AND('Mapa final'!$AH$71="Muy Alta",'Mapa final'!$AJ$71="Catastrófico"),CONCATENATE("R2C",'Mapa final'!$R$71),"")</f>
        <v/>
      </c>
      <c r="AJ20" s="42" t="str">
        <f>IF(AND('Mapa final'!$AH$72="Muy Alta",'Mapa final'!$AJ$72="Catastrófico"),CONCATENATE("R2C",'Mapa final'!$R$72),"")</f>
        <v/>
      </c>
      <c r="AK20" s="42" t="str">
        <f>IF(AND('Mapa final'!$AH$73="Muy Alta",'Mapa final'!$AJ$73="Catastrófico"),CONCATENATE("R2C",'Mapa final'!$R$73),"")</f>
        <v/>
      </c>
      <c r="AL20" s="42" t="str">
        <f>IF(AND('Mapa final'!$AH$74="Muy Alta",'Mapa final'!$AJ$74="Catastrófico"),CONCATENATE("R2C",'Mapa final'!$R$74),"")</f>
        <v/>
      </c>
      <c r="AM20" s="42" t="str">
        <f>IF(AND('Mapa final'!$AH$75="Muy Alta",'Mapa final'!$AJ$75="Catastrófico"),CONCATENATE("R2C",'Mapa final'!$R$75),"")</f>
        <v/>
      </c>
      <c r="AN20" s="43" t="str">
        <f>IF(AND('Mapa final'!$AH$76="Muy Alta",'Mapa final'!$AJ$76="Catastrófico"),CONCATENATE("R2C",'Mapa final'!$R$76),"")</f>
        <v/>
      </c>
      <c r="AO20" s="68"/>
      <c r="AP20" s="522"/>
      <c r="AQ20" s="523"/>
      <c r="AR20" s="523"/>
      <c r="AS20" s="523"/>
      <c r="AT20" s="523"/>
      <c r="AU20" s="524"/>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11"/>
      <c r="D21" s="411"/>
      <c r="E21" s="412"/>
      <c r="F21" s="506"/>
      <c r="G21" s="507"/>
      <c r="H21" s="507"/>
      <c r="I21" s="507"/>
      <c r="J21" s="507"/>
      <c r="K21" s="44" t="str">
        <f>IF(AND('Mapa final'!$AH$77="Muy Alta",'Mapa final'!$AJ$77="Leve"),CONCATENATE("R2C",'Mapa final'!$R$77),"")</f>
        <v/>
      </c>
      <c r="L21" s="45" t="str">
        <f>IF(AND('Mapa final'!$AH$78="Muy Alta",'Mapa final'!$AJ$78="Leve"),CONCATENATE("R2C",'Mapa final'!$R$78),"")</f>
        <v/>
      </c>
      <c r="M21" s="45" t="str">
        <f>IF(AND('Mapa final'!$AH$79="Muy Alta",'Mapa final'!$AJ$79="Leve"),CONCATENATE("R2C",'Mapa final'!$R$79),"")</f>
        <v/>
      </c>
      <c r="N21" s="45" t="str">
        <f>IF(AND('Mapa final'!$AH$80="Muy Alta",'Mapa final'!$AJ$80="Leve"),CONCATENATE("R2C",'Mapa final'!$R$80),"")</f>
        <v/>
      </c>
      <c r="O21" s="45" t="str">
        <f>IF(AND('Mapa final'!$AH$82="Muy Alta",'Mapa final'!$AJ$82="Leve"),CONCATENATE("R2C",'Mapa final'!$R$82),"")</f>
        <v/>
      </c>
      <c r="P21" s="46" t="str">
        <f>IF(AND('Mapa final'!$AH$83="Muy Alta",'Mapa final'!$AJ$83="Leve"),CONCATENATE("R2C",'Mapa final'!$R$83),"")</f>
        <v/>
      </c>
      <c r="Q21" s="39" t="str">
        <f>IF(AND('Mapa final'!$AH$77="Muy Alta",'Mapa final'!$AJ$77="Menor"),CONCATENATE("R2C",'Mapa final'!$R$77),"")</f>
        <v/>
      </c>
      <c r="R21" s="39" t="str">
        <f>IF(AND('Mapa final'!$AH$78="Muy Alta",'Mapa final'!$AJ$78="Menor"),CONCATENATE("R2C",'Mapa final'!$R$78),"")</f>
        <v/>
      </c>
      <c r="S21" s="39" t="str">
        <f>IF(AND('Mapa final'!$AH$79="Muy Alta",'Mapa final'!$AJ$79="Menor"),CONCATENATE("R2C",'Mapa final'!$R$79),"")</f>
        <v/>
      </c>
      <c r="T21" s="39" t="str">
        <f>IF(AND('Mapa final'!$AH$80="Muy Alta",'Mapa final'!$AJ$80="Menor"),CONCATENATE("R2C",'Mapa final'!$R$80),"")</f>
        <v/>
      </c>
      <c r="U21" s="39" t="str">
        <f>IF(AND('Mapa final'!$AH$82="Muy Alta",'Mapa final'!$AJ$82="Menor"),CONCATENATE("R2C",'Mapa final'!$R$82),"")</f>
        <v/>
      </c>
      <c r="V21" s="40" t="str">
        <f>IF(AND('Mapa final'!$AH$83="Muy Alta",'Mapa final'!$AJ$83="Menor"),CONCATENATE("R2C",'Mapa final'!$R$83),"")</f>
        <v/>
      </c>
      <c r="W21" s="44" t="str">
        <f>IF(AND('Mapa final'!$AH$77="Muy Alta",'Mapa final'!$AJ$77="Moderado"),CONCATENATE("R2C",'Mapa final'!$R$77),"")</f>
        <v/>
      </c>
      <c r="X21" s="45" t="str">
        <f>IF(AND('Mapa final'!$AH$78="Muy Alta",'Mapa final'!$AJ$78="Moderado"),CONCATENATE("R2C",'Mapa final'!$R$78),"")</f>
        <v/>
      </c>
      <c r="Y21" s="45" t="str">
        <f>IF(AND('Mapa final'!$AH$79="Muy Alta",'Mapa final'!$AJ$79="Moderado"),CONCATENATE("R2C",'Mapa final'!$R$79),"")</f>
        <v/>
      </c>
      <c r="Z21" s="45" t="str">
        <f>IF(AND('Mapa final'!$AH$80="Muy Alta",'Mapa final'!$AJ$80="Moderado"),CONCATENATE("R2C",'Mapa final'!$R$80),"")</f>
        <v/>
      </c>
      <c r="AA21" s="45" t="str">
        <f>IF(AND('Mapa final'!$AH$82="Muy Alta",'Mapa final'!$AJ$82="Moderado"),CONCATENATE("R2C",'Mapa final'!$R$82),"")</f>
        <v/>
      </c>
      <c r="AB21" s="46" t="str">
        <f>IF(AND('Mapa final'!$AH$83="Muy Alta",'Mapa final'!$AJ$83="Moderado"),CONCATENATE("R2C",'Mapa final'!$R$83),"")</f>
        <v/>
      </c>
      <c r="AC21" s="38" t="str">
        <f>IF(AND('Mapa final'!$AH$77="Muy Alta",'Mapa final'!$AJ$77="Mayor"),CONCATENATE("R2C",'Mapa final'!$R$77),"")</f>
        <v/>
      </c>
      <c r="AD21" s="39" t="str">
        <f>IF(AND('Mapa final'!$AH$78="Muy Alta",'Mapa final'!$AJ$78="Mayor"),CONCATENATE("R2C",'Mapa final'!$R$78),"")</f>
        <v/>
      </c>
      <c r="AE21" s="39" t="str">
        <f>IF(AND('Mapa final'!$AH$79="Muy Alta",'Mapa final'!$AJ$79="Mayor"),CONCATENATE("R2C",'Mapa final'!$R$79),"")</f>
        <v/>
      </c>
      <c r="AF21" s="39" t="str">
        <f>IF(AND('Mapa final'!$AH$80="Muy Alta",'Mapa final'!$AJ$80="Mayor"),CONCATENATE("R2C",'Mapa final'!$R$80),"")</f>
        <v/>
      </c>
      <c r="AG21" s="39" t="str">
        <f>IF(AND('Mapa final'!$AH$82="Muy Alta",'Mapa final'!$AJ$82="Mayor"),CONCATENATE("R2C",'Mapa final'!$R$82),"")</f>
        <v/>
      </c>
      <c r="AH21" s="40" t="str">
        <f>IF(AND('Mapa final'!$AH$83="Muy Alta",'Mapa final'!$AJ$83="Mayor"),CONCATENATE("R2C",'Mapa final'!$R$83),"")</f>
        <v/>
      </c>
      <c r="AI21" s="47" t="str">
        <f>IF(AND('Mapa final'!$AH$77="Muy Alta",'Mapa final'!$AJ$77="Catastrófico"),CONCATENATE("R2C",'Mapa final'!$R$77),"")</f>
        <v/>
      </c>
      <c r="AJ21" s="48" t="str">
        <f>IF(AND('Mapa final'!$AH$78="Muy Alta",'Mapa final'!$AJ$78="Catastrófico"),CONCATENATE("R2C",'Mapa final'!$R$78),"")</f>
        <v/>
      </c>
      <c r="AK21" s="48" t="str">
        <f>IF(AND('Mapa final'!$AH$79="Muy Alta",'Mapa final'!$AJ$79="Catastrófico"),CONCATENATE("R2C",'Mapa final'!$R$79),"")</f>
        <v/>
      </c>
      <c r="AL21" s="48" t="str">
        <f>IF(AND('Mapa final'!$AH$80="Muy Alta",'Mapa final'!$AJ$80="Catastrófico"),CONCATENATE("R2C",'Mapa final'!$R$80),"")</f>
        <v/>
      </c>
      <c r="AM21" s="48" t="str">
        <f>IF(AND('Mapa final'!$AH$82="Muy Alta",'Mapa final'!$AJ$82="Catastrófico"),CONCATENATE("R2C",'Mapa final'!$R$82),"")</f>
        <v/>
      </c>
      <c r="AN21" s="49" t="str">
        <f>IF(AND('Mapa final'!$AH$83="Muy Alta",'Mapa final'!$AJ$83="Catastrófico"),CONCATENATE("R2C",'Mapa final'!$R$83),"")</f>
        <v/>
      </c>
      <c r="AO21" s="68"/>
      <c r="AP21" s="525"/>
      <c r="AQ21" s="526"/>
      <c r="AR21" s="526"/>
      <c r="AS21" s="526"/>
      <c r="AT21" s="526"/>
      <c r="AU21" s="527"/>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11"/>
      <c r="D22" s="411"/>
      <c r="E22" s="412"/>
      <c r="F22" s="500" t="s">
        <v>285</v>
      </c>
      <c r="G22" s="501"/>
      <c r="H22" s="501"/>
      <c r="I22" s="501"/>
      <c r="J22" s="501"/>
      <c r="K22" s="53"/>
      <c r="L22" s="54" t="str">
        <f>IF(AND('Mapa final'!$AH$16="Alta",'Mapa final'!$AJ$16="Leve"),CONCATENATE("R2C",'Mapa final'!$R$15),"")</f>
        <v/>
      </c>
      <c r="M22" s="54" t="str">
        <f>IF(AND('Mapa final'!$AH$17="Alta",'Mapa final'!$AJ$17="Leve"),CONCATENATE("R2C",'Mapa final'!$R$17),"")</f>
        <v/>
      </c>
      <c r="N22" s="54" t="e">
        <f>IF(AND('Mapa final'!#REF!="Alta",'Mapa final'!#REF!="Leve"),CONCATENATE("R2C",'Mapa final'!#REF!),"")</f>
        <v>#REF!</v>
      </c>
      <c r="O22" s="54" t="str">
        <f>IF(AND('Mapa final'!$AH$19="Alta",'Mapa final'!$AJ$19="Leve"),CONCATENATE("R2C",'Mapa final'!$R$19),"")</f>
        <v/>
      </c>
      <c r="P22" s="55" t="str">
        <f>IF(AND('Mapa final'!$AH$20="Alta",'Mapa final'!$AJ$20="Leve"),CONCATENATE("R2C",'Mapa final'!$R$20),"")</f>
        <v/>
      </c>
      <c r="Q22" s="50"/>
      <c r="R22" s="51" t="str">
        <f>IF(AND('Mapa final'!$AH$16="Alta",'Mapa final'!$AJ$16="Menore"),CONCATENATE("R2C",'Mapa final'!$R$15),"")</f>
        <v/>
      </c>
      <c r="S22" s="51" t="str">
        <f>IF(AND('Mapa final'!$AH$17="Alta",'Mapa final'!$AJ$17="Menor"),CONCATENATE("R2C",'Mapa final'!$R$17),"")</f>
        <v/>
      </c>
      <c r="T22" s="51" t="e">
        <f>IF(AND('Mapa final'!#REF!="Alta",'Mapa final'!#REF!="Menor"),CONCATENATE("R2C",'Mapa final'!#REF!),"")</f>
        <v>#REF!</v>
      </c>
      <c r="U22" s="51" t="str">
        <f>IF(AND('Mapa final'!$AH$19="Alta",'Mapa final'!$AJ$19="Menor"),CONCATENATE("R2C",'Mapa final'!$R$19),"")</f>
        <v/>
      </c>
      <c r="V22" s="52" t="str">
        <f>IF(AND('Mapa final'!$AH$20="Alta",'Mapa final'!$AJ$20="Menor"),CONCATENATE("R2C",'Mapa final'!$R$20),"")</f>
        <v/>
      </c>
      <c r="W22" s="32"/>
      <c r="X22" s="33" t="str">
        <f>IF(AND('Mapa final'!$AH$16="Alta",'Mapa final'!$AJ$16="Moderado"),CONCATENATE("R2C",'Mapa final'!$R$15),"")</f>
        <v/>
      </c>
      <c r="Y22" s="33"/>
      <c r="Z22" s="33" t="e">
        <f>IF(AND('Mapa final'!#REF!="Alta",'Mapa final'!#REF!="Moderado"),CONCATENATE("R2C",'Mapa final'!#REF!),"")</f>
        <v>#REF!</v>
      </c>
      <c r="AA22" s="33" t="str">
        <f>IF(AND('Mapa final'!$AH$19="Alta",'Mapa final'!$AJ$19="Moderado"),CONCATENATE("R2C",'Mapa final'!$R$19),"")</f>
        <v/>
      </c>
      <c r="AB22" s="34" t="str">
        <f>IF(AND('Mapa final'!$AH$20="Alta",'Mapa final'!$AJ$20="Moderado"),CONCATENATE("R2C",'Mapa final'!$R$20),"")</f>
        <v/>
      </c>
      <c r="AC22" s="32"/>
      <c r="AD22" s="33" t="str">
        <f>IF(AND('Mapa final'!$AH$16="Alta",'Mapa final'!$AJ$16="Mayor"),CONCATENATE("R2C",'Mapa final'!$R$15),"")</f>
        <v/>
      </c>
      <c r="AE22" s="33" t="str">
        <f>IF(AND('Mapa final'!$AH$17="Alta",'Mapa final'!$AJ$17="Mayor"),CONCATENATE("R2C",'Mapa final'!$R$17),"")</f>
        <v/>
      </c>
      <c r="AF22" s="33" t="e">
        <f>IF(AND('Mapa final'!#REF!="Alta",'Mapa final'!#REF!="Mayor"),CONCATENATE("R2C",'Mapa final'!#REF!),"")</f>
        <v>#REF!</v>
      </c>
      <c r="AG22" s="33" t="str">
        <f>IF(AND('Mapa final'!$AH$19="Alta",'Mapa final'!$AJ$19="Mayor"),CONCATENATE("R2C",'Mapa final'!$R$19),"")</f>
        <v/>
      </c>
      <c r="AH22" s="34" t="str">
        <f>IF(AND('Mapa final'!$AH$20="Alta",'Mapa final'!$AJ$20="Mayor"),CONCATENATE("R2C",'Mapa final'!$R$20),"")</f>
        <v/>
      </c>
      <c r="AI22" s="35"/>
      <c r="AJ22" s="36" t="str">
        <f>IF(AND('Mapa final'!$AH$16="Alta",'Mapa final'!$AJ$16="Catastrófico"),CONCATENATE("R2C",'Mapa final'!$R$15),"")</f>
        <v/>
      </c>
      <c r="AK22" s="36" t="str">
        <f>IF(AND('Mapa final'!$AH$17="Alta",'Mapa final'!$AJ$17="Catastrófico"),CONCATENATE("R2C",'Mapa final'!$R$17),"")</f>
        <v/>
      </c>
      <c r="AL22" s="36" t="e">
        <f>IF(AND('Mapa final'!#REF!="Alta",'Mapa final'!#REF!="Catastrófico"),CONCATENATE("R2C",'Mapa final'!#REF!),"")</f>
        <v>#REF!</v>
      </c>
      <c r="AM22" s="36" t="str">
        <f>IF(AND('Mapa final'!$AH$19="Alta",'Mapa final'!$AJ$19="Catastrófico"),CONCATENATE("R2C",'Mapa final'!$R$19),"")</f>
        <v/>
      </c>
      <c r="AN22" s="37" t="str">
        <f>IF(AND('Mapa final'!$AH$20="Alta",'Mapa final'!$AJ$20="Catastrófico"),CONCATENATE("R2C",'Mapa final'!$R$20),"")</f>
        <v/>
      </c>
      <c r="AO22" s="68"/>
      <c r="AP22" s="509" t="s">
        <v>286</v>
      </c>
      <c r="AQ22" s="510"/>
      <c r="AR22" s="510"/>
      <c r="AS22" s="510"/>
      <c r="AT22" s="510"/>
      <c r="AU22" s="511"/>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11"/>
      <c r="D23" s="411"/>
      <c r="E23" s="412"/>
      <c r="F23" s="518"/>
      <c r="G23" s="504"/>
      <c r="H23" s="504"/>
      <c r="I23" s="504"/>
      <c r="J23" s="504"/>
      <c r="K23" s="53" t="str">
        <f>IF(AND('Mapa final'!$AH$21="Alta",'Mapa final'!$AJ$21="Leve"),CONCATENATE("R2C",'Mapa final'!$R$21),"")</f>
        <v/>
      </c>
      <c r="L23" s="54" t="str">
        <f>IF(AND('Mapa final'!$AH$22="Alta",'Mapa final'!$AJ$22="Leve"),CONCATENATE("R2C",'Mapa final'!$R$22),"")</f>
        <v/>
      </c>
      <c r="M23" s="54" t="str">
        <f>IF(AND('Mapa final'!$AH$31="Alta",'Mapa final'!$AJ$31="Leve"),CONCATENATE("R2C",'Mapa final'!$R$31),"")</f>
        <v/>
      </c>
      <c r="N23" s="54" t="str">
        <f>IF(AND('Mapa final'!$AH$32="Alta",'Mapa final'!$AJ$32="Leve"),CONCATENATE("R2C",'Mapa final'!$R$32),"")</f>
        <v/>
      </c>
      <c r="O23" s="54" t="str">
        <f>IF(AND('Mapa final'!$AH$33="Alta",'Mapa final'!$AJ$33="Leve"),CONCATENATE("R2C",'Mapa final'!$R$33),"")</f>
        <v/>
      </c>
      <c r="P23" s="55" t="str">
        <f>IF(AND('Mapa final'!$AH$34="Alta",'Mapa final'!$AJ$34="Leve"),CONCATENATE("R2C",'Mapa final'!$R$34),"")</f>
        <v/>
      </c>
      <c r="Q23" s="53" t="str">
        <f>IF(AND('Mapa final'!$AH$21="Alta",'Mapa final'!$AJ$21="Menor"),CONCATENATE("R2C",'Mapa final'!$R$21),"")</f>
        <v/>
      </c>
      <c r="R23" s="54" t="str">
        <f>IF(AND('Mapa final'!$AH$22="Alta",'Mapa final'!$AJ$22="Menor"),CONCATENATE("R2C",'Mapa final'!$R$22),"")</f>
        <v/>
      </c>
      <c r="S23" s="54" t="str">
        <f>IF(AND('Mapa final'!$AH$31="Alta",'Mapa final'!$AJ$31="Menor"),CONCATENATE("R2C",'Mapa final'!$R$31),"")</f>
        <v/>
      </c>
      <c r="T23" s="54" t="str">
        <f>IF(AND('Mapa final'!$AH$32="Alta",'Mapa final'!$AJ$32="Menor"),CONCATENATE("R2C",'Mapa final'!$R$32),"")</f>
        <v/>
      </c>
      <c r="U23" s="54" t="str">
        <f>IF(AND('Mapa final'!$AH$33="Alta",'Mapa final'!$AJ$33="Menor"),CONCATENATE("R2C",'Mapa final'!$R$33),"")</f>
        <v/>
      </c>
      <c r="V23" s="55" t="str">
        <f>IF(AND('Mapa final'!$AH$34="Alta",'Mapa final'!$AJ$34="Menor"),CONCATENATE("R2C",'Mapa final'!$R$34),"")</f>
        <v/>
      </c>
      <c r="W23" s="38" t="str">
        <f>IF(AND('Mapa final'!$AH$21="Alta",'Mapa final'!$AJ$21="Moderado"),CONCATENATE("R2C",'Mapa final'!$R$21),"")</f>
        <v/>
      </c>
      <c r="X23" s="39" t="str">
        <f>IF(AND('Mapa final'!$AH$22="Alta",'Mapa final'!$AJ$22="Moderado"),CONCATENATE("R2C",'Mapa final'!$R$22),"")</f>
        <v/>
      </c>
      <c r="Y23" s="39" t="str">
        <f>IF(AND('Mapa final'!$AH$31="Alta",'Mapa final'!$AJ$31="Moderado"),CONCATENATE("R2C",'Mapa final'!$R$31),"")</f>
        <v/>
      </c>
      <c r="Z23" s="39" t="str">
        <f>IF(AND('Mapa final'!$AH$32="Alta",'Mapa final'!$AJ$32="Moderado"),CONCATENATE("R2C",'Mapa final'!$R$32),"")</f>
        <v/>
      </c>
      <c r="AA23" s="39" t="str">
        <f>IF(AND('Mapa final'!$AH$33="Alta",'Mapa final'!$AJ$33="Moderado"),CONCATENATE("R2C",'Mapa final'!$R$33),"")</f>
        <v/>
      </c>
      <c r="AB23" s="40" t="str">
        <f>IF(AND('Mapa final'!$AH$34="Alta",'Mapa final'!$AJ$34="Moderado"),CONCATENATE("R2C",'Mapa final'!$R$34),"")</f>
        <v/>
      </c>
      <c r="AC23" s="38" t="str">
        <f>IF(AND('Mapa final'!$AH$21="Alta",'Mapa final'!$AJ$21="Mayor"),CONCATENATE("R2C",'Mapa final'!$R$21),"")</f>
        <v/>
      </c>
      <c r="AD23" s="39" t="str">
        <f>IF(AND('Mapa final'!$AH$22="Alta",'Mapa final'!$AJ$22="Mayor"),CONCATENATE("R2C",'Mapa final'!$R$22),"")</f>
        <v/>
      </c>
      <c r="AE23" s="39" t="str">
        <f>IF(AND('Mapa final'!$AH$31="Alta",'Mapa final'!$AJ$31="Mayor"),CONCATENATE("R2C",'Mapa final'!$R$31),"")</f>
        <v/>
      </c>
      <c r="AF23" s="39" t="str">
        <f>IF(AND('Mapa final'!$AH$32="Alta",'Mapa final'!$AJ$32="Mayor"),CONCATENATE("R2C",'Mapa final'!$R$32),"")</f>
        <v/>
      </c>
      <c r="AG23" s="39" t="str">
        <f>IF(AND('Mapa final'!$AH$33="Alta",'Mapa final'!$AJ$33="Mayor"),CONCATENATE("R2C",'Mapa final'!$R$33),"")</f>
        <v/>
      </c>
      <c r="AH23" s="40" t="str">
        <f>IF(AND('Mapa final'!$AH$34="Alta",'Mapa final'!$AJ$34="Mayor"),CONCATENATE("R2C",'Mapa final'!$R$34),"")</f>
        <v/>
      </c>
      <c r="AI23" s="41" t="str">
        <f>IF(AND('Mapa final'!$AH$21="Alta",'Mapa final'!$AJ$21="Catastrófico"),CONCATENATE("R2C",'Mapa final'!$R$21),"")</f>
        <v/>
      </c>
      <c r="AJ23" s="42" t="str">
        <f>IF(AND('Mapa final'!$AH$22="Alta",'Mapa final'!$AJ$22="Catastrófico"),CONCATENATE("R2C",'Mapa final'!$R$22),"")</f>
        <v/>
      </c>
      <c r="AK23" s="42" t="str">
        <f>IF(AND('Mapa final'!$AH$31="Alta",'Mapa final'!$AJ$31="Catastrófico"),CONCATENATE("R2C",'Mapa final'!$R$31),"")</f>
        <v/>
      </c>
      <c r="AL23" s="42" t="str">
        <f>IF(AND('Mapa final'!$AH$32="Alta",'Mapa final'!$AJ$32="Catastrófico"),CONCATENATE("R2C",'Mapa final'!$R$32),"")</f>
        <v/>
      </c>
      <c r="AM23" s="42" t="str">
        <f>IF(AND('Mapa final'!$AH$33="Alta",'Mapa final'!$AJ$33="Catastrófico"),CONCATENATE("R2C",'Mapa final'!$R$33),"")</f>
        <v/>
      </c>
      <c r="AN23" s="43" t="str">
        <f>IF(AND('Mapa final'!$AH$34="Alta",'Mapa final'!$AJ$34="Catastrófico"),CONCATENATE("R2C",'Mapa final'!$R$34),"")</f>
        <v/>
      </c>
      <c r="AO23" s="68"/>
      <c r="AP23" s="512"/>
      <c r="AQ23" s="513"/>
      <c r="AR23" s="513"/>
      <c r="AS23" s="513"/>
      <c r="AT23" s="513"/>
      <c r="AU23" s="514"/>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11"/>
      <c r="D24" s="411"/>
      <c r="E24" s="412"/>
      <c r="F24" s="503"/>
      <c r="G24" s="504"/>
      <c r="H24" s="504"/>
      <c r="I24" s="504"/>
      <c r="J24" s="504"/>
      <c r="K24" s="53" t="str">
        <f>IF(AND('Mapa final'!$AH$35="Alta",'Mapa final'!$AJ$35="Leve"),CONCATENATE("R2C",'Mapa final'!$R$35),"")</f>
        <v/>
      </c>
      <c r="L24" s="54" t="str">
        <f>IF(AND('Mapa final'!$AH$36="Alta",'Mapa final'!$AJ$36="Leve"),CONCATENATE("R2C",'Mapa final'!$R$36),"")</f>
        <v/>
      </c>
      <c r="M24" s="54" t="str">
        <f>IF(AND('Mapa final'!$AH$37="Alta",'Mapa final'!$AJ$37="Leve"),CONCATENATE("R2C",'Mapa final'!$R$37),"")</f>
        <v/>
      </c>
      <c r="N24" s="54" t="str">
        <f>IF(AND('Mapa final'!$AH$38="Alta",'Mapa final'!$AJ$38="Leve"),CONCATENATE("R2C",'Mapa final'!$R$38),"")</f>
        <v/>
      </c>
      <c r="O24" s="54" t="str">
        <f>IF(AND('Mapa final'!$AH$39="Alta",'Mapa final'!$AJ$39="Leve"),CONCATENATE("R2C",'Mapa final'!$R$39),"")</f>
        <v/>
      </c>
      <c r="P24" s="55" t="str">
        <f>IF(AND('Mapa final'!$AH$40="Alta",'Mapa final'!$AJ$40="Leve"),CONCATENATE("R2C",'Mapa final'!$R$40),"")</f>
        <v/>
      </c>
      <c r="Q24" s="53" t="str">
        <f>IF(AND('Mapa final'!$AH$35="Alta",'Mapa final'!$AJ$35="Menor"),CONCATENATE("R2C",'Mapa final'!$R$35),"")</f>
        <v/>
      </c>
      <c r="R24" s="54" t="str">
        <f>IF(AND('Mapa final'!$AH$36="Alta",'Mapa final'!$AJ$36="Menor"),CONCATENATE("R2C",'Mapa final'!$R$36),"")</f>
        <v/>
      </c>
      <c r="S24" s="54" t="str">
        <f>IF(AND('Mapa final'!$AH$37="Alta",'Mapa final'!$AJ$37="Menor"),CONCATENATE("R2C",'Mapa final'!$R$37),"")</f>
        <v/>
      </c>
      <c r="T24" s="54" t="str">
        <f>IF(AND('Mapa final'!$AH$38="Alta",'Mapa final'!$AJ$38="Menor"),CONCATENATE("R2C",'Mapa final'!$R$38),"")</f>
        <v/>
      </c>
      <c r="U24" s="54" t="str">
        <f>IF(AND('Mapa final'!$AH$39="Alta",'Mapa final'!$AJ$39="Menor"),CONCATENATE("R2C",'Mapa final'!$R$39),"")</f>
        <v/>
      </c>
      <c r="V24" s="55" t="str">
        <f>IF(AND('Mapa final'!$AH$40="Alta",'Mapa final'!$AJ$40="Menor"),CONCATENATE("R2C",'Mapa final'!$R$40),"")</f>
        <v/>
      </c>
      <c r="W24" s="38" t="str">
        <f>IF(AND('Mapa final'!$AH$35="Alta",'Mapa final'!$AJ$35="Moderado"),CONCATENATE("R2C",'Mapa final'!$R$35),"")</f>
        <v/>
      </c>
      <c r="X24" s="39" t="str">
        <f>IF(AND('Mapa final'!$AH$36="Alta",'Mapa final'!$AJ$36="Moderado"),CONCATENATE("R2C",'Mapa final'!$R$36),"")</f>
        <v/>
      </c>
      <c r="Y24" s="39" t="str">
        <f>IF(AND('Mapa final'!$AH$37="Alta",'Mapa final'!$AJ$37="Moderado"),CONCATENATE("R2C",'Mapa final'!$R$37),"")</f>
        <v/>
      </c>
      <c r="Z24" s="39" t="str">
        <f>IF(AND('Mapa final'!$AH$38="Alta",'Mapa final'!$AJ$38="Moderado"),CONCATENATE("R2C",'Mapa final'!$R$38),"")</f>
        <v/>
      </c>
      <c r="AA24" s="39" t="str">
        <f>IF(AND('Mapa final'!$AH$39="Alta",'Mapa final'!$AJ$39="Moderado"),CONCATENATE("R2C",'Mapa final'!$R$39),"")</f>
        <v/>
      </c>
      <c r="AB24" s="40" t="str">
        <f>IF(AND('Mapa final'!$AH$40="Alta",'Mapa final'!$AJ$40="Moderado"),CONCATENATE("R2C",'Mapa final'!$R$40),"")</f>
        <v/>
      </c>
      <c r="AC24" s="38" t="str">
        <f>IF(AND('Mapa final'!$AH$35="Alta",'Mapa final'!$AJ$35="Mayor"),CONCATENATE("R2C",'Mapa final'!$R$35),"")</f>
        <v/>
      </c>
      <c r="AD24" s="39" t="str">
        <f>IF(AND('Mapa final'!$AH$36="Alta",'Mapa final'!$AJ$36="Mayor"),CONCATENATE("R2C",'Mapa final'!$R$36),"")</f>
        <v/>
      </c>
      <c r="AE24" s="39" t="str">
        <f>IF(AND('Mapa final'!$AH$37="Alta",'Mapa final'!$AJ$37="Mayor"),CONCATENATE("R2C",'Mapa final'!$R$37),"")</f>
        <v/>
      </c>
      <c r="AF24" s="39" t="str">
        <f>IF(AND('Mapa final'!$AH$38="Alta",'Mapa final'!$AJ$38="Mayor"),CONCATENATE("R2C",'Mapa final'!$R$38),"")</f>
        <v/>
      </c>
      <c r="AG24" s="39" t="str">
        <f>IF(AND('Mapa final'!$AH$39="Alta",'Mapa final'!$AJ$39="Mayor"),CONCATENATE("R2C",'Mapa final'!$R$39),"")</f>
        <v/>
      </c>
      <c r="AH24" s="40" t="str">
        <f>IF(AND('Mapa final'!$AH$40="Alta",'Mapa final'!$AJ$40="Mayor"),CONCATENATE("R2C",'Mapa final'!$R$40),"")</f>
        <v/>
      </c>
      <c r="AI24" s="41" t="str">
        <f>IF(AND('Mapa final'!$AH$35="Alta",'Mapa final'!$AJ$35="Catastrófico"),CONCATENATE("R2C",'Mapa final'!$R$35),"")</f>
        <v/>
      </c>
      <c r="AJ24" s="42" t="str">
        <f>IF(AND('Mapa final'!$AH$36="Alta",'Mapa final'!$AJ$36="Catastrófico"),CONCATENATE("R2C",'Mapa final'!$R$36),"")</f>
        <v/>
      </c>
      <c r="AK24" s="42" t="str">
        <f>IF(AND('Mapa final'!$AH$37="Alta",'Mapa final'!$AJ$37="Catastrófico"),CONCATENATE("R2C",'Mapa final'!$R$37),"")</f>
        <v/>
      </c>
      <c r="AL24" s="42" t="str">
        <f>IF(AND('Mapa final'!$AH$38="Alta",'Mapa final'!$AJ$38="Catastrófico"),CONCATENATE("R2C",'Mapa final'!$R$38),"")</f>
        <v/>
      </c>
      <c r="AM24" s="42" t="str">
        <f>IF(AND('Mapa final'!$AH$39="Alta",'Mapa final'!$AJ$39="Catastrófico"),CONCATENATE("R2C",'Mapa final'!$R$39),"")</f>
        <v/>
      </c>
      <c r="AN24" s="43" t="str">
        <f>IF(AND('Mapa final'!$AH$40="Alta",'Mapa final'!$AJ$40="Catastrófico"),CONCATENATE("R2C",'Mapa final'!$R$40),"")</f>
        <v/>
      </c>
      <c r="AO24" s="68"/>
      <c r="AP24" s="512"/>
      <c r="AQ24" s="513"/>
      <c r="AR24" s="513"/>
      <c r="AS24" s="513"/>
      <c r="AT24" s="513"/>
      <c r="AU24" s="514"/>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11"/>
      <c r="D25" s="411"/>
      <c r="E25" s="412"/>
      <c r="F25" s="503"/>
      <c r="G25" s="504"/>
      <c r="H25" s="504"/>
      <c r="I25" s="504"/>
      <c r="J25" s="504"/>
      <c r="K25" s="53" t="str">
        <f>IF(AND('Mapa final'!$AH$41="Alta",'Mapa final'!$AJ$41="Leve"),CONCATENATE("R2C",'Mapa final'!$R$41),"")</f>
        <v/>
      </c>
      <c r="L25" s="54" t="str">
        <f>IF(AND('Mapa final'!$AH$42="Alta",'Mapa final'!$AJ$42="Leve"),CONCATENATE("R2C",'Mapa final'!$R$42),"")</f>
        <v/>
      </c>
      <c r="M25" s="54" t="str">
        <f>IF(AND('Mapa final'!$AH$43="Alta",'Mapa final'!$AJ$43="Leve"),CONCATENATE("R2C",'Mapa final'!$R$43),"")</f>
        <v/>
      </c>
      <c r="N25" s="54" t="str">
        <f>IF(AND('Mapa final'!$AH$44="Alta",'Mapa final'!$AJ$44="Leve"),CONCATENATE("R2C",'Mapa final'!$R$44),"")</f>
        <v/>
      </c>
      <c r="O25" s="54" t="str">
        <f>IF(AND('Mapa final'!$AH$45="Alta",'Mapa final'!$AJ$45="Leve"),CONCATENATE("R2C",'Mapa final'!$R$45),"")</f>
        <v/>
      </c>
      <c r="P25" s="55" t="str">
        <f>IF(AND('Mapa final'!$AH$46="Alta",'Mapa final'!$AJ$46="Leve"),CONCATENATE("R2C",'Mapa final'!$R$46),"")</f>
        <v/>
      </c>
      <c r="Q25" s="53" t="str">
        <f>IF(AND('Mapa final'!$AH$41="Alta",'Mapa final'!$AJ$41="Menor"),CONCATENATE("R2C",'Mapa final'!$R$41),"")</f>
        <v/>
      </c>
      <c r="R25" s="54" t="str">
        <f>IF(AND('Mapa final'!$AH$42="Alta",'Mapa final'!$AJ$42="Menor"),CONCATENATE("R2C",'Mapa final'!$R$42),"")</f>
        <v/>
      </c>
      <c r="S25" s="54" t="str">
        <f>IF(AND('Mapa final'!$AH$43="Alta",'Mapa final'!$AJ$43="Menor"),CONCATENATE("R2C",'Mapa final'!$R$43),"")</f>
        <v/>
      </c>
      <c r="T25" s="54" t="str">
        <f>IF(AND('Mapa final'!$AH$44="Alta",'Mapa final'!$AJ$44="Menor"),CONCATENATE("R2C",'Mapa final'!$R$44),"")</f>
        <v/>
      </c>
      <c r="U25" s="54" t="str">
        <f>IF(AND('Mapa final'!$AH$45="Alta",'Mapa final'!$AJ$45="LMenor"),CONCATENATE("R2C",'Mapa final'!$R$45),"")</f>
        <v/>
      </c>
      <c r="V25" s="55" t="str">
        <f>IF(AND('Mapa final'!$AH$46="Alta",'Mapa final'!$AJ$46="Menor"),CONCATENATE("R2C",'Mapa final'!$R$46),"")</f>
        <v/>
      </c>
      <c r="W25" s="38" t="str">
        <f>IF(AND('Mapa final'!$AH$41="Alta",'Mapa final'!$AJ$41="Moderado"),CONCATENATE("R2C",'Mapa final'!$R$41),"")</f>
        <v/>
      </c>
      <c r="X25" s="39" t="str">
        <f>IF(AND('Mapa final'!$AH$42="Alta",'Mapa final'!$AJ$42="Moderado"),CONCATENATE("R2C",'Mapa final'!$R$42),"")</f>
        <v/>
      </c>
      <c r="Y25" s="39" t="str">
        <f>IF(AND('Mapa final'!$AH$43="Alta",'Mapa final'!$AJ$43="Moderado"),CONCATENATE("R2C",'Mapa final'!$R$43),"")</f>
        <v/>
      </c>
      <c r="Z25" s="39" t="str">
        <f>IF(AND('Mapa final'!$AH$44="Alta",'Mapa final'!$AJ$44="Moderado"),CONCATENATE("R2C",'Mapa final'!$R$44),"")</f>
        <v/>
      </c>
      <c r="AA25" s="39" t="str">
        <f>IF(AND('Mapa final'!$AH$45="Alta",'Mapa final'!$AJ$45="Moderado"),CONCATENATE("R2C",'Mapa final'!$R$45),"")</f>
        <v/>
      </c>
      <c r="AB25" s="40" t="str">
        <f>IF(AND('Mapa final'!$AH$46="Alta",'Mapa final'!$AJ$46="Moderado"),CONCATENATE("R2C",'Mapa final'!$R$46),"")</f>
        <v/>
      </c>
      <c r="AC25" s="38" t="str">
        <f>IF(AND('Mapa final'!$AH$41="Alta",'Mapa final'!$AJ$41="Mayor"),CONCATENATE("R2C",'Mapa final'!$R$41),"")</f>
        <v/>
      </c>
      <c r="AD25" s="39" t="str">
        <f>IF(AND('Mapa final'!$AH$42="Alta",'Mapa final'!$AJ$42="Mayor"),CONCATENATE("R2C",'Mapa final'!$R$42),"")</f>
        <v/>
      </c>
      <c r="AE25" s="39" t="str">
        <f>IF(AND('Mapa final'!$AH$43="Alta",'Mapa final'!$AJ$43="Mayor"),CONCATENATE("R2C",'Mapa final'!$R$43),"")</f>
        <v/>
      </c>
      <c r="AF25" s="39" t="str">
        <f>IF(AND('Mapa final'!$AH$44="Alta",'Mapa final'!$AJ$44="Mayor"),CONCATENATE("R2C",'Mapa final'!$R$44),"")</f>
        <v/>
      </c>
      <c r="AG25" s="39" t="str">
        <f>IF(AND('Mapa final'!$AH$45="Alta",'Mapa final'!$AJ$45="Mayor"),CONCATENATE("R2C",'Mapa final'!$R$45),"")</f>
        <v/>
      </c>
      <c r="AH25" s="40" t="str">
        <f>IF(AND('Mapa final'!$AH$46="Alta",'Mapa final'!$AJ$46="Mayor"),CONCATENATE("R2C",'Mapa final'!$R$46),"")</f>
        <v/>
      </c>
      <c r="AI25" s="41" t="str">
        <f>IF(AND('Mapa final'!$AH$41="Alta",'Mapa final'!$AJ$41="Catastrófico"),CONCATENATE("R2C",'Mapa final'!$R$41),"")</f>
        <v/>
      </c>
      <c r="AJ25" s="42" t="str">
        <f>IF(AND('Mapa final'!$AH$42="Alta",'Mapa final'!$AJ$42="Catastrófico"),CONCATENATE("R2C",'Mapa final'!$R$42),"")</f>
        <v/>
      </c>
      <c r="AK25" s="42" t="str">
        <f>IF(AND('Mapa final'!$AH$43="Alta",'Mapa final'!$AJ$43="Catastrófico"),CONCATENATE("R2C",'Mapa final'!$R$43),"")</f>
        <v/>
      </c>
      <c r="AL25" s="42" t="str">
        <f>IF(AND('Mapa final'!$AH$44="Alta",'Mapa final'!$AJ$44="Catastrófico"),CONCATENATE("R2C",'Mapa final'!$R$44),"")</f>
        <v/>
      </c>
      <c r="AM25" s="42" t="str">
        <f>IF(AND('Mapa final'!$AH$45="Alta",'Mapa final'!$AJ$45="LCatastrófico"),CONCATENATE("R2C",'Mapa final'!$R$45),"")</f>
        <v/>
      </c>
      <c r="AN25" s="43" t="str">
        <f>IF(AND('Mapa final'!$AH$46="Alta",'Mapa final'!$AJ$46="Catastrófico"),CONCATENATE("R2C",'Mapa final'!$R$46),"")</f>
        <v/>
      </c>
      <c r="AO25" s="68"/>
      <c r="AP25" s="512"/>
      <c r="AQ25" s="513"/>
      <c r="AR25" s="513"/>
      <c r="AS25" s="513"/>
      <c r="AT25" s="513"/>
      <c r="AU25" s="514"/>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11"/>
      <c r="D26" s="411"/>
      <c r="E26" s="412"/>
      <c r="F26" s="503"/>
      <c r="G26" s="504"/>
      <c r="H26" s="504"/>
      <c r="I26" s="504"/>
      <c r="J26" s="504"/>
      <c r="K26" s="53" t="str">
        <f>IF(AND('Mapa final'!$AH$47="Alta",'Mapa final'!$AJ$47="Leve"),CONCATENATE("R2C",'Mapa final'!$R$47),"")</f>
        <v/>
      </c>
      <c r="L26" s="54" t="str">
        <f>IF(AND('Mapa final'!$AH$48="Alta",'Mapa final'!$AJ$48="Leve"),CONCATENATE("R2C",'Mapa final'!$R$48),"")</f>
        <v/>
      </c>
      <c r="M26" s="54" t="str">
        <f>IF(AND('Mapa final'!$AH$49="Alta",'Mapa final'!$AJ$49="Leve"),CONCATENATE("R2C",'Mapa final'!$R$49),"")</f>
        <v/>
      </c>
      <c r="N26" s="54" t="str">
        <f>IF(AND('Mapa final'!$AH$50="Alta",'Mapa final'!$AJ$50="Leve"),CONCATENATE("R2C",'Mapa final'!$R$50),"")</f>
        <v/>
      </c>
      <c r="O26" s="54" t="str">
        <f>IF(AND('Mapa final'!$AH$51="Alta",'Mapa final'!$AJ$51="Leve"),CONCATENATE("R2C",'Mapa final'!$R$51),"")</f>
        <v/>
      </c>
      <c r="P26" s="55" t="str">
        <f>IF(AND('Mapa final'!$AH$52="Alta",'Mapa final'!$AJ$52="Leve"),CONCATENATE("R2C",'Mapa final'!$R$52),"")</f>
        <v/>
      </c>
      <c r="Q26" s="53" t="str">
        <f>IF(AND('Mapa final'!$AH$47="Alta",'Mapa final'!$AJ$47="Menor"),CONCATENATE("R2C",'Mapa final'!$R$47),"")</f>
        <v/>
      </c>
      <c r="R26" s="54" t="str">
        <f>IF(AND('Mapa final'!$AH$48="Alta",'Mapa final'!$AJ$48="Menor"),CONCATENATE("R2C",'Mapa final'!$R$48),"")</f>
        <v/>
      </c>
      <c r="S26" s="54" t="str">
        <f>IF(AND('Mapa final'!$AH$49="Alta",'Mapa final'!$AJ$49="Menor"),CONCATENATE("R2C",'Mapa final'!$R$49),"")</f>
        <v/>
      </c>
      <c r="T26" s="54" t="str">
        <f>IF(AND('Mapa final'!$AH$50="Alta",'Mapa final'!$AJ$50="Menor"),CONCATENATE("R2C",'Mapa final'!$R$50),"")</f>
        <v/>
      </c>
      <c r="U26" s="54" t="str">
        <f>IF(AND('Mapa final'!$AH$51="Alta",'Mapa final'!$AJ$51="Menor"),CONCATENATE("R2C",'Mapa final'!$R$51),"")</f>
        <v/>
      </c>
      <c r="V26" s="55" t="str">
        <f>IF(AND('Mapa final'!$AH$52="Alta",'Mapa final'!$AJ$52="Menor"),CONCATENATE("R2C",'Mapa final'!$R$52),"")</f>
        <v/>
      </c>
      <c r="W26" s="38" t="str">
        <f>IF(AND('Mapa final'!$AH$47="Alta",'Mapa final'!$AJ$47="Moderado"),CONCATENATE("R2C",'Mapa final'!$R$47),"")</f>
        <v/>
      </c>
      <c r="X26" s="39" t="str">
        <f>IF(AND('Mapa final'!$AH$48="Alta",'Mapa final'!$AJ$48="Moderado"),CONCATENATE("R2C",'Mapa final'!$R$48),"")</f>
        <v/>
      </c>
      <c r="Y26" s="39" t="str">
        <f>IF(AND('Mapa final'!$AH$49="Alta",'Mapa final'!$AJ$49="Moderado"),CONCATENATE("R2C",'Mapa final'!$R$49),"")</f>
        <v/>
      </c>
      <c r="Z26" s="39" t="str">
        <f>IF(AND('Mapa final'!$AH$50="Alta",'Mapa final'!$AJ$50="Moderado"),CONCATENATE("R2C",'Mapa final'!$R$50),"")</f>
        <v/>
      </c>
      <c r="AA26" s="39" t="str">
        <f>IF(AND('Mapa final'!$AH$51="Alta",'Mapa final'!$AJ$51="Moderado"),CONCATENATE("R2C",'Mapa final'!$R$51),"")</f>
        <v/>
      </c>
      <c r="AB26" s="40" t="str">
        <f>IF(AND('Mapa final'!$AH$52="Alta",'Mapa final'!$AJ$52="Moderado"),CONCATENATE("R2C",'Mapa final'!$R$52),"")</f>
        <v/>
      </c>
      <c r="AC26" s="38" t="str">
        <f>IF(AND('Mapa final'!$AH$47="Alta",'Mapa final'!$AJ$47="Mayor"),CONCATENATE("R2C",'Mapa final'!$R$47),"")</f>
        <v/>
      </c>
      <c r="AD26" s="39" t="str">
        <f>IF(AND('Mapa final'!$AH$48="Alta",'Mapa final'!$AJ$48="Mayor"),CONCATENATE("R2C",'Mapa final'!$R$48),"")</f>
        <v/>
      </c>
      <c r="AE26" s="39" t="str">
        <f>IF(AND('Mapa final'!$AH$49="Alta",'Mapa final'!$AJ$49="Mayor"),CONCATENATE("R2C",'Mapa final'!$R$49),"")</f>
        <v/>
      </c>
      <c r="AF26" s="39" t="str">
        <f>IF(AND('Mapa final'!$AH$50="Alta",'Mapa final'!$AJ$50="Mayor"),CONCATENATE("R2C",'Mapa final'!$R$50),"")</f>
        <v/>
      </c>
      <c r="AG26" s="39" t="str">
        <f>IF(AND('Mapa final'!$AH$51="Alta",'Mapa final'!$AJ$51="Mayor"),CONCATENATE("R2C",'Mapa final'!$R$51),"")</f>
        <v/>
      </c>
      <c r="AH26" s="40" t="str">
        <f>IF(AND('Mapa final'!$AH$52="Alta",'Mapa final'!$AJ$52="Mayor"),CONCATENATE("R2C",'Mapa final'!$R$52),"")</f>
        <v/>
      </c>
      <c r="AI26" s="41" t="str">
        <f>IF(AND('Mapa final'!$AH$47="Alta",'Mapa final'!$AJ$47="Catastrófico"),CONCATENATE("R2C",'Mapa final'!$R$47),"")</f>
        <v/>
      </c>
      <c r="AJ26" s="42" t="str">
        <f>IF(AND('Mapa final'!$AH$48="Alta",'Mapa final'!$AJ$48="Catastrófico"),CONCATENATE("R2C",'Mapa final'!$R$48),"")</f>
        <v/>
      </c>
      <c r="AK26" s="42" t="str">
        <f>IF(AND('Mapa final'!$AH$49="Alta",'Mapa final'!$AJ$49="Catastrófico"),CONCATENATE("R2C",'Mapa final'!$R$49),"")</f>
        <v/>
      </c>
      <c r="AL26" s="42" t="str">
        <f>IF(AND('Mapa final'!$AH$50="Alta",'Mapa final'!$AJ$50="Catastrófico"),CONCATENATE("R2C",'Mapa final'!$R$50),"")</f>
        <v/>
      </c>
      <c r="AM26" s="42" t="str">
        <f>IF(AND('Mapa final'!$AH$51="Alta",'Mapa final'!$AJ$51="Catastrófico"),CONCATENATE("R2C",'Mapa final'!$R$51),"")</f>
        <v/>
      </c>
      <c r="AN26" s="43" t="str">
        <f>IF(AND('Mapa final'!$AH$52="Alta",'Mapa final'!$AJ$52="Catastrófico"),CONCATENATE("R2C",'Mapa final'!$R$52),"")</f>
        <v/>
      </c>
      <c r="AO26" s="68"/>
      <c r="AP26" s="512"/>
      <c r="AQ26" s="513"/>
      <c r="AR26" s="513"/>
      <c r="AS26" s="513"/>
      <c r="AT26" s="513"/>
      <c r="AU26" s="514"/>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11"/>
      <c r="D27" s="411"/>
      <c r="E27" s="412"/>
      <c r="F27" s="503"/>
      <c r="G27" s="504"/>
      <c r="H27" s="504"/>
      <c r="I27" s="504"/>
      <c r="J27" s="504"/>
      <c r="K27" s="53" t="str">
        <f>IF(AND('Mapa final'!$AH$53="Alta",'Mapa final'!$AJ$53="Leve"),CONCATENATE("R2C",'Mapa final'!$R$53),"")</f>
        <v/>
      </c>
      <c r="L27" s="54" t="str">
        <f>IF(AND('Mapa final'!$AH$54="Alta",'Mapa final'!$AJ$54="Leve"),CONCATENATE("R2C",'Mapa final'!$R$54),"")</f>
        <v/>
      </c>
      <c r="M27" s="54" t="str">
        <f>IF(AND('Mapa final'!$AH$55="Alta",'Mapa final'!$AJ$55="Leve"),CONCATENATE("R2C",'Mapa final'!$R$55),"")</f>
        <v/>
      </c>
      <c r="N27" s="54" t="str">
        <f>IF(AND('Mapa final'!$AH$56="Alta",'Mapa final'!$AJ$56="Leve"),CONCATENATE("R2C",'Mapa final'!$R$56),"")</f>
        <v/>
      </c>
      <c r="O27" s="54" t="str">
        <f>IF(AND('Mapa final'!$AH$57="Alta",'Mapa final'!$AJ$57="Leve"),CONCATENATE("R2C",'Mapa final'!$R$57),"")</f>
        <v/>
      </c>
      <c r="P27" s="55" t="str">
        <f>IF(AND('Mapa final'!$AH$68="Alta",'Mapa final'!$AJ$58="Leve"),CONCATENATE("R2C",'Mapa final'!$R$58),"")</f>
        <v/>
      </c>
      <c r="Q27" s="53" t="str">
        <f>IF(AND('Mapa final'!$AH$53="Alta",'Mapa final'!$AJ$53="Menor"),CONCATENATE("R2C",'Mapa final'!$R$53),"")</f>
        <v/>
      </c>
      <c r="R27" s="54" t="str">
        <f>IF(AND('Mapa final'!$AH$54="Alta",'Mapa final'!$AJ$54="Menor"),CONCATENATE("R2C",'Mapa final'!$R$54),"")</f>
        <v/>
      </c>
      <c r="S27" s="54" t="str">
        <f>IF(AND('Mapa final'!$AH$55="Alta",'Mapa final'!$AJ$55="Menor"),CONCATENATE("R2C",'Mapa final'!$R$55),"")</f>
        <v/>
      </c>
      <c r="T27" s="54" t="str">
        <f>IF(AND('Mapa final'!$AH$56="Alta",'Mapa final'!$AJ$56="Menor"),CONCATENATE("R2C",'Mapa final'!$R$56),"")</f>
        <v/>
      </c>
      <c r="U27" s="54" t="str">
        <f>IF(AND('Mapa final'!$AH$57="Alta",'Mapa final'!$AJ$57="Menor"),CONCATENATE("R2C",'Mapa final'!$R$57),"")</f>
        <v/>
      </c>
      <c r="V27" s="55" t="str">
        <f>IF(AND('Mapa final'!$AH$68="Alta",'Mapa final'!$AJ$58="Menor"),CONCATENATE("R2C",'Mapa final'!$R$58),"")</f>
        <v/>
      </c>
      <c r="W27" s="38" t="str">
        <f>IF(AND('Mapa final'!$AH$53="Alta",'Mapa final'!$AJ$53="Moderado"),CONCATENATE("R2C",'Mapa final'!$R$53),"")</f>
        <v/>
      </c>
      <c r="X27" s="39" t="str">
        <f>IF(AND('Mapa final'!$AH$54="Alta",'Mapa final'!$AJ$54="Moderado"),CONCATENATE("R2C",'Mapa final'!$R$54),"")</f>
        <v/>
      </c>
      <c r="Y27" s="39" t="str">
        <f>IF(AND('Mapa final'!$AH$55="Alta",'Mapa final'!$AJ$55="Moderado"),CONCATENATE("R2C",'Mapa final'!$R$55),"")</f>
        <v/>
      </c>
      <c r="Z27" s="39" t="str">
        <f>IF(AND('Mapa final'!$AH$56="Alta",'Mapa final'!$AJ$56="Moderado"),CONCATENATE("R2C",'Mapa final'!$R$56),"")</f>
        <v/>
      </c>
      <c r="AA27" s="39" t="str">
        <f>IF(AND('Mapa final'!$AH$57="Alta",'Mapa final'!$AJ$57="Moderado"),CONCATENATE("R2C",'Mapa final'!$R$57),"")</f>
        <v/>
      </c>
      <c r="AB27" s="40" t="str">
        <f>IF(AND('Mapa final'!$AH$68="Alta",'Mapa final'!$AJ$58="Moderado"),CONCATENATE("R2C",'Mapa final'!$R$58),"")</f>
        <v/>
      </c>
      <c r="AC27" s="38" t="str">
        <f>IF(AND('Mapa final'!$AH$53="Alta",'Mapa final'!$AJ$53="Mayor"),CONCATENATE("R2C",'Mapa final'!$R$53),"")</f>
        <v/>
      </c>
      <c r="AD27" s="39" t="str">
        <f>IF(AND('Mapa final'!$AH$54="Alta",'Mapa final'!$AJ$54="Mayor"),CONCATENATE("R2C",'Mapa final'!$R$54),"")</f>
        <v/>
      </c>
      <c r="AE27" s="39" t="str">
        <f>IF(AND('Mapa final'!$AH$55="Alta",'Mapa final'!$AJ$55="Mayor"),CONCATENATE("R2C",'Mapa final'!$R$55),"")</f>
        <v/>
      </c>
      <c r="AF27" s="39" t="str">
        <f>IF(AND('Mapa final'!$AH$56="Alta",'Mapa final'!$AJ$56="Mayor"),CONCATENATE("R2C",'Mapa final'!$R$56),"")</f>
        <v/>
      </c>
      <c r="AG27" s="39" t="str">
        <f>IF(AND('Mapa final'!$AH$57="Alta",'Mapa final'!$AJ$57="Mayor"),CONCATENATE("R2C",'Mapa final'!$R$57),"")</f>
        <v/>
      </c>
      <c r="AH27" s="40" t="str">
        <f>IF(AND('Mapa final'!$AH$68="Alta",'Mapa final'!$AJ$58="Mayor"),CONCATENATE("R2C",'Mapa final'!$R$58),"")</f>
        <v/>
      </c>
      <c r="AI27" s="41" t="str">
        <f>IF(AND('Mapa final'!$AH$53="Alta",'Mapa final'!$AJ$53="Catastrófico"),CONCATENATE("R2C",'Mapa final'!$R$53),"")</f>
        <v/>
      </c>
      <c r="AJ27" s="42" t="str">
        <f>IF(AND('Mapa final'!$AH$54="Alta",'Mapa final'!$AJ$54="Catastrófico"),CONCATENATE("R2C",'Mapa final'!$R$54),"")</f>
        <v/>
      </c>
      <c r="AK27" s="42" t="str">
        <f>IF(AND('Mapa final'!$AH$55="Alta",'Mapa final'!$AJ$55="Catastrófico"),CONCATENATE("R2C",'Mapa final'!$R$55),"")</f>
        <v/>
      </c>
      <c r="AL27" s="42" t="str">
        <f>IF(AND('Mapa final'!$AH$56="Alta",'Mapa final'!$AJ$56="Catastrófico"),CONCATENATE("R2C",'Mapa final'!$R$56),"")</f>
        <v/>
      </c>
      <c r="AM27" s="42" t="str">
        <f>IF(AND('Mapa final'!$AH$57="Alta",'Mapa final'!$AJ$57="Catastrófico"),CONCATENATE("R2C",'Mapa final'!$R$57),"")</f>
        <v/>
      </c>
      <c r="AN27" s="43" t="str">
        <f>IF(AND('Mapa final'!$AH$68="Alta",'Mapa final'!$AJ$58="Catastrófico"),CONCATENATE("R2C",'Mapa final'!$R$58),"")</f>
        <v/>
      </c>
      <c r="AO27" s="68"/>
      <c r="AP27" s="512"/>
      <c r="AQ27" s="513"/>
      <c r="AR27" s="513"/>
      <c r="AS27" s="513"/>
      <c r="AT27" s="513"/>
      <c r="AU27" s="514"/>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11"/>
      <c r="D28" s="411"/>
      <c r="E28" s="412"/>
      <c r="F28" s="503"/>
      <c r="G28" s="504"/>
      <c r="H28" s="504"/>
      <c r="I28" s="504"/>
      <c r="J28" s="504"/>
      <c r="K28" s="53" t="str">
        <f>IF(AND('Mapa final'!$AH$59="Alta",'Mapa final'!$AJ$59="Leve"),CONCATENATE("R2C",'Mapa final'!$R$59),"")</f>
        <v/>
      </c>
      <c r="L28" s="54" t="str">
        <f>IF(AND('Mapa final'!$AH$60="Alta",'Mapa final'!$AJ$60="Leve"),CONCATENATE("R2C",'Mapa final'!$R$60),"")</f>
        <v/>
      </c>
      <c r="M28" s="54" t="str">
        <f>IF(AND('Mapa final'!$AH$61="Alta",'Mapa final'!$AJ$61="Leve"),CONCATENATE("R2C",'Mapa final'!$R$61),"")</f>
        <v/>
      </c>
      <c r="N28" s="54" t="str">
        <f>IF(AND('Mapa final'!$AH$62="Alta",'Mapa final'!$AJ$62="Leve"),CONCATENATE("R2C",'Mapa final'!$R$62),"")</f>
        <v/>
      </c>
      <c r="O28" s="54" t="str">
        <f>IF(AND('Mapa final'!$AH$63="Alta",'Mapa final'!$AJ$63="Leve"),CONCATENATE("R2C",'Mapa final'!$R$63),"")</f>
        <v/>
      </c>
      <c r="P28" s="55" t="str">
        <f>IF(AND('Mapa final'!$AH$64="Alta",'Mapa final'!$AJ$64="Leve"),CONCATENATE("R2C",'Mapa final'!$R$64),"")</f>
        <v/>
      </c>
      <c r="Q28" s="53" t="str">
        <f>IF(AND('Mapa final'!$AH$59="Alta",'Mapa final'!$AJ$59="Menor"),CONCATENATE("R2C",'Mapa final'!$R$59),"")</f>
        <v/>
      </c>
      <c r="R28" s="54" t="str">
        <f>IF(AND('Mapa final'!$AH$60="Alta",'Mapa final'!$AJ$60="Menor"),CONCATENATE("R2C",'Mapa final'!$R$60),"")</f>
        <v/>
      </c>
      <c r="S28" s="54" t="str">
        <f>IF(AND('Mapa final'!$AH$61="Alta",'Mapa final'!$AJ$61="Menor"),CONCATENATE("R2C",'Mapa final'!$R$61),"")</f>
        <v/>
      </c>
      <c r="T28" s="54" t="str">
        <f>IF(AND('Mapa final'!$AH$62="Alta",'Mapa final'!$AJ$62="Menor"),CONCATENATE("R2C",'Mapa final'!$R$62),"")</f>
        <v/>
      </c>
      <c r="U28" s="54" t="str">
        <f>IF(AND('Mapa final'!$AH$63="Alta",'Mapa final'!$AJ$63="Menor"),CONCATENATE("R2C",'Mapa final'!$R$63),"")</f>
        <v/>
      </c>
      <c r="V28" s="55" t="str">
        <f>IF(AND('Mapa final'!$AH$64="Alta",'Mapa final'!$AJ$64="Menor"),CONCATENATE("R2C",'Mapa final'!$R$64),"")</f>
        <v/>
      </c>
      <c r="W28" s="38" t="str">
        <f>IF(AND('Mapa final'!$AH$59="Alta",'Mapa final'!$AJ$59="Moderado"),CONCATENATE("R2C",'Mapa final'!$R$59),"")</f>
        <v/>
      </c>
      <c r="X28" s="39" t="str">
        <f>IF(AND('Mapa final'!$AH$60="Alta",'Mapa final'!$AJ$60="Moderado"),CONCATENATE("R2C",'Mapa final'!$R$60),"")</f>
        <v/>
      </c>
      <c r="Y28" s="39" t="str">
        <f>IF(AND('Mapa final'!$AH$61="Alta",'Mapa final'!$AJ$61="Moderado"),CONCATENATE("R2C",'Mapa final'!$R$61),"")</f>
        <v/>
      </c>
      <c r="Z28" s="39" t="str">
        <f>IF(AND('Mapa final'!$AH$62="Alta",'Mapa final'!$AJ$62="Moderado"),CONCATENATE("R2C",'Mapa final'!$R$62),"")</f>
        <v/>
      </c>
      <c r="AA28" s="39" t="str">
        <f>IF(AND('Mapa final'!$AH$63="Alta",'Mapa final'!$AJ$63="Moderado"),CONCATENATE("R2C",'Mapa final'!$R$63),"")</f>
        <v/>
      </c>
      <c r="AB28" s="40" t="str">
        <f>IF(AND('Mapa final'!$AH$64="Alta",'Mapa final'!$AJ$64="Moderado"),CONCATENATE("R2C",'Mapa final'!$R$64),"")</f>
        <v/>
      </c>
      <c r="AC28" s="38" t="str">
        <f>IF(AND('Mapa final'!$AH$59="Alta",'Mapa final'!$AJ$59="Mayor"),CONCATENATE("R2C",'Mapa final'!$R$59),"")</f>
        <v/>
      </c>
      <c r="AD28" s="39" t="str">
        <f>IF(AND('Mapa final'!$AH$60="Alta",'Mapa final'!$AJ$60="Mayor"),CONCATENATE("R2C",'Mapa final'!$R$60),"")</f>
        <v/>
      </c>
      <c r="AE28" s="39" t="str">
        <f>IF(AND('Mapa final'!$AH$61="Alta",'Mapa final'!$AJ$61="Mayor"),CONCATENATE("R2C",'Mapa final'!$R$61),"")</f>
        <v/>
      </c>
      <c r="AF28" s="39" t="str">
        <f>IF(AND('Mapa final'!$AH$62="Alta",'Mapa final'!$AJ$62="Mayor"),CONCATENATE("R2C",'Mapa final'!$R$62),"")</f>
        <v/>
      </c>
      <c r="AG28" s="39" t="str">
        <f>IF(AND('Mapa final'!$AH$63="Alta",'Mapa final'!$AJ$63="Mayor"),CONCATENATE("R2C",'Mapa final'!$R$63),"")</f>
        <v/>
      </c>
      <c r="AH28" s="40" t="str">
        <f>IF(AND('Mapa final'!$AH$64="Alta",'Mapa final'!$AJ$64="Mayor"),CONCATENATE("R2C",'Mapa final'!$R$64),"")</f>
        <v/>
      </c>
      <c r="AI28" s="41" t="str">
        <f>IF(AND('Mapa final'!$AH$59="Alta",'Mapa final'!$AJ$59="Catastrófico"),CONCATENATE("R2C",'Mapa final'!$R$59),"")</f>
        <v/>
      </c>
      <c r="AJ28" s="42" t="str">
        <f>IF(AND('Mapa final'!$AH$60="Alta",'Mapa final'!$AJ$60="Catastrófico"),CONCATENATE("R2C",'Mapa final'!$R$60),"")</f>
        <v/>
      </c>
      <c r="AK28" s="42" t="str">
        <f>IF(AND('Mapa final'!$AH$61="Alta",'Mapa final'!$AJ$61="Catastrófico"),CONCATENATE("R2C",'Mapa final'!$R$61),"")</f>
        <v/>
      </c>
      <c r="AL28" s="42" t="str">
        <f>IF(AND('Mapa final'!$AH$62="Alta",'Mapa final'!$AJ$62="Catastrófico"),CONCATENATE("R2C",'Mapa final'!$R$62),"")</f>
        <v/>
      </c>
      <c r="AM28" s="42" t="str">
        <f>IF(AND('Mapa final'!$AH$63="Alta",'Mapa final'!$AJ$63="Catastrófico"),CONCATENATE("R2C",'Mapa final'!$R$63),"")</f>
        <v/>
      </c>
      <c r="AN28" s="43" t="str">
        <f>IF(AND('Mapa final'!$AH$64="Alta",'Mapa final'!$AJ$64="Catastrófico"),CONCATENATE("R2C",'Mapa final'!$R$64),"")</f>
        <v/>
      </c>
      <c r="AO28" s="68"/>
      <c r="AP28" s="512"/>
      <c r="AQ28" s="513"/>
      <c r="AR28" s="513"/>
      <c r="AS28" s="513"/>
      <c r="AT28" s="513"/>
      <c r="AU28" s="514"/>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11"/>
      <c r="D29" s="411"/>
      <c r="E29" s="412"/>
      <c r="F29" s="503"/>
      <c r="G29" s="504"/>
      <c r="H29" s="504"/>
      <c r="I29" s="504"/>
      <c r="J29" s="504"/>
      <c r="K29" s="53" t="str">
        <f>IF(AND('Mapa final'!$AH$65="Alta",'Mapa final'!$AJ$65="Leve"),CONCATENATE("R2C",'Mapa final'!$R$65),"")</f>
        <v/>
      </c>
      <c r="L29" s="54" t="str">
        <f>IF(AND('Mapa final'!$AH$66="Alta",'Mapa final'!$AJ$66="Leve"),CONCATENATE("R2C",'Mapa final'!$R$66),"")</f>
        <v/>
      </c>
      <c r="M29" s="54" t="str">
        <f>IF(AND('Mapa final'!$AH$67="Alta",'Mapa final'!$AJ$67="Leve"),CONCATENATE("R2C",'Mapa final'!$R$67),"")</f>
        <v/>
      </c>
      <c r="N29" s="54" t="str">
        <f>IF(AND('Mapa final'!$AH$68="Alta",'Mapa final'!$AJ$68="Leve"),CONCATENATE("R2C",'Mapa final'!$R$68),"")</f>
        <v/>
      </c>
      <c r="O29" s="54" t="str">
        <f>IF(AND('Mapa final'!$AH$69="Alta",'Mapa final'!$AJ$69="Leve"),CONCATENATE("R2C",'Mapa final'!$R$69),"")</f>
        <v/>
      </c>
      <c r="P29" s="55" t="str">
        <f>IF(AND('Mapa final'!$AH$70="Alta",'Mapa final'!$AJ$70="Leve"),CONCATENATE("R2C",'Mapa final'!$R$70),"")</f>
        <v/>
      </c>
      <c r="Q29" s="53" t="str">
        <f>IF(AND('Mapa final'!$AH$65="Alta",'Mapa final'!$AJ$65="Menor"),CONCATENATE("R2C",'Mapa final'!$R$65),"")</f>
        <v/>
      </c>
      <c r="R29" s="54" t="str">
        <f>IF(AND('Mapa final'!$AH$66="Alta",'Mapa final'!$AJ$66="Menor"),CONCATENATE("R2C",'Mapa final'!$R$66),"")</f>
        <v/>
      </c>
      <c r="S29" s="54" t="str">
        <f>IF(AND('Mapa final'!$AH$67="Alta",'Mapa final'!$AJ$67="Menor"),CONCATENATE("R2C",'Mapa final'!$R$67),"")</f>
        <v/>
      </c>
      <c r="T29" s="54" t="str">
        <f>IF(AND('Mapa final'!$AH$68="Alta",'Mapa final'!$AJ$68="Menor"),CONCATENATE("R2C",'Mapa final'!$R$68),"")</f>
        <v/>
      </c>
      <c r="U29" s="54" t="str">
        <f>IF(AND('Mapa final'!$AH$69="Alta",'Mapa final'!$AJ$69="Menor"),CONCATENATE("R2C",'Mapa final'!$R$69),"")</f>
        <v/>
      </c>
      <c r="V29" s="55" t="str">
        <f>IF(AND('Mapa final'!$AH$70="Alta",'Mapa final'!$AJ$70="Menor"),CONCATENATE("R2C",'Mapa final'!$R$70),"")</f>
        <v/>
      </c>
      <c r="W29" s="38" t="str">
        <f>IF(AND('Mapa final'!$AH$65="Alta",'Mapa final'!$AJ$65="Moderado"),CONCATENATE("R2C",'Mapa final'!$R$65),"")</f>
        <v/>
      </c>
      <c r="X29" s="39" t="str">
        <f>IF(AND('Mapa final'!$AH$66="Alta",'Mapa final'!$AJ$66="Moderado"),CONCATENATE("R2C",'Mapa final'!$R$66),"")</f>
        <v/>
      </c>
      <c r="Y29" s="39" t="str">
        <f>IF(AND('Mapa final'!$AH$67="Alta",'Mapa final'!$AJ$67="Moderado"),CONCATENATE("R2C",'Mapa final'!$R$67),"")</f>
        <v/>
      </c>
      <c r="Z29" s="39" t="str">
        <f>IF(AND('Mapa final'!$AH$68="Alta",'Mapa final'!$AJ$68="Moderado"),CONCATENATE("R2C",'Mapa final'!$R$68),"")</f>
        <v/>
      </c>
      <c r="AA29" s="39" t="str">
        <f>IF(AND('Mapa final'!$AH$69="Alta",'Mapa final'!$AJ$69="Moderado"),CONCATENATE("R2C",'Mapa final'!$R$69),"")</f>
        <v/>
      </c>
      <c r="AB29" s="40" t="str">
        <f>IF(AND('Mapa final'!$AH$70="Alta",'Mapa final'!$AJ$70="Moderado"),CONCATENATE("R2C",'Mapa final'!$R$70),"")</f>
        <v/>
      </c>
      <c r="AC29" s="38" t="str">
        <f>IF(AND('Mapa final'!$AH$65="Alta",'Mapa final'!$AJ$65="Mayor"),CONCATENATE("R2C",'Mapa final'!$R$65),"")</f>
        <v/>
      </c>
      <c r="AD29" s="39" t="str">
        <f>IF(AND('Mapa final'!$AH$66="Alta",'Mapa final'!$AJ$66="Mayor"),CONCATENATE("R2C",'Mapa final'!$R$66),"")</f>
        <v/>
      </c>
      <c r="AE29" s="39" t="str">
        <f>IF(AND('Mapa final'!$AH$67="Alta",'Mapa final'!$AJ$67="Mayor"),CONCATENATE("R2C",'Mapa final'!$R$67),"")</f>
        <v/>
      </c>
      <c r="AF29" s="39" t="str">
        <f>IF(AND('Mapa final'!$AH$68="Alta",'Mapa final'!$AJ$68="Mayor"),CONCATENATE("R2C",'Mapa final'!$R$68),"")</f>
        <v/>
      </c>
      <c r="AG29" s="39" t="str">
        <f>IF(AND('Mapa final'!$AH$69="Alta",'Mapa final'!$AJ$69="Mayor"),CONCATENATE("R2C",'Mapa final'!$R$69),"")</f>
        <v/>
      </c>
      <c r="AH29" s="40" t="str">
        <f>IF(AND('Mapa final'!$AH$70="Alta",'Mapa final'!$AJ$70="Mayor"),CONCATENATE("R2C",'Mapa final'!$R$70),"")</f>
        <v/>
      </c>
      <c r="AI29" s="41" t="str">
        <f>IF(AND('Mapa final'!$AH$65="Alta",'Mapa final'!$AJ$65="Catastrófico"),CONCATENATE("R2C",'Mapa final'!$R$65),"")</f>
        <v/>
      </c>
      <c r="AJ29" s="42" t="str">
        <f>IF(AND('Mapa final'!$AH$66="Alta",'Mapa final'!$AJ$66="Catastrófico"),CONCATENATE("R2C",'Mapa final'!$R$66),"")</f>
        <v/>
      </c>
      <c r="AK29" s="42" t="str">
        <f>IF(AND('Mapa final'!$AH$67="Alta",'Mapa final'!$AJ$67="Catastrófico"),CONCATENATE("R2C",'Mapa final'!$R$67),"")</f>
        <v/>
      </c>
      <c r="AL29" s="42" t="str">
        <f>IF(AND('Mapa final'!$AH$68="Alta",'Mapa final'!$AJ$68="Catastrófico"),CONCATENATE("R2C",'Mapa final'!$R$68),"")</f>
        <v/>
      </c>
      <c r="AM29" s="42" t="str">
        <f>IF(AND('Mapa final'!$AH$69="Alta",'Mapa final'!$AJ$69="Catastrófico"),CONCATENATE("R2C",'Mapa final'!$R$69),"")</f>
        <v/>
      </c>
      <c r="AN29" s="43" t="str">
        <f>IF(AND('Mapa final'!$AH$70="Alta",'Mapa final'!$AJ$70="Catastrófico"),CONCATENATE("R2C",'Mapa final'!$R$70),"")</f>
        <v/>
      </c>
      <c r="AO29" s="68"/>
      <c r="AP29" s="512"/>
      <c r="AQ29" s="513"/>
      <c r="AR29" s="513"/>
      <c r="AS29" s="513"/>
      <c r="AT29" s="513"/>
      <c r="AU29" s="514"/>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11"/>
      <c r="D30" s="411"/>
      <c r="E30" s="412"/>
      <c r="F30" s="503"/>
      <c r="G30" s="504"/>
      <c r="H30" s="504"/>
      <c r="I30" s="504"/>
      <c r="J30" s="504"/>
      <c r="K30" s="53" t="str">
        <f>IF(AND('Mapa final'!$AH$71="Alta",'Mapa final'!$AJ$71="Leve"),CONCATENATE("R2C",'Mapa final'!$R$71),"")</f>
        <v/>
      </c>
      <c r="L30" s="54" t="str">
        <f>IF(AND('Mapa final'!$AH$72="Alta",'Mapa final'!$AJ$72="Leve"),CONCATENATE("R2C",'Mapa final'!$R$72),"")</f>
        <v/>
      </c>
      <c r="M30" s="54" t="str">
        <f>IF(AND('Mapa final'!$AH$73="Alta",'Mapa final'!$AJ$73="Leve"),CONCATENATE("R2C",'Mapa final'!$R$73),"")</f>
        <v/>
      </c>
      <c r="N30" s="54" t="str">
        <f>IF(AND('Mapa final'!$AH$74="Alta",'Mapa final'!$AJ$74="Leve"),CONCATENATE("R2C",'Mapa final'!$R$74),"")</f>
        <v/>
      </c>
      <c r="O30" s="54" t="str">
        <f>IF(AND('Mapa final'!$AH$75="Alta",'Mapa final'!$AJ$75="Leve"),CONCATENATE("R2C",'Mapa final'!$R$75),"")</f>
        <v/>
      </c>
      <c r="P30" s="55" t="str">
        <f>IF(AND('Mapa final'!$AH$76="Alta",'Mapa final'!$AJ$76="Leve"),CONCATENATE("R2C",'Mapa final'!$R$76),"")</f>
        <v/>
      </c>
      <c r="Q30" s="53" t="str">
        <f>IF(AND('Mapa final'!$AH$71="Alta",'Mapa final'!$AJ$71="Menor"),CONCATENATE("R2C",'Mapa final'!$R$71),"")</f>
        <v/>
      </c>
      <c r="R30" s="54" t="str">
        <f>IF(AND('Mapa final'!$AH$72="Alta",'Mapa final'!$AJ$72="Menor"),CONCATENATE("R2C",'Mapa final'!$R$72),"")</f>
        <v/>
      </c>
      <c r="S30" s="54" t="str">
        <f>IF(AND('Mapa final'!$AH$73="Alta",'Mapa final'!$AJ$73="Menor"),CONCATENATE("R2C",'Mapa final'!$R$73),"")</f>
        <v/>
      </c>
      <c r="T30" s="54" t="str">
        <f>IF(AND('Mapa final'!$AH$74="Alta",'Mapa final'!$AJ$74="Menor"),CONCATENATE("R2C",'Mapa final'!$R$74),"")</f>
        <v/>
      </c>
      <c r="U30" s="54" t="str">
        <f>IF(AND('Mapa final'!$AH$75="Alta",'Mapa final'!$AJ$75="Menor"),CONCATENATE("R2C",'Mapa final'!$R$75),"")</f>
        <v/>
      </c>
      <c r="V30" s="55" t="str">
        <f>IF(AND('Mapa final'!$AH$76="Alta",'Mapa final'!$AJ$76="Menor"),CONCATENATE("R2C",'Mapa final'!$R$76),"")</f>
        <v/>
      </c>
      <c r="W30" s="38" t="str">
        <f>IF(AND('Mapa final'!$AH$71="Alta",'Mapa final'!$AJ$71="Moderado"),CONCATENATE("R2C",'Mapa final'!$R$71),"")</f>
        <v/>
      </c>
      <c r="X30" s="39" t="str">
        <f>IF(AND('Mapa final'!$AH$72="Alta",'Mapa final'!$AJ$72="Moderado"),CONCATENATE("R2C",'Mapa final'!$R$72),"")</f>
        <v/>
      </c>
      <c r="Y30" s="39" t="str">
        <f>IF(AND('Mapa final'!$AH$73="Alta",'Mapa final'!$AJ$73="Moderado"),CONCATENATE("R2C",'Mapa final'!$R$73),"")</f>
        <v/>
      </c>
      <c r="Z30" s="39" t="str">
        <f>IF(AND('Mapa final'!$AH$74="Alta",'Mapa final'!$AJ$74="Moderado"),CONCATENATE("R2C",'Mapa final'!$R$74),"")</f>
        <v/>
      </c>
      <c r="AA30" s="39" t="str">
        <f>IF(AND('Mapa final'!$AH$75="Alta",'Mapa final'!$AJ$75="Moderado"),CONCATENATE("R2C",'Mapa final'!$R$75),"")</f>
        <v/>
      </c>
      <c r="AB30" s="40" t="str">
        <f>IF(AND('Mapa final'!$AH$76="Alta",'Mapa final'!$AJ$76="Moderado"),CONCATENATE("R2C",'Mapa final'!$R$76),"")</f>
        <v/>
      </c>
      <c r="AC30" s="38" t="str">
        <f>IF(AND('Mapa final'!$AH$71="Alta",'Mapa final'!$AJ$71="Mayor"),CONCATENATE("R2C",'Mapa final'!$R$71),"")</f>
        <v/>
      </c>
      <c r="AD30" s="39" t="str">
        <f>IF(AND('Mapa final'!$AH$72="Alta",'Mapa final'!$AJ$72="Mayor"),CONCATENATE("R2C",'Mapa final'!$R$72),"")</f>
        <v/>
      </c>
      <c r="AE30" s="39" t="str">
        <f>IF(AND('Mapa final'!$AH$73="Alta",'Mapa final'!$AJ$73="Mayor"),CONCATENATE("R2C",'Mapa final'!$R$73),"")</f>
        <v/>
      </c>
      <c r="AF30" s="39" t="str">
        <f>IF(AND('Mapa final'!$AH$74="Alta",'Mapa final'!$AJ$74="Mayor"),CONCATENATE("R2C",'Mapa final'!$R$74),"")</f>
        <v/>
      </c>
      <c r="AG30" s="39" t="str">
        <f>IF(AND('Mapa final'!$AH$75="Alta",'Mapa final'!$AJ$75="Mayor"),CONCATENATE("R2C",'Mapa final'!$R$75),"")</f>
        <v/>
      </c>
      <c r="AH30" s="40" t="str">
        <f>IF(AND('Mapa final'!$AH$76="Alta",'Mapa final'!$AJ$76="Mayor"),CONCATENATE("R2C",'Mapa final'!$R$76),"")</f>
        <v/>
      </c>
      <c r="AI30" s="41" t="str">
        <f>IF(AND('Mapa final'!$AH$71="Alta",'Mapa final'!$AJ$71="Catastrófico"),CONCATENATE("R2C",'Mapa final'!$R$71),"")</f>
        <v/>
      </c>
      <c r="AJ30" s="42" t="str">
        <f>IF(AND('Mapa final'!$AH$72="Alta",'Mapa final'!$AJ$72="Catastrófico"),CONCATENATE("R2C",'Mapa final'!$R$72),"")</f>
        <v/>
      </c>
      <c r="AK30" s="42" t="str">
        <f>IF(AND('Mapa final'!$AH$73="Alta",'Mapa final'!$AJ$73="Catastrófico"),CONCATENATE("R2C",'Mapa final'!$R$73),"")</f>
        <v/>
      </c>
      <c r="AL30" s="42" t="str">
        <f>IF(AND('Mapa final'!$AH$74="Alta",'Mapa final'!$AJ$74="Catastrófico"),CONCATENATE("R2C",'Mapa final'!$R$74),"")</f>
        <v/>
      </c>
      <c r="AM30" s="42" t="str">
        <f>IF(AND('Mapa final'!$AH$75="Alta",'Mapa final'!$AJ$75="Catastrófico"),CONCATENATE("R2C",'Mapa final'!$R$75),"")</f>
        <v/>
      </c>
      <c r="AN30" s="43" t="str">
        <f>IF(AND('Mapa final'!$AH$76="Alta",'Mapa final'!$AJ$76="Catastrófico"),CONCATENATE("R2C",'Mapa final'!$R$76),"")</f>
        <v/>
      </c>
      <c r="AO30" s="68"/>
      <c r="AP30" s="512"/>
      <c r="AQ30" s="513"/>
      <c r="AR30" s="513"/>
      <c r="AS30" s="513"/>
      <c r="AT30" s="513"/>
      <c r="AU30" s="514"/>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11"/>
      <c r="D31" s="411"/>
      <c r="E31" s="412"/>
      <c r="F31" s="506"/>
      <c r="G31" s="507"/>
      <c r="H31" s="507"/>
      <c r="I31" s="507"/>
      <c r="J31" s="507"/>
      <c r="K31" s="56" t="str">
        <f>IF(AND('Mapa final'!$AH$77="Alta",'Mapa final'!$AJ$77="Leve"),CONCATENATE("R2C",'Mapa final'!$R$77),"")</f>
        <v/>
      </c>
      <c r="L31" s="57" t="str">
        <f>IF(AND('Mapa final'!$AH$78="Alta",'Mapa final'!$AJ$78="Leve"),CONCATENATE("R2C",'Mapa final'!$R$78),"")</f>
        <v/>
      </c>
      <c r="M31" s="57" t="str">
        <f>IF(AND('Mapa final'!$AH$79="Alta",'Mapa final'!$AJ$79="Leve"),CONCATENATE("R2C",'Mapa final'!$R$79),"")</f>
        <v/>
      </c>
      <c r="N31" s="57" t="str">
        <f>IF(AND('Mapa final'!$AH$80="Alta",'Mapa final'!$AJ$80="Leve"),CONCATENATE("R2C",'Mapa final'!$R$80),"")</f>
        <v/>
      </c>
      <c r="O31" s="57" t="str">
        <f>IF(AND('Mapa final'!$AH$82="Alta",'Mapa final'!$AJ$82="Leve"),CONCATENATE("R2C",'Mapa final'!$R$82),"")</f>
        <v/>
      </c>
      <c r="P31" s="58" t="str">
        <f>IF(AND('Mapa final'!$AH$83="Alta",'Mapa final'!$AJ$83="Leve"),CONCATENATE("R2C",'Mapa final'!$R$83),"")</f>
        <v/>
      </c>
      <c r="Q31" s="56" t="str">
        <f>IF(AND('Mapa final'!$AH$77="Alta",'Mapa final'!$AJ$77="Menor"),CONCATENATE("R2C",'Mapa final'!$R$77),"")</f>
        <v/>
      </c>
      <c r="R31" s="57" t="str">
        <f>IF(AND('Mapa final'!$AH$78="Alta",'Mapa final'!$AJ$78="Menor"),CONCATENATE("R2C",'Mapa final'!$R$78),"")</f>
        <v/>
      </c>
      <c r="S31" s="57" t="str">
        <f>IF(AND('Mapa final'!$AH$79="Alta",'Mapa final'!$AJ$79="Menor"),CONCATENATE("R2C",'Mapa final'!$R$79),"")</f>
        <v/>
      </c>
      <c r="T31" s="57" t="str">
        <f>IF(AND('Mapa final'!$AH$80="Alta",'Mapa final'!$AJ$80="Menor"),CONCATENATE("R2C",'Mapa final'!$R$80),"")</f>
        <v/>
      </c>
      <c r="U31" s="57" t="str">
        <f>IF(AND('Mapa final'!$AH$82="Alta",'Mapa final'!$AJ$82="Menor"),CONCATENATE("R2C",'Mapa final'!$R$82),"")</f>
        <v/>
      </c>
      <c r="V31" s="58" t="str">
        <f>IF(AND('Mapa final'!$AH$83="Alta",'Mapa final'!$AJ$83="Menor"),CONCATENATE("R2C",'Mapa final'!$R$83),"")</f>
        <v/>
      </c>
      <c r="W31" s="44" t="str">
        <f>IF(AND('Mapa final'!$AH$77="Alta",'Mapa final'!$AJ$77="Moderado"),CONCATENATE("R2C",'Mapa final'!$R$77),"")</f>
        <v/>
      </c>
      <c r="X31" s="45" t="str">
        <f>IF(AND('Mapa final'!$AH$78="Alta",'Mapa final'!$AJ$78="Moderado"),CONCATENATE("R2C",'Mapa final'!$R$78),"")</f>
        <v/>
      </c>
      <c r="Y31" s="45" t="str">
        <f>IF(AND('Mapa final'!$AH$79="Alta",'Mapa final'!$AJ$79="Moderado"),CONCATENATE("R2C",'Mapa final'!$R$79),"")</f>
        <v/>
      </c>
      <c r="Z31" s="45" t="str">
        <f>IF(AND('Mapa final'!$AH$80="Alta",'Mapa final'!$AJ$80="Moderado"),CONCATENATE("R2C",'Mapa final'!$R$80),"")</f>
        <v/>
      </c>
      <c r="AA31" s="45" t="str">
        <f>IF(AND('Mapa final'!$AH$82="Alta",'Mapa final'!$AJ$82="Moderado"),CONCATENATE("R2C",'Mapa final'!$R$82),"")</f>
        <v/>
      </c>
      <c r="AB31" s="46" t="str">
        <f>IF(AND('Mapa final'!$AH$83="Alta",'Mapa final'!$AJ$83="Moderado"),CONCATENATE("R2C",'Mapa final'!$R$83),"")</f>
        <v/>
      </c>
      <c r="AC31" s="44" t="str">
        <f>IF(AND('Mapa final'!$AH$77="Alta",'Mapa final'!$AJ$77="Mayor"),CONCATENATE("R2C",'Mapa final'!$R$77),"")</f>
        <v/>
      </c>
      <c r="AD31" s="45" t="str">
        <f>IF(AND('Mapa final'!$AH$78="Alta",'Mapa final'!$AJ$78="Mayor"),CONCATENATE("R2C",'Mapa final'!$R$78),"")</f>
        <v/>
      </c>
      <c r="AE31" s="45" t="str">
        <f>IF(AND('Mapa final'!$AH$79="Alta",'Mapa final'!$AJ$79="Mayor"),CONCATENATE("R2C",'Mapa final'!$R$79),"")</f>
        <v/>
      </c>
      <c r="AF31" s="45" t="str">
        <f>IF(AND('Mapa final'!$AH$80="Alta",'Mapa final'!$AJ$80="Mayor"),CONCATENATE("R2C",'Mapa final'!$R$80),"")</f>
        <v/>
      </c>
      <c r="AG31" s="45" t="str">
        <f>IF(AND('Mapa final'!$AH$82="Alta",'Mapa final'!$AJ$82="Mayor"),CONCATENATE("R2C",'Mapa final'!$R$82),"")</f>
        <v/>
      </c>
      <c r="AH31" s="46" t="str">
        <f>IF(AND('Mapa final'!$AH$83="Alta",'Mapa final'!$AJ$83="Mayor"),CONCATENATE("R2C",'Mapa final'!$R$83),"")</f>
        <v/>
      </c>
      <c r="AI31" s="47" t="str">
        <f>IF(AND('Mapa final'!$AH$77="Alta",'Mapa final'!$AJ$77="Catastrófico"),CONCATENATE("R2C",'Mapa final'!$R$77),"")</f>
        <v/>
      </c>
      <c r="AJ31" s="48" t="str">
        <f>IF(AND('Mapa final'!$AH$78="Alta",'Mapa final'!$AJ$78="Catastrófico"),CONCATENATE("R2C",'Mapa final'!$R$78),"")</f>
        <v/>
      </c>
      <c r="AK31" s="48" t="str">
        <f>IF(AND('Mapa final'!$AH$79="Alta",'Mapa final'!$AJ$79="Catastrófico"),CONCATENATE("R2C",'Mapa final'!$R$79),"")</f>
        <v/>
      </c>
      <c r="AL31" s="48" t="str">
        <f>IF(AND('Mapa final'!$AH$80="Alta",'Mapa final'!$AJ$80="Catastrófico"),CONCATENATE("R2C",'Mapa final'!$R$80),"")</f>
        <v/>
      </c>
      <c r="AM31" s="48" t="str">
        <f>IF(AND('Mapa final'!$AH$82="Alta",'Mapa final'!$AJ$82="Catastrófico"),CONCATENATE("R2C",'Mapa final'!$R$82),"")</f>
        <v/>
      </c>
      <c r="AN31" s="49" t="str">
        <f>IF(AND('Mapa final'!$AH$83="Muy Alta",'Mapa final'!$AJ$83="Catastrófico"),CONCATENATE("R2C",'Mapa final'!$R$83),"")</f>
        <v/>
      </c>
      <c r="AO31" s="68"/>
      <c r="AP31" s="515"/>
      <c r="AQ31" s="516"/>
      <c r="AR31" s="516"/>
      <c r="AS31" s="516"/>
      <c r="AT31" s="516"/>
      <c r="AU31" s="517"/>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11"/>
      <c r="D32" s="411"/>
      <c r="E32" s="412"/>
      <c r="F32" s="500" t="s">
        <v>287</v>
      </c>
      <c r="G32" s="501"/>
      <c r="H32" s="501"/>
      <c r="I32" s="501"/>
      <c r="J32" s="502"/>
      <c r="K32" s="50"/>
      <c r="L32" s="51" t="str">
        <f>IF(AND('Mapa final'!$AH$16="Media",'Mapa final'!$AJ$16="Leve"),CONCATENATE("R2C",'Mapa final'!$R$15),"")</f>
        <v/>
      </c>
      <c r="M32" s="51" t="str">
        <f>IF(AND('Mapa final'!$AH$17="Media",'Mapa final'!$AJ$17="Leve"),CONCATENATE("R2C",'Mapa final'!$R$17),"")</f>
        <v/>
      </c>
      <c r="N32" s="51" t="e">
        <f>IF(AND('Mapa final'!#REF!="Media",'Mapa final'!#REF!="Leve"),CONCATENATE("R2C",'Mapa final'!#REF!),"")</f>
        <v>#REF!</v>
      </c>
      <c r="O32" s="51" t="str">
        <f>IF(AND('Mapa final'!$AH$19="Media",'Mapa final'!$AJ$19="Leve"),CONCATENATE("R2C",'Mapa final'!$R$19),"")</f>
        <v/>
      </c>
      <c r="P32" s="52" t="str">
        <f>IF(AND('Mapa final'!$AH$20="Media",'Mapa final'!$AJ$20="Leve"),CONCATENATE("R2C",'Mapa final'!$R$20),"")</f>
        <v/>
      </c>
      <c r="Q32" s="50"/>
      <c r="R32" s="51" t="str">
        <f>IF(AND('Mapa final'!$AH$16="Media",'Mapa final'!$AJ$16="Menore"),CONCATENATE("R2C",'Mapa final'!$R$15),"")</f>
        <v/>
      </c>
      <c r="S32" s="51" t="str">
        <f>IF(AND('Mapa final'!$AH$17="Media",'Mapa final'!$AJ$17="Menor"),CONCATENATE("R2C",'Mapa final'!$R$17),"")</f>
        <v/>
      </c>
      <c r="T32" s="51" t="e">
        <f>IF(AND('Mapa final'!#REF!="Media",'Mapa final'!#REF!="Menor"),CONCATENATE("R2C",'Mapa final'!#REF!),"")</f>
        <v>#REF!</v>
      </c>
      <c r="U32" s="51" t="str">
        <f>IF(AND('Mapa final'!$AH$19="Media",'Mapa final'!$AJ$19="Menor"),CONCATENATE("R2C",'Mapa final'!$R$19),"")</f>
        <v/>
      </c>
      <c r="V32" s="52" t="str">
        <f>IF(AND('Mapa final'!$AH$20="Media",'Mapa final'!$AJ$20="Menor"),CONCATENATE("R2C",'Mapa final'!$R$20),"")</f>
        <v/>
      </c>
      <c r="W32" s="50"/>
      <c r="X32" s="51" t="str">
        <f>IF(AND('Mapa final'!$AH$16="Media",'Mapa final'!$AJ$16="Moderado"),CONCATENATE("R2C",'Mapa final'!$R$15),"")</f>
        <v/>
      </c>
      <c r="Y32" s="51"/>
      <c r="Z32" s="51" t="e">
        <f>IF(AND('Mapa final'!#REF!="Media",'Mapa final'!#REF!="Moderado"),CONCATENATE("R2C",'Mapa final'!#REF!),"")</f>
        <v>#REF!</v>
      </c>
      <c r="AA32" s="51" t="str">
        <f>IF(AND('Mapa final'!$AH$19="Media",'Mapa final'!$AJ$19="Moderado"),CONCATENATE("R2C",'Mapa final'!$R$19),"")</f>
        <v/>
      </c>
      <c r="AB32" s="52" t="str">
        <f>IF(AND('Mapa final'!$AH$20="Media",'Mapa final'!$AJ$20="Moderado"),CONCATENATE("R2C",'Mapa final'!$R$20),"")</f>
        <v/>
      </c>
      <c r="AC32" s="32"/>
      <c r="AD32" s="33" t="str">
        <f>IF(AND('Mapa final'!$AH$16="Media",'Mapa final'!$AJ$16="Mayor"),CONCATENATE("R2C",'Mapa final'!$R$15),"")</f>
        <v/>
      </c>
      <c r="AE32" s="33" t="str">
        <f>IF(AND('Mapa final'!$AH$17="Media",'Mapa final'!$AJ$17="Mayor"),CONCATENATE("R2C",'Mapa final'!$R$17),"")</f>
        <v/>
      </c>
      <c r="AF32" s="33" t="e">
        <f>IF(AND('Mapa final'!#REF!="Media",'Mapa final'!#REF!="Mayor"),CONCATENATE("R2C",'Mapa final'!#REF!),"")</f>
        <v>#REF!</v>
      </c>
      <c r="AG32" s="33" t="str">
        <f>IF(AND('Mapa final'!$AH$19="Media",'Mapa final'!$AJ$19="Mayor"),CONCATENATE("R2C",'Mapa final'!$R$19),"")</f>
        <v/>
      </c>
      <c r="AH32" s="34" t="str">
        <f>IF(AND('Mapa final'!$AH$20="Media",'Mapa final'!$AJ$20="Mayor"),CONCATENATE("R2C",'Mapa final'!$R$20),"")</f>
        <v/>
      </c>
      <c r="AI32" s="35"/>
      <c r="AJ32" s="36" t="str">
        <f>IF(AND('Mapa final'!$AH$16="Media",'Mapa final'!$AJ$16="Catastrófico"),CONCATENATE("R2C",'Mapa final'!$R$15),"")</f>
        <v/>
      </c>
      <c r="AK32" s="36" t="str">
        <f>IF(AND('Mapa final'!$AH$17="Media",'Mapa final'!$AJ$17="Catastrófico"),CONCATENATE("R2C",'Mapa final'!$R$17),"")</f>
        <v/>
      </c>
      <c r="AL32" s="36" t="e">
        <f>IF(AND('Mapa final'!#REF!="Media",'Mapa final'!#REF!="Catastrófico"),CONCATENATE("R2C",'Mapa final'!#REF!),"")</f>
        <v>#REF!</v>
      </c>
      <c r="AM32" s="36" t="str">
        <f>IF(AND('Mapa final'!$AH$19="Media",'Mapa final'!$AJ$19="Catastrófico"),CONCATENATE("R2C",'Mapa final'!$R$19),"")</f>
        <v/>
      </c>
      <c r="AN32" s="37" t="str">
        <f>IF(AND('Mapa final'!$AH$20="Media",'Mapa final'!$AJ$20="Catastrófico"),CONCATENATE("R2C",'Mapa final'!$R$20),"")</f>
        <v/>
      </c>
      <c r="AO32" s="68"/>
      <c r="AP32" s="540" t="s">
        <v>163</v>
      </c>
      <c r="AQ32" s="541"/>
      <c r="AR32" s="541"/>
      <c r="AS32" s="541"/>
      <c r="AT32" s="541"/>
      <c r="AU32" s="542"/>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11"/>
      <c r="D33" s="411"/>
      <c r="E33" s="412"/>
      <c r="F33" s="518"/>
      <c r="G33" s="504"/>
      <c r="H33" s="504"/>
      <c r="I33" s="504"/>
      <c r="J33" s="505"/>
      <c r="K33" s="53" t="str">
        <f>IF(AND('Mapa final'!$AH$21="Media",'Mapa final'!$AJ$21="Leve"),CONCATENATE("R2C",'Mapa final'!$R$21),"")</f>
        <v/>
      </c>
      <c r="L33" s="54" t="str">
        <f>IF(AND('Mapa final'!$AH$22="Media",'Mapa final'!$AJ$22="Leve"),CONCATENATE("R2C",'Mapa final'!$R$22),"")</f>
        <v/>
      </c>
      <c r="M33" s="54" t="str">
        <f>IF(AND('Mapa final'!$AH$31="Media",'Mapa final'!$AJ$31="Leve"),CONCATENATE("R2C",'Mapa final'!$R$31),"")</f>
        <v/>
      </c>
      <c r="N33" s="54" t="str">
        <f>IF(AND('Mapa final'!$AH$32="Media",'Mapa final'!$AJ$32="Leve"),CONCATENATE("R2C",'Mapa final'!$R$32),"")</f>
        <v/>
      </c>
      <c r="O33" s="54" t="str">
        <f>IF(AND('Mapa final'!$AH$33="Media",'Mapa final'!$AJ$33="Leve"),CONCATENATE("R2C",'Mapa final'!$R$33),"")</f>
        <v/>
      </c>
      <c r="P33" s="55" t="str">
        <f>IF(AND('Mapa final'!$AH$34="Media",'Mapa final'!$AJ$34="Leve"),CONCATENATE("R2C",'Mapa final'!$R$34),"")</f>
        <v/>
      </c>
      <c r="Q33" s="53" t="str">
        <f>IF(AND('Mapa final'!$AH$21="Media",'Mapa final'!$AJ$21="Menor"),CONCATENATE("R2C",'Mapa final'!$R$21),"")</f>
        <v/>
      </c>
      <c r="R33" s="54" t="str">
        <f>IF(AND('Mapa final'!$AH$22="Media",'Mapa final'!$AJ$22="Menor"),CONCATENATE("R2C",'Mapa final'!$R$22),"")</f>
        <v/>
      </c>
      <c r="S33" s="54" t="str">
        <f>IF(AND('Mapa final'!$AH$31="Media",'Mapa final'!$AJ$31="Menor"),CONCATENATE("R2C",'Mapa final'!$R$31),"")</f>
        <v/>
      </c>
      <c r="T33" s="54" t="str">
        <f>IF(AND('Mapa final'!$AH$32="Media",'Mapa final'!$AJ$32="Menor"),CONCATENATE("R2C",'Mapa final'!$R$32),"")</f>
        <v/>
      </c>
      <c r="U33" s="54" t="str">
        <f>IF(AND('Mapa final'!$AH$33="Media",'Mapa final'!$AJ$33="Menor"),CONCATENATE("R2C",'Mapa final'!$R$33),"")</f>
        <v/>
      </c>
      <c r="V33" s="55" t="str">
        <f>IF(AND('Mapa final'!$AH$34="Media",'Mapa final'!$AJ$34="Menor"),CONCATENATE("R2C",'Mapa final'!$R$34),"")</f>
        <v/>
      </c>
      <c r="W33" s="53" t="str">
        <f>IF(AND('Mapa final'!$AH$21="Media",'Mapa final'!$AJ$21="Moderado"),CONCATENATE("R2C",'Mapa final'!$R$21),"")</f>
        <v/>
      </c>
      <c r="X33" s="54" t="str">
        <f>IF(AND('Mapa final'!$AH$22="Media",'Mapa final'!$AJ$22="Moderado"),CONCATENATE("R2C",'Mapa final'!$R$22),"")</f>
        <v/>
      </c>
      <c r="Y33" s="54" t="str">
        <f>IF(AND('Mapa final'!$AH$31="Media",'Mapa final'!$AJ$31="Moderado"),CONCATENATE("R2C",'Mapa final'!$R$31),"")</f>
        <v/>
      </c>
      <c r="Z33" s="54" t="str">
        <f>IF(AND('Mapa final'!$AH$32="Media",'Mapa final'!$AJ$32="Moderado"),CONCATENATE("R2C",'Mapa final'!$R$32),"")</f>
        <v/>
      </c>
      <c r="AA33" s="54" t="str">
        <f>IF(AND('Mapa final'!$AH$33="Media",'Mapa final'!$AJ$33="Moderado"),CONCATENATE("R2C",'Mapa final'!$R$33),"")</f>
        <v/>
      </c>
      <c r="AB33" s="55" t="str">
        <f>IF(AND('Mapa final'!$AH$34="Media",'Mapa final'!$AJ$34="Moderado"),CONCATENATE("R2C",'Mapa final'!$R$34),"")</f>
        <v/>
      </c>
      <c r="AC33" s="38" t="str">
        <f>IF(AND('Mapa final'!$AH$21="Media",'Mapa final'!$AJ$21="Mayor"),CONCATENATE("R2C",'Mapa final'!$R$21),"")</f>
        <v/>
      </c>
      <c r="AD33" s="39" t="str">
        <f>IF(AND('Mapa final'!$AH$22="Muy Alta",'Mapa final'!$AJ$22="Mayor"),CONCATENATE("R2C",'Mapa final'!$R$22),"")</f>
        <v/>
      </c>
      <c r="AE33" s="39" t="str">
        <f>IF(AND('Mapa final'!$AH$31="Media",'Mapa final'!$AJ$31="Mayor"),CONCATENATE("R2C",'Mapa final'!$R$31),"")</f>
        <v/>
      </c>
      <c r="AF33" s="39" t="str">
        <f>IF(AND('Mapa final'!$AH$32="Media",'Mapa final'!$AJ$32="Mayor"),CONCATENATE("R2C",'Mapa final'!$R$32),"")</f>
        <v/>
      </c>
      <c r="AG33" s="39" t="str">
        <f>IF(AND('Mapa final'!$AH$33="Media",'Mapa final'!$AJ$33="Mayor"),CONCATENATE("R2C",'Mapa final'!$R$33),"")</f>
        <v/>
      </c>
      <c r="AH33" s="40" t="str">
        <f>IF(AND('Mapa final'!$AH$34="Media",'Mapa final'!$AJ$34="Mayor"),CONCATENATE("R2C",'Mapa final'!$R$34),"")</f>
        <v/>
      </c>
      <c r="AI33" s="41" t="str">
        <f>IF(AND('Mapa final'!$AH$21="Media",'Mapa final'!$AJ$21="Catastrófico"),CONCATENATE("R2C",'Mapa final'!$R$21),"")</f>
        <v/>
      </c>
      <c r="AJ33" s="42" t="str">
        <f>IF(AND('Mapa final'!$AH$22="Media",'Mapa final'!$AJ$22="Catastrófico"),CONCATENATE("R2C",'Mapa final'!$R$22),"")</f>
        <v/>
      </c>
      <c r="AK33" s="42" t="str">
        <f>IF(AND('Mapa final'!$AH$31="Media",'Mapa final'!$AJ$31="Catastrófico"),CONCATENATE("R2C",'Mapa final'!$R$31),"")</f>
        <v/>
      </c>
      <c r="AL33" s="42" t="str">
        <f>IF(AND('Mapa final'!$AH$32="Media",'Mapa final'!$AJ$32="Catastrófico"),CONCATENATE("R2C",'Mapa final'!$R$32),"")</f>
        <v/>
      </c>
      <c r="AM33" s="42" t="str">
        <f>IF(AND('Mapa final'!$AH$33="Media",'Mapa final'!$AJ$33="Catastrófico"),CONCATENATE("R2C",'Mapa final'!$R$33),"")</f>
        <v/>
      </c>
      <c r="AN33" s="43" t="str">
        <f>IF(AND('Mapa final'!$AH$34="Media",'Mapa final'!$AJ$34="Catastrófico"),CONCATENATE("R2C",'Mapa final'!$R$34),"")</f>
        <v/>
      </c>
      <c r="AO33" s="68"/>
      <c r="AP33" s="543"/>
      <c r="AQ33" s="544"/>
      <c r="AR33" s="544"/>
      <c r="AS33" s="544"/>
      <c r="AT33" s="544"/>
      <c r="AU33" s="545"/>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11"/>
      <c r="D34" s="411"/>
      <c r="E34" s="412"/>
      <c r="F34" s="503"/>
      <c r="G34" s="504"/>
      <c r="H34" s="504"/>
      <c r="I34" s="504"/>
      <c r="J34" s="505"/>
      <c r="K34" s="53" t="str">
        <f>IF(AND('Mapa final'!$AH$35="Media",'Mapa final'!$AJ$35="Leve"),CONCATENATE("R2C",'Mapa final'!$R$35),"")</f>
        <v/>
      </c>
      <c r="L34" s="54" t="str">
        <f>IF(AND('Mapa final'!$AH$36="Media",'Mapa final'!$AJ$36="Leve"),CONCATENATE("R2C",'Mapa final'!$R$36),"")</f>
        <v/>
      </c>
      <c r="M34" s="54" t="str">
        <f>IF(AND('Mapa final'!$AH$37="Media",'Mapa final'!$AJ$37="Leve"),CONCATENATE("R2C",'Mapa final'!$R$37),"")</f>
        <v/>
      </c>
      <c r="N34" s="54" t="str">
        <f>IF(AND('Mapa final'!$AH$38="Media",'Mapa final'!$AJ$38="Leve"),CONCATENATE("R2C",'Mapa final'!$R$38),"")</f>
        <v/>
      </c>
      <c r="O34" s="54" t="str">
        <f>IF(AND('Mapa final'!$AH$39="Media",'Mapa final'!$AJ$39="Leve"),CONCATENATE("R2C",'Mapa final'!$R$39),"")</f>
        <v/>
      </c>
      <c r="P34" s="55" t="str">
        <f>IF(AND('Mapa final'!$AH$40="Media",'Mapa final'!$AJ$40="Leve"),CONCATENATE("R2C",'Mapa final'!$R$40),"")</f>
        <v/>
      </c>
      <c r="Q34" s="53" t="str">
        <f>IF(AND('Mapa final'!$AH$35="Media",'Mapa final'!$AJ$35="Menor"),CONCATENATE("R2C",'Mapa final'!$R$35),"")</f>
        <v/>
      </c>
      <c r="R34" s="54" t="str">
        <f>IF(AND('Mapa final'!$AH$36="Media",'Mapa final'!$AJ$36="Menor"),CONCATENATE("R2C",'Mapa final'!$R$36),"")</f>
        <v/>
      </c>
      <c r="S34" s="54" t="str">
        <f>IF(AND('Mapa final'!$AH$37="Media",'Mapa final'!$AJ$37="Menor"),CONCATENATE("R2C",'Mapa final'!$R$37),"")</f>
        <v/>
      </c>
      <c r="T34" s="54" t="str">
        <f>IF(AND('Mapa final'!$AH$38="Media",'Mapa final'!$AJ$38="Menor"),CONCATENATE("R2C",'Mapa final'!$R$38),"")</f>
        <v/>
      </c>
      <c r="U34" s="54" t="str">
        <f>IF(AND('Mapa final'!$AH$39="Media",'Mapa final'!$AJ$39="Menor"),CONCATENATE("R2C",'Mapa final'!$R$39),"")</f>
        <v/>
      </c>
      <c r="V34" s="55" t="str">
        <f>IF(AND('Mapa final'!$AH$40="Media",'Mapa final'!$AJ$40="Menor"),CONCATENATE("R2C",'Mapa final'!$R$40),"")</f>
        <v/>
      </c>
      <c r="W34" s="53" t="str">
        <f>IF(AND('Mapa final'!$AH$35="Media",'Mapa final'!$AJ$35="Moderado"),CONCATENATE("R2C",'Mapa final'!$R$35),"")</f>
        <v/>
      </c>
      <c r="X34" s="54" t="str">
        <f>IF(AND('Mapa final'!$AH$36="Media",'Mapa final'!$AJ$36="Moderado"),CONCATENATE("R2C",'Mapa final'!$R$36),"")</f>
        <v/>
      </c>
      <c r="Y34" s="54" t="str">
        <f>IF(AND('Mapa final'!$AH$37="Media",'Mapa final'!$AJ$37="Moderado"),CONCATENATE("R2C",'Mapa final'!$R$37),"")</f>
        <v/>
      </c>
      <c r="Z34" s="54" t="str">
        <f>IF(AND('Mapa final'!$AH$38="Media",'Mapa final'!$AJ$38="Moderado"),CONCATENATE("R2C",'Mapa final'!$R$38),"")</f>
        <v/>
      </c>
      <c r="AA34" s="54" t="str">
        <f>IF(AND('Mapa final'!$AH$39="Media",'Mapa final'!$AJ$39="Moderado"),CONCATENATE("R2C",'Mapa final'!$R$39),"")</f>
        <v/>
      </c>
      <c r="AB34" s="55" t="str">
        <f>IF(AND('Mapa final'!$AH$40="Media",'Mapa final'!$AJ$40="Moderado"),CONCATENATE("R2C",'Mapa final'!$R$40),"")</f>
        <v/>
      </c>
      <c r="AC34" s="38" t="str">
        <f>IF(AND('Mapa final'!$AH$35="Media",'Mapa final'!$AJ$35="Mayor"),CONCATENATE("R2C",'Mapa final'!$R$35),"")</f>
        <v/>
      </c>
      <c r="AD34" s="39" t="str">
        <f>IF(AND('Mapa final'!$AH$36="Media",'Mapa final'!$AJ$36="Mayor"),CONCATENATE("R2C",'Mapa final'!$R$36),"")</f>
        <v/>
      </c>
      <c r="AE34" s="39" t="str">
        <f>IF(AND('Mapa final'!$AH$37="Media",'Mapa final'!$AJ$37="Mayor"),CONCATENATE("R2C",'Mapa final'!$R$37),"")</f>
        <v/>
      </c>
      <c r="AF34" s="39" t="str">
        <f>IF(AND('Mapa final'!$AH$38="Media",'Mapa final'!$AJ$38="Mayor"),CONCATENATE("R2C",'Mapa final'!$R$38),"")</f>
        <v/>
      </c>
      <c r="AG34" s="39" t="str">
        <f>IF(AND('Mapa final'!$AH$39="Media",'Mapa final'!$AJ$39="Mayor"),CONCATENATE("R2C",'Mapa final'!$R$39),"")</f>
        <v/>
      </c>
      <c r="AH34" s="40" t="str">
        <f>IF(AND('Mapa final'!$AH$40="Media",'Mapa final'!$AJ$40="Mayor"),CONCATENATE("R2C",'Mapa final'!$R$40),"")</f>
        <v/>
      </c>
      <c r="AI34" s="41" t="str">
        <f>IF(AND('Mapa final'!$AH$35="Media",'Mapa final'!$AJ$35="Catastrófico"),CONCATENATE("R2C",'Mapa final'!$R$35),"")</f>
        <v/>
      </c>
      <c r="AJ34" s="42" t="str">
        <f>IF(AND('Mapa final'!$AH$36="Media",'Mapa final'!$AJ$36="Catastrófico"),CONCATENATE("R2C",'Mapa final'!$R$36),"")</f>
        <v/>
      </c>
      <c r="AK34" s="42" t="str">
        <f>IF(AND('Mapa final'!$AH$37="Media",'Mapa final'!$AJ$37="Catastrófico"),CONCATENATE("R2C",'Mapa final'!$R$37),"")</f>
        <v/>
      </c>
      <c r="AL34" s="42" t="str">
        <f>IF(AND('Mapa final'!$AH$38="Media",'Mapa final'!$AJ$38="Catastrófico"),CONCATENATE("R2C",'Mapa final'!$R$38),"")</f>
        <v/>
      </c>
      <c r="AM34" s="42" t="str">
        <f>IF(AND('Mapa final'!$AH$39="Media",'Mapa final'!$AJ$39="Catastrófico"),CONCATENATE("R2C",'Mapa final'!$R$39),"")</f>
        <v/>
      </c>
      <c r="AN34" s="43" t="str">
        <f>IF(AND('Mapa final'!$AH$40="Media",'Mapa final'!$AJ$40="Catastrófico"),CONCATENATE("R2C",'Mapa final'!$R$40),"")</f>
        <v/>
      </c>
      <c r="AO34" s="68"/>
      <c r="AP34" s="543"/>
      <c r="AQ34" s="544"/>
      <c r="AR34" s="544"/>
      <c r="AS34" s="544"/>
      <c r="AT34" s="544"/>
      <c r="AU34" s="545"/>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11"/>
      <c r="D35" s="411"/>
      <c r="E35" s="412"/>
      <c r="F35" s="503"/>
      <c r="G35" s="504"/>
      <c r="H35" s="504"/>
      <c r="I35" s="504"/>
      <c r="J35" s="505"/>
      <c r="K35" s="53" t="str">
        <f>IF(AND('Mapa final'!$AH$41="Media",'Mapa final'!$AJ$41="Leve"),CONCATENATE("R2C",'Mapa final'!$R$41),"")</f>
        <v/>
      </c>
      <c r="L35" s="54" t="str">
        <f>IF(AND('Mapa final'!$AH$42="Media",'Mapa final'!$AJ$42="Leve"),CONCATENATE("R2C",'Mapa final'!$R$42),"")</f>
        <v/>
      </c>
      <c r="M35" s="54" t="str">
        <f>IF(AND('Mapa final'!$AH$43="Media",'Mapa final'!$AJ$43="Leve"),CONCATENATE("R2C",'Mapa final'!$R$43),"")</f>
        <v/>
      </c>
      <c r="N35" s="54" t="str">
        <f>IF(AND('Mapa final'!$AH$44="Media",'Mapa final'!$AJ$44="Leve"),CONCATENATE("R2C",'Mapa final'!$R$44),"")</f>
        <v/>
      </c>
      <c r="O35" s="54" t="str">
        <f>IF(AND('Mapa final'!$AH$45="Media",'Mapa final'!$AJ$45="Leve"),CONCATENATE("R2C",'Mapa final'!$R$45),"")</f>
        <v/>
      </c>
      <c r="P35" s="55" t="str">
        <f>IF(AND('Mapa final'!$AH$46="Media",'Mapa final'!$AJ$46="Leve"),CONCATENATE("R2C",'Mapa final'!$R$46),"")</f>
        <v/>
      </c>
      <c r="Q35" s="53" t="str">
        <f>IF(AND('Mapa final'!$AH$41="Media",'Mapa final'!$AJ$41="Menor"),CONCATENATE("R2C",'Mapa final'!$R$41),"")</f>
        <v/>
      </c>
      <c r="R35" s="54" t="str">
        <f>IF(AND('Mapa final'!$AH$42="Media",'Mapa final'!$AJ$42="Menor"),CONCATENATE("R2C",'Mapa final'!$R$42),"")</f>
        <v/>
      </c>
      <c r="S35" s="54" t="str">
        <f>IF(AND('Mapa final'!$AH$43="Media",'Mapa final'!$AJ$43="Menor"),CONCATENATE("R2C",'Mapa final'!$R$43),"")</f>
        <v/>
      </c>
      <c r="T35" s="54" t="str">
        <f>IF(AND('Mapa final'!$AH$44="Media",'Mapa final'!$AJ$44="Menor"),CONCATENATE("R2C",'Mapa final'!$R$44),"")</f>
        <v/>
      </c>
      <c r="U35" s="54" t="str">
        <f>IF(AND('Mapa final'!$AH$45="Media",'Mapa final'!$AJ$45="LMenor"),CONCATENATE("R2C",'Mapa final'!$R$45),"")</f>
        <v/>
      </c>
      <c r="V35" s="55" t="str">
        <f>IF(AND('Mapa final'!$AH$46="Media",'Mapa final'!$AJ$46="Menor"),CONCATENATE("R2C",'Mapa final'!$R$46),"")</f>
        <v/>
      </c>
      <c r="W35" s="53" t="str">
        <f>IF(AND('Mapa final'!$AH$41="Media",'Mapa final'!$AJ$41="Moderado"),CONCATENATE("R2C",'Mapa final'!$R$41),"")</f>
        <v/>
      </c>
      <c r="X35" s="54" t="str">
        <f>IF(AND('Mapa final'!$AH$42="Media",'Mapa final'!$AJ$42="Moderado"),CONCATENATE("R2C",'Mapa final'!$R$42),"")</f>
        <v/>
      </c>
      <c r="Y35" s="54" t="str">
        <f>IF(AND('Mapa final'!$AH$43="Media",'Mapa final'!$AJ$43="Moderado"),CONCATENATE("R2C",'Mapa final'!$R$43),"")</f>
        <v/>
      </c>
      <c r="Z35" s="54" t="str">
        <f>IF(AND('Mapa final'!$AH$44="Media",'Mapa final'!$AJ$44="Moderado"),CONCATENATE("R2C",'Mapa final'!$R$44),"")</f>
        <v/>
      </c>
      <c r="AA35" s="54" t="str">
        <f>IF(AND('Mapa final'!$AH$45="Media",'Mapa final'!$AJ$45="Moderado"),CONCATENATE("R2C",'Mapa final'!$R$45),"")</f>
        <v/>
      </c>
      <c r="AB35" s="55" t="str">
        <f>IF(AND('Mapa final'!$AH$46="Media",'Mapa final'!$AJ$46="Moderado"),CONCATENATE("R2C",'Mapa final'!$R$46),"")</f>
        <v/>
      </c>
      <c r="AC35" s="38" t="str">
        <f>IF(AND('Mapa final'!$AH$41="Media",'Mapa final'!$AJ$41="Mayor"),CONCATENATE("R2C",'Mapa final'!$R$41),"")</f>
        <v/>
      </c>
      <c r="AD35" s="39" t="str">
        <f>IF(AND('Mapa final'!$AH$42="Media",'Mapa final'!$AJ$42="Mayor"),CONCATENATE("R2C",'Mapa final'!$R$42),"")</f>
        <v/>
      </c>
      <c r="AE35" s="39" t="str">
        <f>IF(AND('Mapa final'!$AH$43="Media",'Mapa final'!$AJ$43="Mayor"),CONCATENATE("R2C",'Mapa final'!$R$43),"")</f>
        <v/>
      </c>
      <c r="AF35" s="39" t="str">
        <f>IF(AND('Mapa final'!$AH$44="Media",'Mapa final'!$AJ$44="Mayor"),CONCATENATE("R2C",'Mapa final'!$R$44),"")</f>
        <v/>
      </c>
      <c r="AG35" s="39" t="str">
        <f>IF(AND('Mapa final'!$AH$45="Media",'Mapa final'!$AJ$45="Mayor"),CONCATENATE("R2C",'Mapa final'!$R$45),"")</f>
        <v/>
      </c>
      <c r="AH35" s="40" t="str">
        <f>IF(AND('Mapa final'!$AH$46="Media",'Mapa final'!$AJ$46="Mayor"),CONCATENATE("R2C",'Mapa final'!$R$46),"")</f>
        <v/>
      </c>
      <c r="AI35" s="41" t="str">
        <f>IF(AND('Mapa final'!$AH$41="Media",'Mapa final'!$AJ$41="Catastrófico"),CONCATENATE("R2C",'Mapa final'!$R$41),"")</f>
        <v/>
      </c>
      <c r="AJ35" s="42" t="str">
        <f>IF(AND('Mapa final'!$AH$42="Media",'Mapa final'!$AJ$42="Catastrófico"),CONCATENATE("R2C",'Mapa final'!$R$42),"")</f>
        <v/>
      </c>
      <c r="AK35" s="42" t="str">
        <f>IF(AND('Mapa final'!$AH$43="Media",'Mapa final'!$AJ$43="Catastrófico"),CONCATENATE("R2C",'Mapa final'!$R$43),"")</f>
        <v/>
      </c>
      <c r="AL35" s="42" t="str">
        <f>IF(AND('Mapa final'!$AH$44="Media",'Mapa final'!$AJ$44="Catastrófico"),CONCATENATE("R2C",'Mapa final'!$R$44),"")</f>
        <v/>
      </c>
      <c r="AM35" s="42" t="str">
        <f>IF(AND('Mapa final'!$AH$45="Media",'Mapa final'!$AJ$45="LCatastrófico"),CONCATENATE("R2C",'Mapa final'!$R$45),"")</f>
        <v/>
      </c>
      <c r="AN35" s="43" t="str">
        <f>IF(AND('Mapa final'!$AH$46="Media",'Mapa final'!$AJ$46="Catastrófico"),CONCATENATE("R2C",'Mapa final'!$R$46),"")</f>
        <v/>
      </c>
      <c r="AO35" s="68"/>
      <c r="AP35" s="543"/>
      <c r="AQ35" s="544"/>
      <c r="AR35" s="544"/>
      <c r="AS35" s="544"/>
      <c r="AT35" s="544"/>
      <c r="AU35" s="545"/>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11"/>
      <c r="D36" s="411"/>
      <c r="E36" s="412"/>
      <c r="F36" s="503"/>
      <c r="G36" s="504"/>
      <c r="H36" s="504"/>
      <c r="I36" s="504"/>
      <c r="J36" s="505"/>
      <c r="K36" s="53" t="str">
        <f>IF(AND('Mapa final'!$AH$47="Media",'Mapa final'!$AJ$47="Leve"),CONCATENATE("R2C",'Mapa final'!$R$47),"")</f>
        <v/>
      </c>
      <c r="L36" s="54" t="str">
        <f>IF(AND('Mapa final'!$AH$48="Media",'Mapa final'!$AJ$48="Leve"),CONCATENATE("R2C",'Mapa final'!$R$48),"")</f>
        <v/>
      </c>
      <c r="M36" s="54" t="str">
        <f>IF(AND('Mapa final'!$AH$49="Media",'Mapa final'!$AJ$49="Leve"),CONCATENATE("R2C",'Mapa final'!$R$49),"")</f>
        <v/>
      </c>
      <c r="N36" s="54" t="str">
        <f>IF(AND('Mapa final'!$AH$50="Media",'Mapa final'!$AJ$50="Leve"),CONCATENATE("R2C",'Mapa final'!$R$50),"")</f>
        <v/>
      </c>
      <c r="O36" s="54" t="str">
        <f>IF(AND('Mapa final'!$AH$51="Media",'Mapa final'!$AJ$51="Leve"),CONCATENATE("R2C",'Mapa final'!$R$51),"")</f>
        <v/>
      </c>
      <c r="P36" s="55" t="str">
        <f>IF(AND('Mapa final'!$AH$52="Media",'Mapa final'!$AJ$52="Leve"),CONCATENATE("R2C",'Mapa final'!$R$52),"")</f>
        <v/>
      </c>
      <c r="Q36" s="53" t="str">
        <f>IF(AND('Mapa final'!$AH$47="Media",'Mapa final'!$AJ$47="Menor"),CONCATENATE("R2C",'Mapa final'!$R$47),"")</f>
        <v/>
      </c>
      <c r="R36" s="54" t="str">
        <f>IF(AND('Mapa final'!$AH$48="Media",'Mapa final'!$AJ$48="Menor"),CONCATENATE("R2C",'Mapa final'!$R$48),"")</f>
        <v/>
      </c>
      <c r="S36" s="54" t="str">
        <f>IF(AND('Mapa final'!$AH$49="Media",'Mapa final'!$AJ$49="Menor"),CONCATENATE("R2C",'Mapa final'!$R$49),"")</f>
        <v/>
      </c>
      <c r="T36" s="54" t="str">
        <f>IF(AND('Mapa final'!$AH$50="Media",'Mapa final'!$AJ$50="Menor"),CONCATENATE("R2C",'Mapa final'!$R$50),"")</f>
        <v/>
      </c>
      <c r="U36" s="54" t="str">
        <f>IF(AND('Mapa final'!$AH$51="Media",'Mapa final'!$AJ$51="Menor"),CONCATENATE("R2C",'Mapa final'!$R$51),"")</f>
        <v/>
      </c>
      <c r="V36" s="55" t="str">
        <f>IF(AND('Mapa final'!$AH$52="Media",'Mapa final'!$AJ$52="Menor"),CONCATENATE("R2C",'Mapa final'!$R$52),"")</f>
        <v/>
      </c>
      <c r="W36" s="53" t="str">
        <f>IF(AND('Mapa final'!$AH$47="Media",'Mapa final'!$AJ$47="Moderado"),CONCATENATE("R2C",'Mapa final'!$R$47),"")</f>
        <v/>
      </c>
      <c r="X36" s="54" t="str">
        <f>IF(AND('Mapa final'!$AH$48="Media",'Mapa final'!$AJ$48="Moderado"),CONCATENATE("R2C",'Mapa final'!$R$48),"")</f>
        <v/>
      </c>
      <c r="Y36" s="54" t="str">
        <f>IF(AND('Mapa final'!$AH$49="Media",'Mapa final'!$AJ$49="Moderado"),CONCATENATE("R2C",'Mapa final'!$R$49),"")</f>
        <v/>
      </c>
      <c r="Z36" s="54" t="str">
        <f>IF(AND('Mapa final'!$AH$50="Media",'Mapa final'!$AJ$50="Moderado"),CONCATENATE("R2C",'Mapa final'!$R$50),"")</f>
        <v/>
      </c>
      <c r="AA36" s="54" t="str">
        <f>IF(AND('Mapa final'!$AH$51="Media",'Mapa final'!$AJ$51="Moderado"),CONCATENATE("R2C",'Mapa final'!$R$51),"")</f>
        <v/>
      </c>
      <c r="AB36" s="55" t="str">
        <f>IF(AND('Mapa final'!$AH$52="Media",'Mapa final'!$AJ$52="Moderado"),CONCATENATE("R2C",'Mapa final'!$R$52),"")</f>
        <v/>
      </c>
      <c r="AC36" s="38" t="str">
        <f>IF(AND('Mapa final'!$AH$47="Media",'Mapa final'!$AJ$47="Mayor"),CONCATENATE("R2C",'Mapa final'!$R$47),"")</f>
        <v/>
      </c>
      <c r="AD36" s="39" t="str">
        <f>IF(AND('Mapa final'!$AH$48="Media",'Mapa final'!$AJ$48="Mayor"),CONCATENATE("R2C",'Mapa final'!$R$48),"")</f>
        <v/>
      </c>
      <c r="AE36" s="39" t="str">
        <f>IF(AND('Mapa final'!$AH$49="Media",'Mapa final'!$AJ$49="Mayor"),CONCATENATE("R2C",'Mapa final'!$R$49),"")</f>
        <v/>
      </c>
      <c r="AF36" s="39" t="str">
        <f>IF(AND('Mapa final'!$AH$50="Media",'Mapa final'!$AJ$50="Mayor"),CONCATENATE("R2C",'Mapa final'!$R$50),"")</f>
        <v/>
      </c>
      <c r="AG36" s="39" t="str">
        <f>IF(AND('Mapa final'!$AH$51="Media",'Mapa final'!$AJ$51="Mayor"),CONCATENATE("R2C",'Mapa final'!$R$51),"")</f>
        <v/>
      </c>
      <c r="AH36" s="40" t="str">
        <f>IF(AND('Mapa final'!$AH$52="Media",'Mapa final'!$AJ$52="Mayor"),CONCATENATE("R2C",'Mapa final'!$R$52),"")</f>
        <v/>
      </c>
      <c r="AI36" s="41" t="str">
        <f>IF(AND('Mapa final'!$AH$47="Media",'Mapa final'!$AJ$47="Catastrófico"),CONCATENATE("R2C",'Mapa final'!$R$47),"")</f>
        <v/>
      </c>
      <c r="AJ36" s="42" t="str">
        <f>IF(AND('Mapa final'!$AH$48="Media",'Mapa final'!$AJ$48="Catastrófico"),CONCATENATE("R2C",'Mapa final'!$R$48),"")</f>
        <v/>
      </c>
      <c r="AK36" s="42" t="str">
        <f>IF(AND('Mapa final'!$AH$49="Media",'Mapa final'!$AJ$49="Catastrófico"),CONCATENATE("R2C",'Mapa final'!$R$49),"")</f>
        <v/>
      </c>
      <c r="AL36" s="42" t="str">
        <f>IF(AND('Mapa final'!$AH$50="Media",'Mapa final'!$AJ$50="Catastrófico"),CONCATENATE("R2C",'Mapa final'!$R$50),"")</f>
        <v/>
      </c>
      <c r="AM36" s="42" t="str">
        <f>IF(AND('Mapa final'!$AH$51="Media",'Mapa final'!$AJ$51="Catastrófico"),CONCATENATE("R2C",'Mapa final'!$R$51),"")</f>
        <v/>
      </c>
      <c r="AN36" s="43" t="str">
        <f>IF(AND('Mapa final'!$AH$52="Media",'Mapa final'!$AJ$52="Catastrófico"),CONCATENATE("R2C",'Mapa final'!$R$52),"")</f>
        <v/>
      </c>
      <c r="AO36" s="68"/>
      <c r="AP36" s="543"/>
      <c r="AQ36" s="544"/>
      <c r="AR36" s="544"/>
      <c r="AS36" s="544"/>
      <c r="AT36" s="544"/>
      <c r="AU36" s="545"/>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11"/>
      <c r="D37" s="411"/>
      <c r="E37" s="412"/>
      <c r="F37" s="503"/>
      <c r="G37" s="504"/>
      <c r="H37" s="504"/>
      <c r="I37" s="504"/>
      <c r="J37" s="505"/>
      <c r="K37" s="53" t="str">
        <f>IF(AND('Mapa final'!$AH$53="Media",'Mapa final'!$AJ$53="Leve"),CONCATENATE("R2C",'Mapa final'!$R$53),"")</f>
        <v/>
      </c>
      <c r="L37" s="54" t="str">
        <f>IF(AND('Mapa final'!$AH$54="Media",'Mapa final'!$AJ$54="Leve"),CONCATENATE("R2C",'Mapa final'!$R$54),"")</f>
        <v/>
      </c>
      <c r="M37" s="54" t="str">
        <f>IF(AND('Mapa final'!$AH$55="Media",'Mapa final'!$AJ$55="Leve"),CONCATENATE("R2C",'Mapa final'!$R$55),"")</f>
        <v/>
      </c>
      <c r="N37" s="54" t="str">
        <f>IF(AND('Mapa final'!$AH$56="Media",'Mapa final'!$AJ$56="Leve"),CONCATENATE("R2C",'Mapa final'!$R$56),"")</f>
        <v/>
      </c>
      <c r="O37" s="54" t="str">
        <f>IF(AND('Mapa final'!$AH$57="Media",'Mapa final'!$AJ$57="Leve"),CONCATENATE("R2C",'Mapa final'!$R$57),"")</f>
        <v/>
      </c>
      <c r="P37" s="55" t="str">
        <f>IF(AND('Mapa final'!$AH$68="Media",'Mapa final'!$AJ$58="Leve"),CONCATENATE("R2C",'Mapa final'!$R$58),"")</f>
        <v/>
      </c>
      <c r="Q37" s="53" t="str">
        <f>IF(AND('Mapa final'!$AH$53="Media",'Mapa final'!$AJ$53="Menor"),CONCATENATE("R2C",'Mapa final'!$R$53),"")</f>
        <v/>
      </c>
      <c r="R37" s="54" t="str">
        <f>IF(AND('Mapa final'!$AH$54="Media",'Mapa final'!$AJ$54="Menor"),CONCATENATE("R2C",'Mapa final'!$R$54),"")</f>
        <v/>
      </c>
      <c r="S37" s="54" t="str">
        <f>IF(AND('Mapa final'!$AH$55="Media",'Mapa final'!$AJ$55="Menor"),CONCATENATE("R2C",'Mapa final'!$R$55),"")</f>
        <v/>
      </c>
      <c r="T37" s="54" t="str">
        <f>IF(AND('Mapa final'!$AH$56="Media",'Mapa final'!$AJ$56="Menor"),CONCATENATE("R2C",'Mapa final'!$R$56),"")</f>
        <v/>
      </c>
      <c r="U37" s="54" t="str">
        <f>IF(AND('Mapa final'!$AH$57="Media",'Mapa final'!$AJ$57="Menor"),CONCATENATE("R2C",'Mapa final'!$R$57),"")</f>
        <v/>
      </c>
      <c r="V37" s="55" t="str">
        <f>IF(AND('Mapa final'!$AH$68="Media",'Mapa final'!$AJ$58="Menor"),CONCATENATE("R2C",'Mapa final'!$R$58),"")</f>
        <v/>
      </c>
      <c r="W37" s="53" t="str">
        <f>IF(AND('Mapa final'!$AH$53="Media",'Mapa final'!$AJ$53="Moderado"),CONCATENATE("R2C",'Mapa final'!$R$53),"")</f>
        <v/>
      </c>
      <c r="X37" s="54" t="str">
        <f>IF(AND('Mapa final'!$AH$54="Media",'Mapa final'!$AJ$54="Moderado"),CONCATENATE("R2C",'Mapa final'!$R$54),"")</f>
        <v/>
      </c>
      <c r="Y37" s="54" t="str">
        <f>IF(AND('Mapa final'!$AH$55="Media",'Mapa final'!$AJ$55="Moderado"),CONCATENATE("R2C",'Mapa final'!$R$55),"")</f>
        <v/>
      </c>
      <c r="Z37" s="54" t="str">
        <f>IF(AND('Mapa final'!$AH$56="Media",'Mapa final'!$AJ$56="Moderado"),CONCATENATE("R2C",'Mapa final'!$R$56),"")</f>
        <v/>
      </c>
      <c r="AA37" s="54" t="str">
        <f>IF(AND('Mapa final'!$AH$57="Media",'Mapa final'!$AJ$57="Moderado"),CONCATENATE("R2C",'Mapa final'!$R$57),"")</f>
        <v/>
      </c>
      <c r="AB37" s="55" t="str">
        <f>IF(AND('Mapa final'!$AH$68="Media",'Mapa final'!$AJ$58="Moderado"),CONCATENATE("R2C",'Mapa final'!$R$58),"")</f>
        <v/>
      </c>
      <c r="AC37" s="38" t="str">
        <f>IF(AND('Mapa final'!$AH$53="Media",'Mapa final'!$AJ$53="Mayor"),CONCATENATE("R2C",'Mapa final'!$R$53),"")</f>
        <v/>
      </c>
      <c r="AD37" s="39" t="str">
        <f>IF(AND('Mapa final'!$AH$54="Media",'Mapa final'!$AJ$54="Mayor"),CONCATENATE("R2C",'Mapa final'!$R$54),"")</f>
        <v/>
      </c>
      <c r="AE37" s="39" t="str">
        <f>IF(AND('Mapa final'!$AH$55="Media",'Mapa final'!$AJ$55="Mayor"),CONCATENATE("R2C",'Mapa final'!$R$55),"")</f>
        <v/>
      </c>
      <c r="AF37" s="39" t="str">
        <f>IF(AND('Mapa final'!$AH$56="Media",'Mapa final'!$AJ$56="Mayor"),CONCATENATE("R2C",'Mapa final'!$R$56),"")</f>
        <v/>
      </c>
      <c r="AG37" s="39" t="str">
        <f>IF(AND('Mapa final'!$AH$57="Media",'Mapa final'!$AJ$57="Mayor"),CONCATENATE("R2C",'Mapa final'!$R$57),"")</f>
        <v/>
      </c>
      <c r="AH37" s="40" t="str">
        <f>IF(AND('Mapa final'!$AH$68="Media",'Mapa final'!$AJ$58="Mayor"),CONCATENATE("R2C",'Mapa final'!$R$58),"")</f>
        <v/>
      </c>
      <c r="AI37" s="41" t="str">
        <f>IF(AND('Mapa final'!$AH$53="Media",'Mapa final'!$AJ$53="Catastrófico"),CONCATENATE("R2C",'Mapa final'!$R$53),"")</f>
        <v/>
      </c>
      <c r="AJ37" s="42" t="str">
        <f>IF(AND('Mapa final'!$AH$54="Media",'Mapa final'!$AJ$54="Catastrófico"),CONCATENATE("R2C",'Mapa final'!$R$54),"")</f>
        <v/>
      </c>
      <c r="AK37" s="42" t="str">
        <f>IF(AND('Mapa final'!$AH$55="Media",'Mapa final'!$AJ$55="Catastrófico"),CONCATENATE("R2C",'Mapa final'!$R$55),"")</f>
        <v/>
      </c>
      <c r="AL37" s="42" t="str">
        <f>IF(AND('Mapa final'!$AH$56="Media",'Mapa final'!$AJ$56="Catastrófico"),CONCATENATE("R2C",'Mapa final'!$R$56),"")</f>
        <v/>
      </c>
      <c r="AM37" s="42" t="str">
        <f>IF(AND('Mapa final'!$AH$57="Media",'Mapa final'!$AJ$57="Catastrófico"),CONCATENATE("R2C",'Mapa final'!$R$57),"")</f>
        <v/>
      </c>
      <c r="AN37" s="43" t="str">
        <f>IF(AND('Mapa final'!$AH$68="Media",'Mapa final'!$AJ$58="Catastrófico"),CONCATENATE("R2C",'Mapa final'!$R$58),"")</f>
        <v/>
      </c>
      <c r="AO37" s="68"/>
      <c r="AP37" s="543"/>
      <c r="AQ37" s="544"/>
      <c r="AR37" s="544"/>
      <c r="AS37" s="544"/>
      <c r="AT37" s="544"/>
      <c r="AU37" s="545"/>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11"/>
      <c r="D38" s="411"/>
      <c r="E38" s="412"/>
      <c r="F38" s="503"/>
      <c r="G38" s="504"/>
      <c r="H38" s="504"/>
      <c r="I38" s="504"/>
      <c r="J38" s="505"/>
      <c r="K38" s="53" t="str">
        <f>IF(AND('Mapa final'!$AH$59="Media",'Mapa final'!$AJ$59="Leve"),CONCATENATE("R2C",'Mapa final'!$R$59),"")</f>
        <v/>
      </c>
      <c r="L38" s="54" t="str">
        <f>IF(AND('Mapa final'!$AH$60="Media",'Mapa final'!$AJ$60="Leve"),CONCATENATE("R2C",'Mapa final'!$R$60),"")</f>
        <v/>
      </c>
      <c r="M38" s="54" t="str">
        <f>IF(AND('Mapa final'!$AH$61="Media",'Mapa final'!$AJ$61="Leve"),CONCATENATE("R2C",'Mapa final'!$R$61),"")</f>
        <v/>
      </c>
      <c r="N38" s="54" t="str">
        <f>IF(AND('Mapa final'!$AH$62="Media",'Mapa final'!$AJ$62="Leve"),CONCATENATE("R2C",'Mapa final'!$R$62),"")</f>
        <v/>
      </c>
      <c r="O38" s="54" t="str">
        <f>IF(AND('Mapa final'!$AH$63="Media",'Mapa final'!$AJ$63="Leve"),CONCATENATE("R2C",'Mapa final'!$R$63),"")</f>
        <v/>
      </c>
      <c r="P38" s="55" t="str">
        <f>IF(AND('Mapa final'!$AH$64="Media",'Mapa final'!$AJ$64="Leve"),CONCATENATE("R2C",'Mapa final'!$R$64),"")</f>
        <v/>
      </c>
      <c r="Q38" s="53" t="str">
        <f>IF(AND('Mapa final'!$AH$59="Media",'Mapa final'!$AJ$59="Menor"),CONCATENATE("R2C",'Mapa final'!$R$59),"")</f>
        <v/>
      </c>
      <c r="R38" s="54" t="str">
        <f>IF(AND('Mapa final'!$AH$60="Media",'Mapa final'!$AJ$60="Menor"),CONCATENATE("R2C",'Mapa final'!$R$60),"")</f>
        <v/>
      </c>
      <c r="S38" s="54" t="str">
        <f>IF(AND('Mapa final'!$AH$61="Media",'Mapa final'!$AJ$61="Menor"),CONCATENATE("R2C",'Mapa final'!$R$61),"")</f>
        <v/>
      </c>
      <c r="T38" s="54" t="str">
        <f>IF(AND('Mapa final'!$AH$62="Media",'Mapa final'!$AJ$62="Menor"),CONCATENATE("R2C",'Mapa final'!$R$62),"")</f>
        <v/>
      </c>
      <c r="U38" s="54" t="str">
        <f>IF(AND('Mapa final'!$AH$63="Media",'Mapa final'!$AJ$63="Menor"),CONCATENATE("R2C",'Mapa final'!$R$63),"")</f>
        <v/>
      </c>
      <c r="V38" s="55" t="str">
        <f>IF(AND('Mapa final'!$AH$64="Media",'Mapa final'!$AJ$64="Menor"),CONCATENATE("R2C",'Mapa final'!$R$64),"")</f>
        <v/>
      </c>
      <c r="W38" s="53" t="str">
        <f>IF(AND('Mapa final'!$AH$59="Media",'Mapa final'!$AJ$59="Moderado"),CONCATENATE("R2C",'Mapa final'!$R$59),"")</f>
        <v/>
      </c>
      <c r="X38" s="54" t="str">
        <f>IF(AND('Mapa final'!$AH$60="Media",'Mapa final'!$AJ$60="Moderado"),CONCATENATE("R2C",'Mapa final'!$R$60),"")</f>
        <v/>
      </c>
      <c r="Y38" s="54" t="str">
        <f>IF(AND('Mapa final'!$AH$61="Media",'Mapa final'!$AJ$61="Moderado"),CONCATENATE("R2C",'Mapa final'!$R$61),"")</f>
        <v/>
      </c>
      <c r="Z38" s="54" t="str">
        <f>IF(AND('Mapa final'!$AH$62="Media",'Mapa final'!$AJ$62="Moderado"),CONCATENATE("R2C",'Mapa final'!$R$62),"")</f>
        <v/>
      </c>
      <c r="AA38" s="54" t="str">
        <f>IF(AND('Mapa final'!$AH$63="Media",'Mapa final'!$AJ$63="Moderado"),CONCATENATE("R2C",'Mapa final'!$R$63),"")</f>
        <v/>
      </c>
      <c r="AB38" s="55" t="str">
        <f>IF(AND('Mapa final'!$AH$64="Media",'Mapa final'!$AJ$64="Moderado"),CONCATENATE("R2C",'Mapa final'!$R$64),"")</f>
        <v/>
      </c>
      <c r="AC38" s="38" t="str">
        <f>IF(AND('Mapa final'!$AH$59="Media",'Mapa final'!$AJ$59="Mayor"),CONCATENATE("R2C",'Mapa final'!$R$59),"")</f>
        <v/>
      </c>
      <c r="AD38" s="39" t="str">
        <f>IF(AND('Mapa final'!$AH$60="Media",'Mapa final'!$AJ$60="Mayor"),CONCATENATE("R2C",'Mapa final'!$R$60),"")</f>
        <v/>
      </c>
      <c r="AE38" s="39" t="str">
        <f>IF(AND('Mapa final'!$AH$61="Media",'Mapa final'!$AJ$61="Mayor"),CONCATENATE("R2C",'Mapa final'!$R$61),"")</f>
        <v/>
      </c>
      <c r="AF38" s="39" t="str">
        <f>IF(AND('Mapa final'!$AH$62="Media",'Mapa final'!$AJ$62="Mayor"),CONCATENATE("R2C",'Mapa final'!$R$62),"")</f>
        <v/>
      </c>
      <c r="AG38" s="39" t="str">
        <f>IF(AND('Mapa final'!$AH$63="Media",'Mapa final'!$AJ$63="Mayor"),CONCATENATE("R2C",'Mapa final'!$R$63),"")</f>
        <v/>
      </c>
      <c r="AH38" s="40" t="str">
        <f>IF(AND('Mapa final'!$AH$64="Media",'Mapa final'!$AJ$64="Mayor"),CONCATENATE("R2C",'Mapa final'!$R$64),"")</f>
        <v/>
      </c>
      <c r="AI38" s="41" t="str">
        <f>IF(AND('Mapa final'!$AH$59="Media",'Mapa final'!$AJ$59="Catastrófico"),CONCATENATE("R2C",'Mapa final'!$R$59),"")</f>
        <v/>
      </c>
      <c r="AJ38" s="42" t="str">
        <f>IF(AND('Mapa final'!$AH$60="Media",'Mapa final'!$AJ$60="Catastrófico"),CONCATENATE("R2C",'Mapa final'!$R$60),"")</f>
        <v/>
      </c>
      <c r="AK38" s="42" t="str">
        <f>IF(AND('Mapa final'!$AH$61="Media",'Mapa final'!$AJ$61="Catastrófico"),CONCATENATE("R2C",'Mapa final'!$R$61),"")</f>
        <v/>
      </c>
      <c r="AL38" s="42" t="str">
        <f>IF(AND('Mapa final'!$AH$62="Media",'Mapa final'!$AJ$62="Catastrófico"),CONCATENATE("R2C",'Mapa final'!$R$62),"")</f>
        <v/>
      </c>
      <c r="AM38" s="42" t="str">
        <f>IF(AND('Mapa final'!$AH$63="Media",'Mapa final'!$AJ$63="Catastrófico"),CONCATENATE("R2C",'Mapa final'!$R$63),"")</f>
        <v/>
      </c>
      <c r="AN38" s="43" t="str">
        <f>IF(AND('Mapa final'!$AH$64="Media",'Mapa final'!$AJ$64="Catastrófico"),CONCATENATE("R2C",'Mapa final'!$R$64),"")</f>
        <v/>
      </c>
      <c r="AO38" s="68"/>
      <c r="AP38" s="543"/>
      <c r="AQ38" s="544"/>
      <c r="AR38" s="544"/>
      <c r="AS38" s="544"/>
      <c r="AT38" s="544"/>
      <c r="AU38" s="545"/>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11"/>
      <c r="D39" s="411"/>
      <c r="E39" s="412"/>
      <c r="F39" s="503"/>
      <c r="G39" s="504"/>
      <c r="H39" s="504"/>
      <c r="I39" s="504"/>
      <c r="J39" s="505"/>
      <c r="K39" s="53" t="str">
        <f>IF(AND('Mapa final'!$AH$65="Media",'Mapa final'!$AJ$65="Leve"),CONCATENATE("R2C",'Mapa final'!$R$65),"")</f>
        <v/>
      </c>
      <c r="L39" s="54" t="str">
        <f>IF(AND('Mapa final'!$AH$66="Media",'Mapa final'!$AJ$66="Leve"),CONCATENATE("R2C",'Mapa final'!$R$66),"")</f>
        <v/>
      </c>
      <c r="M39" s="54" t="str">
        <f>IF(AND('Mapa final'!$AH$67="Media",'Mapa final'!$AJ$67="Leve"),CONCATENATE("R2C",'Mapa final'!$R$67),"")</f>
        <v/>
      </c>
      <c r="N39" s="54" t="str">
        <f>IF(AND('Mapa final'!$AH$68="Media",'Mapa final'!$AJ$68="Leve"),CONCATENATE("R2C",'Mapa final'!$R$68),"")</f>
        <v/>
      </c>
      <c r="O39" s="54" t="str">
        <f>IF(AND('Mapa final'!$AH$69="Media",'Mapa final'!$AJ$69="Leve"),CONCATENATE("R2C",'Mapa final'!$R$69),"")</f>
        <v/>
      </c>
      <c r="P39" s="55" t="str">
        <f>IF(AND('Mapa final'!$AH$70="Media",'Mapa final'!$AJ$70="Leve"),CONCATENATE("R2C",'Mapa final'!$R$70),"")</f>
        <v/>
      </c>
      <c r="Q39" s="53" t="str">
        <f>IF(AND('Mapa final'!$AH$65="Media",'Mapa final'!$AJ$65="Menor"),CONCATENATE("R2C",'Mapa final'!$R$65),"")</f>
        <v/>
      </c>
      <c r="R39" s="54" t="str">
        <f>IF(AND('Mapa final'!$AH$66="Media",'Mapa final'!$AJ$66="Menor"),CONCATENATE("R2C",'Mapa final'!$R$66),"")</f>
        <v/>
      </c>
      <c r="S39" s="54" t="str">
        <f>IF(AND('Mapa final'!$AH$67="Media",'Mapa final'!$AJ$67="Menor"),CONCATENATE("R2C",'Mapa final'!$R$67),"")</f>
        <v/>
      </c>
      <c r="T39" s="54" t="str">
        <f>IF(AND('Mapa final'!$AH$68="Media",'Mapa final'!$AJ$68="Menor"),CONCATENATE("R2C",'Mapa final'!$R$68),"")</f>
        <v/>
      </c>
      <c r="U39" s="54" t="str">
        <f>IF(AND('Mapa final'!$AH$69="Media",'Mapa final'!$AJ$69="Menor"),CONCATENATE("R2C",'Mapa final'!$R$69),"")</f>
        <v/>
      </c>
      <c r="V39" s="55" t="str">
        <f>IF(AND('Mapa final'!$AH$70="Media",'Mapa final'!$AJ$70="Menor"),CONCATENATE("R2C",'Mapa final'!$R$70),"")</f>
        <v/>
      </c>
      <c r="W39" s="53" t="str">
        <f>IF(AND('Mapa final'!$AH$65="Media",'Mapa final'!$AJ$65="Moderado"),CONCATENATE("R2C",'Mapa final'!$R$65),"")</f>
        <v/>
      </c>
      <c r="X39" s="54" t="str">
        <f>IF(AND('Mapa final'!$AH$66="Media",'Mapa final'!$AJ$66="Moderado"),CONCATENATE("R2C",'Mapa final'!$R$66),"")</f>
        <v/>
      </c>
      <c r="Y39" s="54" t="str">
        <f>IF(AND('Mapa final'!$AH$67="Media",'Mapa final'!$AJ$67="Moderado"),CONCATENATE("R2C",'Mapa final'!$R$67),"")</f>
        <v/>
      </c>
      <c r="Z39" s="54" t="str">
        <f>IF(AND('Mapa final'!$AH$68="Media",'Mapa final'!$AJ$68="Moderado"),CONCATENATE("R2C",'Mapa final'!$R$68),"")</f>
        <v/>
      </c>
      <c r="AA39" s="54" t="str">
        <f>IF(AND('Mapa final'!$AH$69="Media",'Mapa final'!$AJ$69="Moderado"),CONCATENATE("R2C",'Mapa final'!$R$69),"")</f>
        <v/>
      </c>
      <c r="AB39" s="55" t="str">
        <f>IF(AND('Mapa final'!$AH$70="Media",'Mapa final'!$AJ$70="Moderado"),CONCATENATE("R2C",'Mapa final'!$R$70),"")</f>
        <v/>
      </c>
      <c r="AC39" s="38" t="str">
        <f>IF(AND('Mapa final'!$AH$65="Media",'Mapa final'!$AJ$65="Mayor"),CONCATENATE("R2C",'Mapa final'!$R$65),"")</f>
        <v/>
      </c>
      <c r="AD39" s="39" t="str">
        <f>IF(AND('Mapa final'!$AH$66="Media",'Mapa final'!$AJ$66="Mayor"),CONCATENATE("R2C",'Mapa final'!$R$66),"")</f>
        <v/>
      </c>
      <c r="AE39" s="39" t="str">
        <f>IF(AND('Mapa final'!$AH$67="Media",'Mapa final'!$AJ$67="Mayor"),CONCATENATE("R2C",'Mapa final'!$R$67),"")</f>
        <v/>
      </c>
      <c r="AF39" s="39" t="str">
        <f>IF(AND('Mapa final'!$AH$68="Media",'Mapa final'!$AJ$68="Mayor"),CONCATENATE("R2C",'Mapa final'!$R$68),"")</f>
        <v/>
      </c>
      <c r="AG39" s="39" t="str">
        <f>IF(AND('Mapa final'!$AH$69="Media",'Mapa final'!$AJ$69="Mayor"),CONCATENATE("R2C",'Mapa final'!$R$69),"")</f>
        <v/>
      </c>
      <c r="AH39" s="40" t="str">
        <f>IF(AND('Mapa final'!$AH$70="Media",'Mapa final'!$AJ$70="Mayor"),CONCATENATE("R2C",'Mapa final'!$R$70),"")</f>
        <v/>
      </c>
      <c r="AI39" s="41" t="str">
        <f>IF(AND('Mapa final'!$AH$65="Media",'Mapa final'!$AJ$65="Catastrófico"),CONCATENATE("R2C",'Mapa final'!$R$65),"")</f>
        <v/>
      </c>
      <c r="AJ39" s="42" t="str">
        <f>IF(AND('Mapa final'!$AH$66="Media",'Mapa final'!$AJ$66="Catastrófico"),CONCATENATE("R2C",'Mapa final'!$R$66),"")</f>
        <v/>
      </c>
      <c r="AK39" s="42" t="str">
        <f>IF(AND('Mapa final'!$AH$67="Media",'Mapa final'!$AJ$67="Catastrófico"),CONCATENATE("R2C",'Mapa final'!$R$67),"")</f>
        <v/>
      </c>
      <c r="AL39" s="42" t="str">
        <f>IF(AND('Mapa final'!$AH$68="Media",'Mapa final'!$AJ$68="Catastrófico"),CONCATENATE("R2C",'Mapa final'!$R$68),"")</f>
        <v/>
      </c>
      <c r="AM39" s="42" t="str">
        <f>IF(AND('Mapa final'!$AH$69="Media",'Mapa final'!$AJ$69="Catastrófico"),CONCATENATE("R2C",'Mapa final'!$R$69),"")</f>
        <v/>
      </c>
      <c r="AN39" s="43" t="str">
        <f>IF(AND('Mapa final'!$AH$70="Media",'Mapa final'!$AJ$70="Catastrófico"),CONCATENATE("R2C",'Mapa final'!$R$70),"")</f>
        <v/>
      </c>
      <c r="AO39" s="68"/>
      <c r="AP39" s="543"/>
      <c r="AQ39" s="544"/>
      <c r="AR39" s="544"/>
      <c r="AS39" s="544"/>
      <c r="AT39" s="544"/>
      <c r="AU39" s="545"/>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11"/>
      <c r="D40" s="411"/>
      <c r="E40" s="412"/>
      <c r="F40" s="503"/>
      <c r="G40" s="504"/>
      <c r="H40" s="504"/>
      <c r="I40" s="504"/>
      <c r="J40" s="505"/>
      <c r="K40" s="53" t="str">
        <f>IF(AND('Mapa final'!$AH$71="Media",'Mapa final'!$AJ$71="Leve"),CONCATENATE("R2C",'Mapa final'!$R$71),"")</f>
        <v/>
      </c>
      <c r="L40" s="54" t="str">
        <f>IF(AND('Mapa final'!$AH$72="Media",'Mapa final'!$AJ$72="Leve"),CONCATENATE("R2C",'Mapa final'!$R$72),"")</f>
        <v/>
      </c>
      <c r="M40" s="54" t="str">
        <f>IF(AND('Mapa final'!$AH$73="Media",'Mapa final'!$AJ$73="Leve"),CONCATENATE("R2C",'Mapa final'!$R$73),"")</f>
        <v/>
      </c>
      <c r="N40" s="54" t="str">
        <f>IF(AND('Mapa final'!$AH$74="Media",'Mapa final'!$AJ$74="Leve"),CONCATENATE("R2C",'Mapa final'!$R$74),"")</f>
        <v/>
      </c>
      <c r="O40" s="54" t="str">
        <f>IF(AND('Mapa final'!$AH$75="Media",'Mapa final'!$AJ$75="Leve"),CONCATENATE("R2C",'Mapa final'!$R$75),"")</f>
        <v/>
      </c>
      <c r="P40" s="55" t="str">
        <f>IF(AND('Mapa final'!$AH$76="Media",'Mapa final'!$AJ$76="Leve"),CONCATENATE("R2C",'Mapa final'!$R$76),"")</f>
        <v/>
      </c>
      <c r="Q40" s="53" t="str">
        <f>IF(AND('Mapa final'!$AH$71="Media",'Mapa final'!$AJ$71="Menor"),CONCATENATE("R2C",'Mapa final'!$R$71),"")</f>
        <v/>
      </c>
      <c r="R40" s="54" t="str">
        <f>IF(AND('Mapa final'!$AH$72="Media",'Mapa final'!$AJ$72="Menor"),CONCATENATE("R2C",'Mapa final'!$R$72),"")</f>
        <v/>
      </c>
      <c r="S40" s="54" t="str">
        <f>IF(AND('Mapa final'!$AH$73="Media",'Mapa final'!$AJ$73="Menor"),CONCATENATE("R2C",'Mapa final'!$R$73),"")</f>
        <v/>
      </c>
      <c r="T40" s="54" t="str">
        <f>IF(AND('Mapa final'!$AH$74="Media",'Mapa final'!$AJ$74="Menor"),CONCATENATE("R2C",'Mapa final'!$R$74),"")</f>
        <v/>
      </c>
      <c r="U40" s="54" t="str">
        <f>IF(AND('Mapa final'!$AH$75="Media",'Mapa final'!$AJ$75="Menor"),CONCATENATE("R2C",'Mapa final'!$R$75),"")</f>
        <v/>
      </c>
      <c r="V40" s="55" t="str">
        <f>IF(AND('Mapa final'!$AH$76="Media",'Mapa final'!$AJ$76="Menor"),CONCATENATE("R2C",'Mapa final'!$R$76),"")</f>
        <v/>
      </c>
      <c r="W40" s="53" t="str">
        <f>IF(AND('Mapa final'!$AH$71="Media",'Mapa final'!$AJ$71="Moderado"),CONCATENATE("R2C",'Mapa final'!$R$71),"")</f>
        <v/>
      </c>
      <c r="X40" s="54" t="str">
        <f>IF(AND('Mapa final'!$AH$72="Media",'Mapa final'!$AJ$72="Moderado"),CONCATENATE("R2C",'Mapa final'!$R$72),"")</f>
        <v/>
      </c>
      <c r="Y40" s="54" t="str">
        <f>IF(AND('Mapa final'!$AH$73="Media",'Mapa final'!$AJ$73="Moderado"),CONCATENATE("R2C",'Mapa final'!$R$73),"")</f>
        <v/>
      </c>
      <c r="Z40" s="54" t="str">
        <f>IF(AND('Mapa final'!$AH$74="Media",'Mapa final'!$AJ$74="Moderado"),CONCATENATE("R2C",'Mapa final'!$R$74),"")</f>
        <v/>
      </c>
      <c r="AA40" s="54" t="str">
        <f>IF(AND('Mapa final'!$AH$75="Media",'Mapa final'!$AJ$75="Moderado"),CONCATENATE("R2C",'Mapa final'!$R$75),"")</f>
        <v/>
      </c>
      <c r="AB40" s="55" t="str">
        <f>IF(AND('Mapa final'!$AH$76="Media",'Mapa final'!$AJ$76="Moderado"),CONCATENATE("R2C",'Mapa final'!$R$76),"")</f>
        <v/>
      </c>
      <c r="AC40" s="38" t="str">
        <f>IF(AND('Mapa final'!$AH$71="Media",'Mapa final'!$AJ$71="Mayor"),CONCATENATE("R2C",'Mapa final'!$R$71),"")</f>
        <v/>
      </c>
      <c r="AD40" s="39" t="str">
        <f>IF(AND('Mapa final'!$AH$72="Media",'Mapa final'!$AJ$72="Mayor"),CONCATENATE("R2C",'Mapa final'!$R$72),"")</f>
        <v/>
      </c>
      <c r="AE40" s="39" t="str">
        <f>IF(AND('Mapa final'!$AH$73="Media",'Mapa final'!$AJ$73="Mayor"),CONCATENATE("R2C",'Mapa final'!$R$73),"")</f>
        <v/>
      </c>
      <c r="AF40" s="39" t="str">
        <f>IF(AND('Mapa final'!$AH$74="Media",'Mapa final'!$AJ$74="Mayor"),CONCATENATE("R2C",'Mapa final'!$R$74),"")</f>
        <v/>
      </c>
      <c r="AG40" s="39" t="str">
        <f>IF(AND('Mapa final'!$AH$75="Media",'Mapa final'!$AJ$75="Mayor"),CONCATENATE("R2C",'Mapa final'!$R$75),"")</f>
        <v/>
      </c>
      <c r="AH40" s="40" t="str">
        <f>IF(AND('Mapa final'!$AH$76="Media",'Mapa final'!$AJ$76="Mayor"),CONCATENATE("R2C",'Mapa final'!$R$76),"")</f>
        <v/>
      </c>
      <c r="AI40" s="41" t="str">
        <f>IF(AND('Mapa final'!$AH$71="Media",'Mapa final'!$AJ$71="Catastrófico"),CONCATENATE("R2C",'Mapa final'!$R$71),"")</f>
        <v/>
      </c>
      <c r="AJ40" s="42" t="str">
        <f>IF(AND('Mapa final'!$AH$72="Media",'Mapa final'!$AJ$72="Catastrófico"),CONCATENATE("R2C",'Mapa final'!$R$72),"")</f>
        <v/>
      </c>
      <c r="AK40" s="42" t="str">
        <f>IF(AND('Mapa final'!$AH$73="Media",'Mapa final'!$AJ$73="Catastrófico"),CONCATENATE("R2C",'Mapa final'!$R$73),"")</f>
        <v/>
      </c>
      <c r="AL40" s="42" t="str">
        <f>IF(AND('Mapa final'!$AH$74="Media",'Mapa final'!$AJ$74="Catastrófico"),CONCATENATE("R2C",'Mapa final'!$R$74),"")</f>
        <v/>
      </c>
      <c r="AM40" s="42" t="str">
        <f>IF(AND('Mapa final'!$AH$75="Media",'Mapa final'!$AJ$75="Catastrófico"),CONCATENATE("R2C",'Mapa final'!$R$75),"")</f>
        <v/>
      </c>
      <c r="AN40" s="43" t="str">
        <f>IF(AND('Mapa final'!$AH$76="Media",'Mapa final'!$AJ$76="Catastrófico"),CONCATENATE("R2C",'Mapa final'!$R$76),"")</f>
        <v/>
      </c>
      <c r="AO40" s="68"/>
      <c r="AP40" s="543"/>
      <c r="AQ40" s="544"/>
      <c r="AR40" s="544"/>
      <c r="AS40" s="544"/>
      <c r="AT40" s="544"/>
      <c r="AU40" s="545"/>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11"/>
      <c r="D41" s="411"/>
      <c r="E41" s="412"/>
      <c r="F41" s="506"/>
      <c r="G41" s="507"/>
      <c r="H41" s="507"/>
      <c r="I41" s="507"/>
      <c r="J41" s="508"/>
      <c r="K41" s="53" t="str">
        <f>IF(AND('Mapa final'!$AH$77="Media",'Mapa final'!$AJ$77="Leve"),CONCATENATE("R2C",'Mapa final'!$R$77),"")</f>
        <v/>
      </c>
      <c r="L41" s="54" t="str">
        <f>IF(AND('Mapa final'!$AH$78="Media",'Mapa final'!$AJ$78="Leve"),CONCATENATE("R2C",'Mapa final'!$R$78),"")</f>
        <v/>
      </c>
      <c r="M41" s="54" t="str">
        <f>IF(AND('Mapa final'!$AH$79="Media",'Mapa final'!$AJ$79="Leve"),CONCATENATE("R2C",'Mapa final'!$R$79),"")</f>
        <v/>
      </c>
      <c r="N41" s="54" t="str">
        <f>IF(AND('Mapa final'!$AH$80="Media",'Mapa final'!$AJ$80="Leve"),CONCATENATE("R2C",'Mapa final'!$R$80),"")</f>
        <v/>
      </c>
      <c r="O41" s="54" t="str">
        <f>IF(AND('Mapa final'!$AH$82="Media",'Mapa final'!$AJ$82="Leve"),CONCATENATE("R2C",'Mapa final'!$R$82),"")</f>
        <v/>
      </c>
      <c r="P41" s="55" t="str">
        <f>IF(AND('Mapa final'!$AH$83="Media",'Mapa final'!$AJ$83="Leve"),CONCATENATE("R2C",'Mapa final'!$R$83),"")</f>
        <v/>
      </c>
      <c r="Q41" s="53" t="str">
        <f>IF(AND('Mapa final'!$AH$77="Media",'Mapa final'!$AJ$77="Menor"),CONCATENATE("R2C",'Mapa final'!$R$77),"")</f>
        <v/>
      </c>
      <c r="R41" s="54" t="str">
        <f>IF(AND('Mapa final'!$AH$78="Media",'Mapa final'!$AJ$78="Menor"),CONCATENATE("R2C",'Mapa final'!$R$78),"")</f>
        <v/>
      </c>
      <c r="S41" s="54" t="str">
        <f>IF(AND('Mapa final'!$AH$79="Media",'Mapa final'!$AJ$79="Menor"),CONCATENATE("R2C",'Mapa final'!$R$79),"")</f>
        <v/>
      </c>
      <c r="T41" s="54" t="str">
        <f>IF(AND('Mapa final'!$AH$80="Media",'Mapa final'!$AJ$80="Menor"),CONCATENATE("R2C",'Mapa final'!$R$80),"")</f>
        <v/>
      </c>
      <c r="U41" s="54" t="str">
        <f>IF(AND('Mapa final'!$AH$82="Media",'Mapa final'!$AJ$82="Menor"),CONCATENATE("R2C",'Mapa final'!$R$82),"")</f>
        <v/>
      </c>
      <c r="V41" s="55" t="str">
        <f>IF(AND('Mapa final'!$AH$83="Media",'Mapa final'!$AJ$83="Menor"),CONCATENATE("R2C",'Mapa final'!$R$83),"")</f>
        <v/>
      </c>
      <c r="W41" s="53" t="str">
        <f>IF(AND('Mapa final'!$AH$77="Media",'Mapa final'!$AJ$77="Moderado"),CONCATENATE("R2C",'Mapa final'!$R$77),"")</f>
        <v/>
      </c>
      <c r="X41" s="54" t="str">
        <f>IF(AND('Mapa final'!$AH$78="Media",'Mapa final'!$AJ$78="Moderado"),CONCATENATE("R2C",'Mapa final'!$R$78),"")</f>
        <v/>
      </c>
      <c r="Y41" s="54" t="str">
        <f>IF(AND('Mapa final'!$AH$79="Media",'Mapa final'!$AJ$79="Moderado"),CONCATENATE("R2C",'Mapa final'!$R$79),"")</f>
        <v/>
      </c>
      <c r="Z41" s="54" t="str">
        <f>IF(AND('Mapa final'!$AH$80="Media",'Mapa final'!$AJ$80="Moderado"),CONCATENATE("R2C",'Mapa final'!$R$80),"")</f>
        <v/>
      </c>
      <c r="AA41" s="54" t="str">
        <f>IF(AND('Mapa final'!$AH$82="Media",'Mapa final'!$AJ$82="Moderado"),CONCATENATE("R2C",'Mapa final'!$R$82),"")</f>
        <v/>
      </c>
      <c r="AB41" s="55" t="str">
        <f>IF(AND('Mapa final'!$AH$83="Media",'Mapa final'!$AJ$83="Moderado"),CONCATENATE("R2C",'Mapa final'!$R$83),"")</f>
        <v/>
      </c>
      <c r="AC41" s="44" t="str">
        <f>IF(AND('Mapa final'!$AH$77="Media",'Mapa final'!$AJ$77="Mayor"),CONCATENATE("R2C",'Mapa final'!$R$77),"")</f>
        <v/>
      </c>
      <c r="AD41" s="45" t="str">
        <f>IF(AND('Mapa final'!$AH$78="Media",'Mapa final'!$AJ$78="Mayor"),CONCATENATE("R2C",'Mapa final'!$R$78),"")</f>
        <v/>
      </c>
      <c r="AE41" s="45" t="str">
        <f>IF(AND('Mapa final'!$AH$79="Media",'Mapa final'!$AJ$79="Mayor"),CONCATENATE("R2C",'Mapa final'!$R$79),"")</f>
        <v/>
      </c>
      <c r="AF41" s="45" t="str">
        <f>IF(AND('Mapa final'!$AH$80="Media",'Mapa final'!$AJ$80="Mayor"),CONCATENATE("R2C",'Mapa final'!$R$80),"")</f>
        <v/>
      </c>
      <c r="AG41" s="45" t="str">
        <f>IF(AND('Mapa final'!$AH$82="Media",'Mapa final'!$AJ$82="Mayor"),CONCATENATE("R2C",'Mapa final'!$R$82),"")</f>
        <v/>
      </c>
      <c r="AH41" s="46" t="str">
        <f>IF(AND('Mapa final'!$AH$83="Media",'Mapa final'!$AJ$83="Mayor"),CONCATENATE("R2C",'Mapa final'!$R$83),"")</f>
        <v/>
      </c>
      <c r="AI41" s="47" t="str">
        <f>IF(AND('Mapa final'!$AH$77="Media",'Mapa final'!$AJ$77="Catastrófico"),CONCATENATE("R2C",'Mapa final'!$R$77),"")</f>
        <v/>
      </c>
      <c r="AJ41" s="48" t="str">
        <f>IF(AND('Mapa final'!$AH$78="Media",'Mapa final'!$AJ$78="Catastrófico"),CONCATENATE("R2C",'Mapa final'!$R$78),"")</f>
        <v/>
      </c>
      <c r="AK41" s="48" t="str">
        <f>IF(AND('Mapa final'!$AH$79="Media",'Mapa final'!$AJ$79="Catastrófico"),CONCATENATE("R2C",'Mapa final'!$R$79),"")</f>
        <v/>
      </c>
      <c r="AL41" s="48" t="str">
        <f>IF(AND('Mapa final'!$AH$80="Media",'Mapa final'!$AJ$80="Catastrófico"),CONCATENATE("R2C",'Mapa final'!$R$80),"")</f>
        <v/>
      </c>
      <c r="AM41" s="48" t="str">
        <f>IF(AND('Mapa final'!$AH$82="Media",'Mapa final'!$AJ$82="Catastrófico"),CONCATENATE("R2C",'Mapa final'!$R$82),"")</f>
        <v/>
      </c>
      <c r="AN41" s="49" t="str">
        <f>IF(AND('Mapa final'!$AH$83="Muy Alta",'Mapa final'!$AJ$83="Catastrófico"),CONCATENATE("R2C",'Mapa final'!$R$83),"")</f>
        <v/>
      </c>
      <c r="AO41" s="68"/>
      <c r="AP41" s="546"/>
      <c r="AQ41" s="547"/>
      <c r="AR41" s="547"/>
      <c r="AS41" s="547"/>
      <c r="AT41" s="547"/>
      <c r="AU41" s="54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11"/>
      <c r="D42" s="411"/>
      <c r="E42" s="412"/>
      <c r="F42" s="500" t="s">
        <v>288</v>
      </c>
      <c r="G42" s="501"/>
      <c r="H42" s="501"/>
      <c r="I42" s="501"/>
      <c r="J42" s="501"/>
      <c r="K42" s="59"/>
      <c r="L42" s="60" t="str">
        <f>IF(AND('Mapa final'!$AH$16="Baja",'Mapa final'!$AJ$16="Leve"),CONCATENATE("R2C",'Mapa final'!$R$15),"")</f>
        <v/>
      </c>
      <c r="M42" s="60" t="str">
        <f>IF(AND('Mapa final'!$AH$17="Baja",'Mapa final'!$AJ$17="Leve"),CONCATENATE("R2C",'Mapa final'!$R$17),"")</f>
        <v>R2C     Afectación menor a 10 SMLMV .</v>
      </c>
      <c r="N42" s="60" t="e">
        <f>IF(AND('Mapa final'!#REF!="Baja",'Mapa final'!#REF!="Leve"),CONCATENATE("R2C",'Mapa final'!#REF!),"")</f>
        <v>#REF!</v>
      </c>
      <c r="O42" s="60" t="str">
        <f>IF(AND('Mapa final'!$AH$19="Baja",'Mapa final'!$AJ$19="Leve"),CONCATENATE("R2C",'Mapa final'!$R$19),"")</f>
        <v/>
      </c>
      <c r="P42" s="61" t="str">
        <f>IF(AND('Mapa final'!$AH$20="Baja",'Mapa final'!$AJ$20="Leve"),CONCATENATE("R2C",'Mapa final'!$R$20),"")</f>
        <v/>
      </c>
      <c r="Q42" s="50"/>
      <c r="R42" s="51" t="str">
        <f>IF(AND('Mapa final'!$AH$16="Baja",'Mapa final'!$AJ$16="Menore"),CONCATENATE("R2C",'Mapa final'!$R$15),"")</f>
        <v/>
      </c>
      <c r="S42" s="51" t="str">
        <f>IF(AND('Mapa final'!$AH$17="Baja",'Mapa final'!$AJ$17="Menor"),CONCATENATE("R2C",'Mapa final'!$R$17),"")</f>
        <v/>
      </c>
      <c r="T42" s="51" t="e">
        <f>IF(AND('Mapa final'!#REF!="Baja",'Mapa final'!#REF!="Menor"),CONCATENATE("R2C",'Mapa final'!#REF!),"")</f>
        <v>#REF!</v>
      </c>
      <c r="U42" s="51" t="str">
        <f>IF(AND('Mapa final'!$AH$19="Baja",'Mapa final'!$AJ$19="Menor"),CONCATENATE("R2C",'Mapa final'!$R$19),"")</f>
        <v/>
      </c>
      <c r="V42" s="52" t="str">
        <f>IF(AND('Mapa final'!$AH$20="Baja",'Mapa final'!$AJ$20="Menor"),CONCATENATE("R2C",'Mapa final'!$R$20),"")</f>
        <v/>
      </c>
      <c r="W42" s="50"/>
      <c r="X42" s="51" t="str">
        <f>IF(AND('Mapa final'!$AH$16="Baja",'Mapa final'!$AJ$16="Moderado"),CONCATENATE("R2C",'Mapa final'!$R$15),"")</f>
        <v/>
      </c>
      <c r="Y42" s="51"/>
      <c r="Z42" s="51" t="e">
        <f>IF(AND('Mapa final'!#REF!="Baja",'Mapa final'!#REF!="Moderado"),CONCATENATE("R2C",'Mapa final'!#REF!),"")</f>
        <v>#REF!</v>
      </c>
      <c r="AA42" s="51" t="str">
        <f>IF(AND('Mapa final'!$AH$19="Baja",'Mapa final'!$AJ$19="Moderado"),CONCATENATE("R2C",'Mapa final'!$R$19),"")</f>
        <v/>
      </c>
      <c r="AB42" s="52" t="str">
        <f>IF(AND('Mapa final'!$AH$20="Baja",'Mapa final'!$AJ$20="Moderado"),CONCATENATE("R2C",'Mapa final'!$R$20),"")</f>
        <v/>
      </c>
      <c r="AC42" s="32"/>
      <c r="AD42" s="33" t="str">
        <f>IF(AND('Mapa final'!$AH$16="Baja",'Mapa final'!$AJ$16="Mayor"),CONCATENATE("R2C",'Mapa final'!$R$15),"")</f>
        <v/>
      </c>
      <c r="AE42" s="33" t="str">
        <f>IF(AND('Mapa final'!$AH$17="Baja",'Mapa final'!$AJ$17="Mayor"),CONCATENATE("R2C",'Mapa final'!$R$17),"")</f>
        <v/>
      </c>
      <c r="AF42" s="33" t="e">
        <f>IF(AND('Mapa final'!#REF!="Baja",'Mapa final'!#REF!="Mayor"),CONCATENATE("R2C",'Mapa final'!#REF!),"")</f>
        <v>#REF!</v>
      </c>
      <c r="AG42" s="33" t="str">
        <f>IF(AND('Mapa final'!$AH$19="Baja",'Mapa final'!$AJ$19="Mayor"),CONCATENATE("R2C",'Mapa final'!$R$19),"")</f>
        <v/>
      </c>
      <c r="AH42" s="34" t="str">
        <f>IF(AND('Mapa final'!$AH$20="Baja",'Mapa final'!$AJ$20="Mayor"),CONCATENATE("R2C",'Mapa final'!$R$20),"")</f>
        <v/>
      </c>
      <c r="AI42" s="35"/>
      <c r="AJ42" s="36" t="str">
        <f>IF(AND('Mapa final'!$AH$16="Baja",'Mapa final'!$AJ$16="Catastrófico"),CONCATENATE("R2C",'Mapa final'!$R$15),"")</f>
        <v/>
      </c>
      <c r="AK42" s="36" t="str">
        <f>IF(AND('Mapa final'!$AH$17="Baja",'Mapa final'!$AJ$17="Catastrófico"),CONCATENATE("R2C",'Mapa final'!$R$17),"")</f>
        <v/>
      </c>
      <c r="AL42" s="36" t="e">
        <f>IF(AND('Mapa final'!#REF!="Baja",'Mapa final'!#REF!="Catastrófico"),CONCATENATE("R2C",'Mapa final'!#REF!),"")</f>
        <v>#REF!</v>
      </c>
      <c r="AM42" s="36" t="str">
        <f>IF(AND('Mapa final'!$AH$19="Baja",'Mapa final'!$AJ$19="Catastrófico"),CONCATENATE("R2C",'Mapa final'!$R$19),"")</f>
        <v/>
      </c>
      <c r="AN42" s="37" t="str">
        <f>IF(AND('Mapa final'!$AH$20="Baja",'Mapa final'!$AJ$20="Catastrófico"),CONCATENATE("R2C",'Mapa final'!$R$20),"")</f>
        <v/>
      </c>
      <c r="AO42" s="68"/>
      <c r="AP42" s="531" t="s">
        <v>289</v>
      </c>
      <c r="AQ42" s="532"/>
      <c r="AR42" s="532"/>
      <c r="AS42" s="532"/>
      <c r="AT42" s="532"/>
      <c r="AU42" s="533"/>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11"/>
      <c r="D43" s="411"/>
      <c r="E43" s="412"/>
      <c r="F43" s="518"/>
      <c r="G43" s="504"/>
      <c r="H43" s="504"/>
      <c r="I43" s="504"/>
      <c r="J43" s="504"/>
      <c r="K43" s="62" t="str">
        <f>IF(AND('Mapa final'!$AH$21="Baja",'Mapa final'!$AJ$21="Leve"),CONCATENATE("R2C",'Mapa final'!$R$21),"")</f>
        <v/>
      </c>
      <c r="L43" s="63" t="str">
        <f>IF(AND('Mapa final'!$AH$22="Baja",'Mapa final'!$AJ$22="Leve"),CONCATENATE("R2C",'Mapa final'!$R$22),"")</f>
        <v/>
      </c>
      <c r="M43" s="63" t="str">
        <f>IF(AND('Mapa final'!$AH$31="Baja",'Mapa final'!$AJ$31="Leve"),CONCATENATE("R2C",'Mapa final'!$R$31),"")</f>
        <v/>
      </c>
      <c r="N43" s="63" t="str">
        <f>IF(AND('Mapa final'!$AH$32="Baja",'Mapa final'!$AJ$32="Leve"),CONCATENATE("R2C",'Mapa final'!$R$32),"")</f>
        <v/>
      </c>
      <c r="O43" s="63" t="str">
        <f>IF(AND('Mapa final'!$AH$33="Baja",'Mapa final'!$AJ$33="Leve"),CONCATENATE("R2C",'Mapa final'!$R$33),"")</f>
        <v/>
      </c>
      <c r="P43" s="64" t="str">
        <f>IF(AND('Mapa final'!$AH$34="Baja",'Mapa final'!$AJ$34="Leve"),CONCATENATE("R2C",'Mapa final'!$R$34),"")</f>
        <v/>
      </c>
      <c r="Q43" s="53" t="str">
        <f>IF(AND('Mapa final'!$AH$21="Baja",'Mapa final'!$AJ$21="Menor"),CONCATENATE("R2C",'Mapa final'!$R$21),"")</f>
        <v/>
      </c>
      <c r="R43" s="54" t="str">
        <f>IF(AND('Mapa final'!$AH$22="Baja",'Mapa final'!$AJ$22="Menor"),CONCATENATE("R2C",'Mapa final'!$R$22),"")</f>
        <v/>
      </c>
      <c r="S43" s="54" t="str">
        <f>IF(AND('Mapa final'!$AH$31="Baja",'Mapa final'!$AJ$31="Menor"),CONCATENATE("R2C",'Mapa final'!$R$31),"")</f>
        <v/>
      </c>
      <c r="T43" s="54" t="str">
        <f>IF(AND('Mapa final'!$AH$32="Baja",'Mapa final'!$AJ$32="Menor"),CONCATENATE("R2C",'Mapa final'!$R$32),"")</f>
        <v/>
      </c>
      <c r="U43" s="54" t="str">
        <f>IF(AND('Mapa final'!$AH$33="Baja",'Mapa final'!$AJ$33="Menor"),CONCATENATE("R2C",'Mapa final'!$R$33),"")</f>
        <v/>
      </c>
      <c r="V43" s="55" t="str">
        <f>IF(AND('Mapa final'!$AH$34="Baja",'Mapa final'!$AJ$34="Menor"),CONCATENATE("R2C",'Mapa final'!$R$34),"")</f>
        <v/>
      </c>
      <c r="W43" s="53" t="str">
        <f>IF(AND('Mapa final'!$AH$21="Baja",'Mapa final'!$AJ$21="Moderado"),CONCATENATE("R2C",'Mapa final'!$R$21),"")</f>
        <v/>
      </c>
      <c r="X43" s="54" t="str">
        <f>IF(AND('Mapa final'!$AH$22="Baja",'Mapa final'!$AJ$22="Moderado"),CONCATENATE("R2C",'Mapa final'!$R$22),"")</f>
        <v/>
      </c>
      <c r="Y43" s="54" t="str">
        <f>IF(AND('Mapa final'!$AH$31="Baja",'Mapa final'!$AJ$31="Moderado"),CONCATENATE("R2C",'Mapa final'!$R$31),"")</f>
        <v/>
      </c>
      <c r="Z43" s="54" t="str">
        <f>IF(AND('Mapa final'!$AH$32="Baja",'Mapa final'!$AJ$32="Moderado"),CONCATENATE("R2C",'Mapa final'!$R$32),"")</f>
        <v/>
      </c>
      <c r="AA43" s="54" t="str">
        <f>IF(AND('Mapa final'!$AH$33="Baja",'Mapa final'!$AJ$33="Moderado"),CONCATENATE("R2C",'Mapa final'!$R$33),"")</f>
        <v/>
      </c>
      <c r="AB43" s="55" t="str">
        <f>IF(AND('Mapa final'!$AH$34="Baja",'Mapa final'!$AJ$34="Moderado"),CONCATENATE("R2C",'Mapa final'!$R$34),"")</f>
        <v/>
      </c>
      <c r="AC43" s="38" t="str">
        <f>IF(AND('Mapa final'!$AH$21="Baja",'Mapa final'!$AJ$21="Mayor"),CONCATENATE("R2C",'Mapa final'!$R$21),"")</f>
        <v/>
      </c>
      <c r="AD43" s="39" t="str">
        <f>IF(AND('Mapa final'!$AH$22="Baja",'Mapa final'!$AJ$22="Mayor"),CONCATENATE("R2C",'Mapa final'!$R$22),"")</f>
        <v/>
      </c>
      <c r="AE43" s="39" t="str">
        <f>IF(AND('Mapa final'!$AH$31="Baja",'Mapa final'!$AJ$31="Mayor"),CONCATENATE("R2C",'Mapa final'!$R$31),"")</f>
        <v/>
      </c>
      <c r="AF43" s="39" t="str">
        <f>IF(AND('Mapa final'!$AH$32="Baja",'Mapa final'!$AJ$32="Mayor"),CONCATENATE("R2C",'Mapa final'!$R$32),"")</f>
        <v/>
      </c>
      <c r="AG43" s="39" t="str">
        <f>IF(AND('Mapa final'!$AH$33="Baja",'Mapa final'!$AJ$33="Mayor"),CONCATENATE("R2C",'Mapa final'!$R$33),"")</f>
        <v/>
      </c>
      <c r="AH43" s="40" t="str">
        <f>IF(AND('Mapa final'!$AH$34="Baja",'Mapa final'!$AJ$34="Mayor"),CONCATENATE("R2C",'Mapa final'!$R$34),"")</f>
        <v/>
      </c>
      <c r="AI43" s="41" t="str">
        <f>IF(AND('Mapa final'!$AH$21="Baja",'Mapa final'!$AJ$21="Catastrófico"),CONCATENATE("R2C",'Mapa final'!$R$21),"")</f>
        <v/>
      </c>
      <c r="AJ43" s="42" t="str">
        <f>IF(AND('Mapa final'!$AH$22="Baja",'Mapa final'!$AJ$22="Catastrófico"),CONCATENATE("R2C",'Mapa final'!$R$22),"")</f>
        <v/>
      </c>
      <c r="AK43" s="42" t="str">
        <f>IF(AND('Mapa final'!$AH$31="Baja",'Mapa final'!$AJ$31="Catastrófico"),CONCATENATE("R2C",'Mapa final'!$R$31),"")</f>
        <v/>
      </c>
      <c r="AL43" s="42" t="str">
        <f>IF(AND('Mapa final'!$AH$32="Baja",'Mapa final'!$AJ$32="Catastrófico"),CONCATENATE("R2C",'Mapa final'!$R$32),"")</f>
        <v/>
      </c>
      <c r="AM43" s="42" t="str">
        <f>IF(AND('Mapa final'!$AH$33="Baja",'Mapa final'!$AJ$33="Catastrófico"),CONCATENATE("R2C",'Mapa final'!$R$33),"")</f>
        <v/>
      </c>
      <c r="AN43" s="43" t="str">
        <f>IF(AND('Mapa final'!$AH$34="Baja",'Mapa final'!$AJ$34="Catastrófico"),CONCATENATE("R2C",'Mapa final'!$R$34),"")</f>
        <v/>
      </c>
      <c r="AO43" s="68"/>
      <c r="AP43" s="534"/>
      <c r="AQ43" s="535"/>
      <c r="AR43" s="535"/>
      <c r="AS43" s="535"/>
      <c r="AT43" s="535"/>
      <c r="AU43" s="536"/>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11"/>
      <c r="D44" s="411"/>
      <c r="E44" s="412"/>
      <c r="F44" s="503"/>
      <c r="G44" s="504"/>
      <c r="H44" s="504"/>
      <c r="I44" s="504"/>
      <c r="J44" s="504"/>
      <c r="K44" s="62" t="str">
        <f>IF(AND('Mapa final'!$AH$35="Baja",'Mapa final'!$AJ$35="Leve"),CONCATENATE("R2C",'Mapa final'!$R$35),"")</f>
        <v/>
      </c>
      <c r="L44" s="63" t="str">
        <f>IF(AND('Mapa final'!$AH$36="Baja",'Mapa final'!$AJ$36="Leve"),CONCATENATE("R2C",'Mapa final'!$R$36),"")</f>
        <v/>
      </c>
      <c r="M44" s="63" t="str">
        <f>IF(AND('Mapa final'!$AH$37="Baja",'Mapa final'!$AJ$37="Leve"),CONCATENATE("R2C",'Mapa final'!$R$37),"")</f>
        <v/>
      </c>
      <c r="N44" s="63" t="str">
        <f>IF(AND('Mapa final'!$AH$38="Baja",'Mapa final'!$AJ$38="Leve"),CONCATENATE("R2C",'Mapa final'!$R$38),"")</f>
        <v/>
      </c>
      <c r="O44" s="63" t="str">
        <f>IF(AND('Mapa final'!$AH$39="Baja",'Mapa final'!$AJ$39="Leve"),CONCATENATE("R2C",'Mapa final'!$R$39),"")</f>
        <v/>
      </c>
      <c r="P44" s="64" t="str">
        <f>IF(AND('Mapa final'!$AH$40="Baja",'Mapa final'!$AJ$40="Leve"),CONCATENATE("R2C",'Mapa final'!$R$40),"")</f>
        <v/>
      </c>
      <c r="Q44" s="53" t="str">
        <f>IF(AND('Mapa final'!$AH$35="Baja",'Mapa final'!$AJ$35="Menor"),CONCATENATE("R2C",'Mapa final'!$R$35),"")</f>
        <v/>
      </c>
      <c r="R44" s="54" t="str">
        <f>IF(AND('Mapa final'!$AH$36="Baja",'Mapa final'!$AJ$36="Menor"),CONCATENATE("R2C",'Mapa final'!$R$36),"")</f>
        <v/>
      </c>
      <c r="S44" s="54" t="str">
        <f>IF(AND('Mapa final'!$AH$37="Baja",'Mapa final'!$AJ$37="Menor"),CONCATENATE("R2C",'Mapa final'!$R$37),"")</f>
        <v/>
      </c>
      <c r="T44" s="54" t="str">
        <f>IF(AND('Mapa final'!$AH$38="Baja",'Mapa final'!$AJ$38="Menor"),CONCATENATE("R2C",'Mapa final'!$R$38),"")</f>
        <v/>
      </c>
      <c r="U44" s="54" t="str">
        <f>IF(AND('Mapa final'!$AH$39="Baja",'Mapa final'!$AJ$39="Menor"),CONCATENATE("R2C",'Mapa final'!$R$39),"")</f>
        <v/>
      </c>
      <c r="V44" s="55" t="str">
        <f>IF(AND('Mapa final'!$AH$40="Baja",'Mapa final'!$AJ$40="Menor"),CONCATENATE("R2C",'Mapa final'!$R$40),"")</f>
        <v/>
      </c>
      <c r="W44" s="53" t="str">
        <f>IF(AND('Mapa final'!$AH$35="Baja",'Mapa final'!$AJ$35="Moderado"),CONCATENATE("R2C",'Mapa final'!$R$35),"")</f>
        <v/>
      </c>
      <c r="X44" s="54" t="str">
        <f>IF(AND('Mapa final'!$AH$36="Baja",'Mapa final'!$AJ$36="Moderado"),CONCATENATE("R2C",'Mapa final'!$R$36),"")</f>
        <v/>
      </c>
      <c r="Y44" s="54" t="str">
        <f>IF(AND('Mapa final'!$AH$37="Baja",'Mapa final'!$AJ$37="Moderado"),CONCATENATE("R2C",'Mapa final'!$R$37),"")</f>
        <v/>
      </c>
      <c r="Z44" s="54" t="str">
        <f>IF(AND('Mapa final'!$AH$38="Baja",'Mapa final'!$AJ$38="Moderado"),CONCATENATE("R2C",'Mapa final'!$R$38),"")</f>
        <v/>
      </c>
      <c r="AA44" s="54" t="str">
        <f>IF(AND('Mapa final'!$AH$39="Baja",'Mapa final'!$AJ$39="Moderado"),CONCATENATE("R2C",'Mapa final'!$R$39),"")</f>
        <v/>
      </c>
      <c r="AB44" s="55" t="str">
        <f>IF(AND('Mapa final'!$AH$40="Baja",'Mapa final'!$AJ$40="Moderado"),CONCATENATE("R2C",'Mapa final'!$R$40),"")</f>
        <v/>
      </c>
      <c r="AC44" s="38" t="str">
        <f>IF(AND('Mapa final'!$AH$35="Baja",'Mapa final'!$AJ$35="Mayor"),CONCATENATE("R2C",'Mapa final'!$R$35),"")</f>
        <v/>
      </c>
      <c r="AD44" s="39" t="str">
        <f>IF(AND('Mapa final'!$AH$36="Baja",'Mapa final'!$AJ$36="Mayor"),CONCATENATE("R2C",'Mapa final'!$R$36),"")</f>
        <v/>
      </c>
      <c r="AE44" s="39" t="str">
        <f>IF(AND('Mapa final'!$AH$37="Baja",'Mapa final'!$AJ$37="Mayor"),CONCATENATE("R2C",'Mapa final'!$R$37),"")</f>
        <v/>
      </c>
      <c r="AF44" s="39" t="str">
        <f>IF(AND('Mapa final'!$AH$38="Baja",'Mapa final'!$AJ$38="Mayor"),CONCATENATE("R2C",'Mapa final'!$R$38),"")</f>
        <v/>
      </c>
      <c r="AG44" s="39" t="str">
        <f>IF(AND('Mapa final'!$AH$39="Baja",'Mapa final'!$AJ$39="Mayor"),CONCATENATE("R2C",'Mapa final'!$R$39),"")</f>
        <v/>
      </c>
      <c r="AH44" s="40" t="str">
        <f>IF(AND('Mapa final'!$AH$40="Baja",'Mapa final'!$AJ$40="Mayor"),CONCATENATE("R2C",'Mapa final'!$R$40),"")</f>
        <v/>
      </c>
      <c r="AI44" s="41" t="str">
        <f>IF(AND('Mapa final'!$AH$35="Baja",'Mapa final'!$AJ$35="Catastrófico"),CONCATENATE("R2C",'Mapa final'!$R$35),"")</f>
        <v/>
      </c>
      <c r="AJ44" s="42" t="str">
        <f>IF(AND('Mapa final'!$AH$36="Baja",'Mapa final'!$AJ$36="Catastrófico"),CONCATENATE("R2C",'Mapa final'!$R$36),"")</f>
        <v/>
      </c>
      <c r="AK44" s="42" t="str">
        <f>IF(AND('Mapa final'!$AH$37="Baja",'Mapa final'!$AJ$37="Catastrófico"),CONCATENATE("R2C",'Mapa final'!$R$37),"")</f>
        <v/>
      </c>
      <c r="AL44" s="42" t="str">
        <f>IF(AND('Mapa final'!$AH$38="Baja",'Mapa final'!$AJ$38="Catastrófico"),CONCATENATE("R2C",'Mapa final'!$R$38),"")</f>
        <v/>
      </c>
      <c r="AM44" s="42" t="str">
        <f>IF(AND('Mapa final'!$AH$39="Baja",'Mapa final'!$AJ$39="Catastrófico"),CONCATENATE("R2C",'Mapa final'!$R$39),"")</f>
        <v/>
      </c>
      <c r="AN44" s="43" t="str">
        <f>IF(AND('Mapa final'!$AH$40="Baja",'Mapa final'!$AJ$40="Catastrófico"),CONCATENATE("R2C",'Mapa final'!$R$40),"")</f>
        <v/>
      </c>
      <c r="AO44" s="68"/>
      <c r="AP44" s="534"/>
      <c r="AQ44" s="535"/>
      <c r="AR44" s="535"/>
      <c r="AS44" s="535"/>
      <c r="AT44" s="535"/>
      <c r="AU44" s="536"/>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11"/>
      <c r="D45" s="411"/>
      <c r="E45" s="412"/>
      <c r="F45" s="503"/>
      <c r="G45" s="504"/>
      <c r="H45" s="504"/>
      <c r="I45" s="504"/>
      <c r="J45" s="504"/>
      <c r="K45" s="62" t="str">
        <f>IF(AND('Mapa final'!$AH$41="Baja",'Mapa final'!$AJ$41="Leve"),CONCATENATE("R2C",'Mapa final'!$R$41),"")</f>
        <v/>
      </c>
      <c r="L45" s="63" t="str">
        <f>IF(AND('Mapa final'!$AH$42="Baja",'Mapa final'!$AJ$42="Leve"),CONCATENATE("R2C",'Mapa final'!$R$42),"")</f>
        <v/>
      </c>
      <c r="M45" s="63" t="str">
        <f>IF(AND('Mapa final'!$AH$43="Baja",'Mapa final'!$AJ$43="Leve"),CONCATENATE("R2C",'Mapa final'!$R$43),"")</f>
        <v/>
      </c>
      <c r="N45" s="63" t="str">
        <f>IF(AND('Mapa final'!$AH$44="Baja",'Mapa final'!$AJ$44="Leve"),CONCATENATE("R2C",'Mapa final'!$R$44),"")</f>
        <v/>
      </c>
      <c r="O45" s="63" t="str">
        <f>IF(AND('Mapa final'!$AH$45="Baja",'Mapa final'!$AJ$45="Leve"),CONCATENATE("R2C",'Mapa final'!$R$45),"")</f>
        <v/>
      </c>
      <c r="P45" s="64" t="str">
        <f>IF(AND('Mapa final'!$AH$46="Baja",'Mapa final'!$AJ$46="Leve"),CONCATENATE("R2C",'Mapa final'!$R$46),"")</f>
        <v/>
      </c>
      <c r="Q45" s="53" t="str">
        <f>IF(AND('Mapa final'!$AH$41="Baja",'Mapa final'!$AJ$41="Menor"),CONCATENATE("R2C",'Mapa final'!$R$41),"")</f>
        <v/>
      </c>
      <c r="R45" s="54" t="str">
        <f>IF(AND('Mapa final'!$AH$42="Baja",'Mapa final'!$AJ$42="Menor"),CONCATENATE("R2C",'Mapa final'!$R$42),"")</f>
        <v/>
      </c>
      <c r="S45" s="54" t="str">
        <f>IF(AND('Mapa final'!$AH$43="Baja",'Mapa final'!$AJ$43="Menor"),CONCATENATE("R2C",'Mapa final'!$R$43),"")</f>
        <v/>
      </c>
      <c r="T45" s="54" t="str">
        <f>IF(AND('Mapa final'!$AH$44="Baja",'Mapa final'!$AJ$44="Menor"),CONCATENATE("R2C",'Mapa final'!$R$44),"")</f>
        <v/>
      </c>
      <c r="U45" s="54" t="str">
        <f>IF(AND('Mapa final'!$AH$45="Baja",'Mapa final'!$AJ$45="LMenor"),CONCATENATE("R2C",'Mapa final'!$R$45),"")</f>
        <v/>
      </c>
      <c r="V45" s="55" t="str">
        <f>IF(AND('Mapa final'!$AH$46="Baja",'Mapa final'!$AJ$46="Menor"),CONCATENATE("R2C",'Mapa final'!$R$46),"")</f>
        <v/>
      </c>
      <c r="W45" s="53" t="str">
        <f>IF(AND('Mapa final'!$AH$41="Baja",'Mapa final'!$AJ$41="Moderado"),CONCATENATE("R2C",'Mapa final'!$R$41),"")</f>
        <v/>
      </c>
      <c r="X45" s="54" t="str">
        <f>IF(AND('Mapa final'!$AH$42="Baja",'Mapa final'!$AJ$42="Moderado"),CONCATENATE("R2C",'Mapa final'!$R$42),"")</f>
        <v/>
      </c>
      <c r="Y45" s="54" t="str">
        <f>IF(AND('Mapa final'!$AH$43="Baja",'Mapa final'!$AJ$43="Moderado"),CONCATENATE("R2C",'Mapa final'!$R$43),"")</f>
        <v/>
      </c>
      <c r="Z45" s="54" t="str">
        <f>IF(AND('Mapa final'!$AH$44="Baja",'Mapa final'!$AJ$44="Moderado"),CONCATENATE("R2C",'Mapa final'!$R$44),"")</f>
        <v/>
      </c>
      <c r="AA45" s="54" t="str">
        <f>IF(AND('Mapa final'!$AH$45="Baja",'Mapa final'!$AJ$45="Moderado"),CONCATENATE("R2C",'Mapa final'!$R$45),"")</f>
        <v/>
      </c>
      <c r="AB45" s="55" t="str">
        <f>IF(AND('Mapa final'!$AH$46="Baja",'Mapa final'!$AJ$46="Moderado"),CONCATENATE("R2C",'Mapa final'!$R$46),"")</f>
        <v/>
      </c>
      <c r="AC45" s="38" t="str">
        <f>IF(AND('Mapa final'!$AH$41="Baja",'Mapa final'!$AJ$41="Mayor"),CONCATENATE("R2C",'Mapa final'!$R$41),"")</f>
        <v/>
      </c>
      <c r="AD45" s="39" t="str">
        <f>IF(AND('Mapa final'!$AH$42="Baja",'Mapa final'!$AJ$42="Mayor"),CONCATENATE("R2C",'Mapa final'!$R$42),"")</f>
        <v/>
      </c>
      <c r="AE45" s="39" t="str">
        <f>IF(AND('Mapa final'!$AH$43="Baja",'Mapa final'!$AJ$43="Mayor"),CONCATENATE("R2C",'Mapa final'!$R$43),"")</f>
        <v/>
      </c>
      <c r="AF45" s="39" t="str">
        <f>IF(AND('Mapa final'!$AH$44="Baja",'Mapa final'!$AJ$44="Mayor"),CONCATENATE("R2C",'Mapa final'!$R$44),"")</f>
        <v/>
      </c>
      <c r="AG45" s="39" t="str">
        <f>IF(AND('Mapa final'!$AH$45="Baja",'Mapa final'!$AJ$45="Mayor"),CONCATENATE("R2C",'Mapa final'!$R$45),"")</f>
        <v/>
      </c>
      <c r="AH45" s="40" t="str">
        <f>IF(AND('Mapa final'!$AH$46="Baja",'Mapa final'!$AJ$46="Mayor"),CONCATENATE("R2C",'Mapa final'!$R$46),"")</f>
        <v/>
      </c>
      <c r="AI45" s="41" t="str">
        <f>IF(AND('Mapa final'!$AH$41="Baja",'Mapa final'!$AJ$41="Catastrófico"),CONCATENATE("R2C",'Mapa final'!$R$41),"")</f>
        <v/>
      </c>
      <c r="AJ45" s="42" t="str">
        <f>IF(AND('Mapa final'!$AH$42="Baja",'Mapa final'!$AJ$42="Catastrófico"),CONCATENATE("R2C",'Mapa final'!$R$42),"")</f>
        <v/>
      </c>
      <c r="AK45" s="42" t="str">
        <f>IF(AND('Mapa final'!$AH$43="Baja",'Mapa final'!$AJ$43="Catastrófico"),CONCATENATE("R2C",'Mapa final'!$R$43),"")</f>
        <v/>
      </c>
      <c r="AL45" s="42" t="str">
        <f>IF(AND('Mapa final'!$AH$44="Baja",'Mapa final'!$AJ$44="Catastrófico"),CONCATENATE("R2C",'Mapa final'!$R$44),"")</f>
        <v/>
      </c>
      <c r="AM45" s="42" t="str">
        <f>IF(AND('Mapa final'!$AH$45="Baja",'Mapa final'!$AJ$45="LCatastrófico"),CONCATENATE("R2C",'Mapa final'!$R$45),"")</f>
        <v/>
      </c>
      <c r="AN45" s="43" t="str">
        <f>IF(AND('Mapa final'!$AH$46="Baja",'Mapa final'!$AJ$46="Catastrófico"),CONCATENATE("R2C",'Mapa final'!$R$46),"")</f>
        <v/>
      </c>
      <c r="AO45" s="68"/>
      <c r="AP45" s="534"/>
      <c r="AQ45" s="535"/>
      <c r="AR45" s="535"/>
      <c r="AS45" s="535"/>
      <c r="AT45" s="535"/>
      <c r="AU45" s="536"/>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11"/>
      <c r="D46" s="411"/>
      <c r="E46" s="412"/>
      <c r="F46" s="503"/>
      <c r="G46" s="504"/>
      <c r="H46" s="504"/>
      <c r="I46" s="504"/>
      <c r="J46" s="504"/>
      <c r="K46" s="62" t="str">
        <f>IF(AND('Mapa final'!$AH$47="Baja",'Mapa final'!$AJ$47="Leve"),CONCATENATE("R2C",'Mapa final'!$R$47),"")</f>
        <v/>
      </c>
      <c r="L46" s="63" t="str">
        <f>IF(AND('Mapa final'!$AH$48="Baja",'Mapa final'!$AJ$48="Leve"),CONCATENATE("R2C",'Mapa final'!$R$48),"")</f>
        <v/>
      </c>
      <c r="M46" s="63" t="str">
        <f>IF(AND('Mapa final'!$AH$49="Baja",'Mapa final'!$AJ$49="Leve"),CONCATENATE("R2C",'Mapa final'!$R$49),"")</f>
        <v/>
      </c>
      <c r="N46" s="63" t="str">
        <f>IF(AND('Mapa final'!$AH$50="Baja",'Mapa final'!$AJ$50="Leve"),CONCATENATE("R2C",'Mapa final'!$R$50),"")</f>
        <v/>
      </c>
      <c r="O46" s="63" t="str">
        <f>IF(AND('Mapa final'!$AH$51="Baja",'Mapa final'!$AJ$51="Leve"),CONCATENATE("R2C",'Mapa final'!$R$51),"")</f>
        <v/>
      </c>
      <c r="P46" s="64" t="str">
        <f>IF(AND('Mapa final'!$AH$52="Baja",'Mapa final'!$AJ$52="Leve"),CONCATENATE("R2C",'Mapa final'!$R$52),"")</f>
        <v/>
      </c>
      <c r="Q46" s="53" t="str">
        <f>IF(AND('Mapa final'!$AH$47="Baja",'Mapa final'!$AJ$47="Menor"),CONCATENATE("R2C",'Mapa final'!$R$47),"")</f>
        <v/>
      </c>
      <c r="R46" s="54" t="str">
        <f>IF(AND('Mapa final'!$AH$48="Baja",'Mapa final'!$AJ$48="Menor"),CONCATENATE("R2C",'Mapa final'!$R$48),"")</f>
        <v/>
      </c>
      <c r="S46" s="54" t="str">
        <f>IF(AND('Mapa final'!$AH$49="Baja",'Mapa final'!$AJ$49="Menor"),CONCATENATE("R2C",'Mapa final'!$R$49),"")</f>
        <v/>
      </c>
      <c r="T46" s="54" t="str">
        <f>IF(AND('Mapa final'!$AH$50="Baja",'Mapa final'!$AJ$50="Menor"),CONCATENATE("R2C",'Mapa final'!$R$50),"")</f>
        <v/>
      </c>
      <c r="U46" s="54" t="str">
        <f>IF(AND('Mapa final'!$AH$51="Baja",'Mapa final'!$AJ$51="Menor"),CONCATENATE("R2C",'Mapa final'!$R$51),"")</f>
        <v/>
      </c>
      <c r="V46" s="55" t="str">
        <f>IF(AND('Mapa final'!$AH$52="Baja",'Mapa final'!$AJ$52="Menor"),CONCATENATE("R2C",'Mapa final'!$R$52),"")</f>
        <v/>
      </c>
      <c r="W46" s="53" t="str">
        <f>IF(AND('Mapa final'!$AH$47="Baja",'Mapa final'!$AJ$47="Moderado"),CONCATENATE("R2C",'Mapa final'!$R$47),"")</f>
        <v/>
      </c>
      <c r="X46" s="54" t="str">
        <f>IF(AND('Mapa final'!$AH$48="Baja",'Mapa final'!$AJ$48="Moderado"),CONCATENATE("R2C",'Mapa final'!$R$48),"")</f>
        <v/>
      </c>
      <c r="Y46" s="54" t="str">
        <f>IF(AND('Mapa final'!$AH$49="Baja",'Mapa final'!$AJ$49="Moderado"),CONCATENATE("R2C",'Mapa final'!$R$49),"")</f>
        <v/>
      </c>
      <c r="Z46" s="54" t="str">
        <f>IF(AND('Mapa final'!$AH$50="Baja",'Mapa final'!$AJ$50="Moderado"),CONCATENATE("R2C",'Mapa final'!$R$50),"")</f>
        <v/>
      </c>
      <c r="AA46" s="54" t="str">
        <f>IF(AND('Mapa final'!$AH$51="Baja",'Mapa final'!$AJ$51="Moderado"),CONCATENATE("R2C",'Mapa final'!$R$51),"")</f>
        <v/>
      </c>
      <c r="AB46" s="55" t="str">
        <f>IF(AND('Mapa final'!$AH$52="Baja",'Mapa final'!$AJ$52="Moderado"),CONCATENATE("R2C",'Mapa final'!$R$52),"")</f>
        <v/>
      </c>
      <c r="AC46" s="38" t="str">
        <f>IF(AND('Mapa final'!$AH$47="Baja",'Mapa final'!$AJ$47="Mayor"),CONCATENATE("R2C",'Mapa final'!$R$47),"")</f>
        <v/>
      </c>
      <c r="AD46" s="39" t="str">
        <f>IF(AND('Mapa final'!$AH$48="Baja",'Mapa final'!$AJ$48="Mayor"),CONCATENATE("R2C",'Mapa final'!$R$48),"")</f>
        <v/>
      </c>
      <c r="AE46" s="39" t="str">
        <f>IF(AND('Mapa final'!$AH$49="Baja",'Mapa final'!$AJ$49="Mayor"),CONCATENATE("R2C",'Mapa final'!$R$49),"")</f>
        <v/>
      </c>
      <c r="AF46" s="39" t="str">
        <f>IF(AND('Mapa final'!$AH$50="Baja",'Mapa final'!$AJ$50="Mayor"),CONCATENATE("R2C",'Mapa final'!$R$50),"")</f>
        <v/>
      </c>
      <c r="AG46" s="39" t="str">
        <f>IF(AND('Mapa final'!$AH$51="Baja",'Mapa final'!$AJ$51="Mayor"),CONCATENATE("R2C",'Mapa final'!$R$51),"")</f>
        <v/>
      </c>
      <c r="AH46" s="40" t="str">
        <f>IF(AND('Mapa final'!$AH$52="Baja",'Mapa final'!$AJ$52="Mayor"),CONCATENATE("R2C",'Mapa final'!$R$52),"")</f>
        <v/>
      </c>
      <c r="AI46" s="41" t="str">
        <f>IF(AND('Mapa final'!$AH$47="Baja",'Mapa final'!$AJ$47="Catastrófico"),CONCATENATE("R2C",'Mapa final'!$R$47),"")</f>
        <v/>
      </c>
      <c r="AJ46" s="42" t="str">
        <f>IF(AND('Mapa final'!$AH$48="Baja",'Mapa final'!$AJ$48="Catastrófico"),CONCATENATE("R2C",'Mapa final'!$R$48),"")</f>
        <v/>
      </c>
      <c r="AK46" s="42" t="str">
        <f>IF(AND('Mapa final'!$AH$49="Baja",'Mapa final'!$AJ$49="Catastrófico"),CONCATENATE("R2C",'Mapa final'!$R$49),"")</f>
        <v/>
      </c>
      <c r="AL46" s="42" t="str">
        <f>IF(AND('Mapa final'!$AH$50="Baja",'Mapa final'!$AJ$50="Catastrófico"),CONCATENATE("R2C",'Mapa final'!$R$50),"")</f>
        <v/>
      </c>
      <c r="AM46" s="42" t="str">
        <f>IF(AND('Mapa final'!$AH$51="Baja",'Mapa final'!$AJ$51="Catastrófico"),CONCATENATE("R2C",'Mapa final'!$R$51),"")</f>
        <v/>
      </c>
      <c r="AN46" s="43" t="str">
        <f>IF(AND('Mapa final'!$AH$52="Baja",'Mapa final'!$AJ$52="Catastrófico"),CONCATENATE("R2C",'Mapa final'!$R$52),"")</f>
        <v/>
      </c>
      <c r="AO46" s="68"/>
      <c r="AP46" s="534"/>
      <c r="AQ46" s="535"/>
      <c r="AR46" s="535"/>
      <c r="AS46" s="535"/>
      <c r="AT46" s="535"/>
      <c r="AU46" s="536"/>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11"/>
      <c r="D47" s="411"/>
      <c r="E47" s="412"/>
      <c r="F47" s="503"/>
      <c r="G47" s="504"/>
      <c r="H47" s="504"/>
      <c r="I47" s="504"/>
      <c r="J47" s="504"/>
      <c r="K47" s="62" t="str">
        <f>IF(AND('Mapa final'!$AH$53="Baja",'Mapa final'!$AJ$53="Leve"),CONCATENATE("R2C",'Mapa final'!$R$53),"")</f>
        <v/>
      </c>
      <c r="L47" s="63" t="str">
        <f>IF(AND('Mapa final'!$AH$54="Baja",'Mapa final'!$AJ$54="Leve"),CONCATENATE("R2C",'Mapa final'!$R$54),"")</f>
        <v/>
      </c>
      <c r="M47" s="63" t="str">
        <f>IF(AND('Mapa final'!$AH$55="Baja",'Mapa final'!$AJ$55="Leve"),CONCATENATE("R2C",'Mapa final'!$R$55),"")</f>
        <v/>
      </c>
      <c r="N47" s="63" t="str">
        <f>IF(AND('Mapa final'!$AH$56="Baja",'Mapa final'!$AJ$56="Leve"),CONCATENATE("R2C",'Mapa final'!$R$56),"")</f>
        <v/>
      </c>
      <c r="O47" s="63" t="str">
        <f>IF(AND('Mapa final'!$AH$57="Baja",'Mapa final'!$AJ$57="Leve"),CONCATENATE("R2C",'Mapa final'!$R$57),"")</f>
        <v/>
      </c>
      <c r="P47" s="64" t="str">
        <f>IF(AND('Mapa final'!$AH$68="Baja",'Mapa final'!$AJ$58="Leve"),CONCATENATE("R2C",'Mapa final'!$R$58),"")</f>
        <v/>
      </c>
      <c r="Q47" s="53" t="str">
        <f>IF(AND('Mapa final'!$AH$53="Baja",'Mapa final'!$AJ$53="Menor"),CONCATENATE("R2C",'Mapa final'!$R$53),"")</f>
        <v/>
      </c>
      <c r="R47" s="54" t="str">
        <f>IF(AND('Mapa final'!$AH$54="Baja",'Mapa final'!$AJ$54="Menor"),CONCATENATE("R2C",'Mapa final'!$R$54),"")</f>
        <v/>
      </c>
      <c r="S47" s="54" t="str">
        <f>IF(AND('Mapa final'!$AH$55="Baja",'Mapa final'!$AJ$55="Menor"),CONCATENATE("R2C",'Mapa final'!$R$55),"")</f>
        <v/>
      </c>
      <c r="T47" s="54" t="str">
        <f>IF(AND('Mapa final'!$AH$56="Baja",'Mapa final'!$AJ$56="Menor"),CONCATENATE("R2C",'Mapa final'!$R$56),"")</f>
        <v/>
      </c>
      <c r="U47" s="54" t="str">
        <f>IF(AND('Mapa final'!$AH$57="Baja",'Mapa final'!$AJ$57="Menor"),CONCATENATE("R2C",'Mapa final'!$R$57),"")</f>
        <v/>
      </c>
      <c r="V47" s="55" t="str">
        <f>IF(AND('Mapa final'!$AH$68="Baja",'Mapa final'!$AJ$58="Menor"),CONCATENATE("R2C",'Mapa final'!$R$58),"")</f>
        <v/>
      </c>
      <c r="W47" s="53" t="str">
        <f>IF(AND('Mapa final'!$AH$53="Baja",'Mapa final'!$AJ$53="Moderado"),CONCATENATE("R2C",'Mapa final'!$R$53),"")</f>
        <v/>
      </c>
      <c r="X47" s="54" t="str">
        <f>IF(AND('Mapa final'!$AH$54="Baja",'Mapa final'!$AJ$54="Moderado"),CONCATENATE("R2C",'Mapa final'!$R$54),"")</f>
        <v/>
      </c>
      <c r="Y47" s="54" t="str">
        <f>IF(AND('Mapa final'!$AH$55="Baja",'Mapa final'!$AJ$55="Moderado"),CONCATENATE("R2C",'Mapa final'!$R$55),"")</f>
        <v/>
      </c>
      <c r="Z47" s="54" t="str">
        <f>IF(AND('Mapa final'!$AH$56="Baja",'Mapa final'!$AJ$56="Moderado"),CONCATENATE("R2C",'Mapa final'!$R$56),"")</f>
        <v/>
      </c>
      <c r="AA47" s="54" t="str">
        <f>IF(AND('Mapa final'!$AH$57="Baja",'Mapa final'!$AJ$57="Moderado"),CONCATENATE("R2C",'Mapa final'!$R$57),"")</f>
        <v/>
      </c>
      <c r="AB47" s="55" t="str">
        <f>IF(AND('Mapa final'!$AH$68="Baja",'Mapa final'!$AJ$58="Moderado"),CONCATENATE("R2C",'Mapa final'!$R$58),"")</f>
        <v/>
      </c>
      <c r="AC47" s="38" t="str">
        <f>IF(AND('Mapa final'!$AH$53="Baja",'Mapa final'!$AJ$53="Mayor"),CONCATENATE("R2C",'Mapa final'!$R$53),"")</f>
        <v/>
      </c>
      <c r="AD47" s="39" t="str">
        <f>IF(AND('Mapa final'!$AH$54="Baja",'Mapa final'!$AJ$54="Mayor"),CONCATENATE("R2C",'Mapa final'!$R$54),"")</f>
        <v/>
      </c>
      <c r="AE47" s="39" t="str">
        <f>IF(AND('Mapa final'!$AH$55="Baja",'Mapa final'!$AJ$55="Mayor"),CONCATENATE("R2C",'Mapa final'!$R$55),"")</f>
        <v/>
      </c>
      <c r="AF47" s="39" t="str">
        <f>IF(AND('Mapa final'!$AH$56="Baja",'Mapa final'!$AJ$56="Mayor"),CONCATENATE("R2C",'Mapa final'!$R$56),"")</f>
        <v/>
      </c>
      <c r="AG47" s="39" t="str">
        <f>IF(AND('Mapa final'!$AH$57="Baja",'Mapa final'!$AJ$57="Mayor"),CONCATENATE("R2C",'Mapa final'!$R$57),"")</f>
        <v/>
      </c>
      <c r="AH47" s="40" t="str">
        <f>IF(AND('Mapa final'!$AH$68="Baja",'Mapa final'!$AJ$58="Mayor"),CONCATENATE("R2C",'Mapa final'!$R$58),"")</f>
        <v/>
      </c>
      <c r="AI47" s="41" t="str">
        <f>IF(AND('Mapa final'!$AH$53="Baja",'Mapa final'!$AJ$53="Catastrófico"),CONCATENATE("R2C",'Mapa final'!$R$53),"")</f>
        <v/>
      </c>
      <c r="AJ47" s="42" t="str">
        <f>IF(AND('Mapa final'!$AH$54="Baja",'Mapa final'!$AJ$54="Catastrófico"),CONCATENATE("R2C",'Mapa final'!$R$54),"")</f>
        <v/>
      </c>
      <c r="AK47" s="42" t="str">
        <f>IF(AND('Mapa final'!$AH$55="Baja",'Mapa final'!$AJ$55="Catastrófico"),CONCATENATE("R2C",'Mapa final'!$R$55),"")</f>
        <v/>
      </c>
      <c r="AL47" s="42" t="str">
        <f>IF(AND('Mapa final'!$AH$56="Baja",'Mapa final'!$AJ$56="Catastrófico"),CONCATENATE("R2C",'Mapa final'!$R$56),"")</f>
        <v/>
      </c>
      <c r="AM47" s="42" t="str">
        <f>IF(AND('Mapa final'!$AH$57="Baja",'Mapa final'!$AJ$57="Catastrófico"),CONCATENATE("R2C",'Mapa final'!$R$57),"")</f>
        <v/>
      </c>
      <c r="AN47" s="43" t="str">
        <f>IF(AND('Mapa final'!$AH$68="Baja",'Mapa final'!$AJ$58="Catastrófico"),CONCATENATE("R2C",'Mapa final'!$R$58),"")</f>
        <v/>
      </c>
      <c r="AO47" s="68"/>
      <c r="AP47" s="534"/>
      <c r="AQ47" s="535"/>
      <c r="AR47" s="535"/>
      <c r="AS47" s="535"/>
      <c r="AT47" s="535"/>
      <c r="AU47" s="536"/>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11"/>
      <c r="D48" s="411"/>
      <c r="E48" s="412"/>
      <c r="F48" s="503"/>
      <c r="G48" s="504"/>
      <c r="H48" s="504"/>
      <c r="I48" s="504"/>
      <c r="J48" s="504"/>
      <c r="K48" s="62" t="str">
        <f>IF(AND('Mapa final'!$AH$59="Baja",'Mapa final'!$AJ$59="Leve"),CONCATENATE("R2C",'Mapa final'!$R$59),"")</f>
        <v/>
      </c>
      <c r="L48" s="63" t="str">
        <f>IF(AND('Mapa final'!$AH$60="Baja",'Mapa final'!$AJ$60="Leve"),CONCATENATE("R2C",'Mapa final'!$R$60),"")</f>
        <v/>
      </c>
      <c r="M48" s="63" t="str">
        <f>IF(AND('Mapa final'!$AH$61="Baja",'Mapa final'!$AJ$61="Leve"),CONCATENATE("R2C",'Mapa final'!$R$61),"")</f>
        <v/>
      </c>
      <c r="N48" s="63" t="str">
        <f>IF(AND('Mapa final'!$AH$62="Baja",'Mapa final'!$AJ$62="Leve"),CONCATENATE("R2C",'Mapa final'!$R$62),"")</f>
        <v/>
      </c>
      <c r="O48" s="63" t="str">
        <f>IF(AND('Mapa final'!$AH$63="Baja",'Mapa final'!$AJ$63="Leve"),CONCATENATE("R2C",'Mapa final'!$R$63),"")</f>
        <v/>
      </c>
      <c r="P48" s="64" t="str">
        <f>IF(AND('Mapa final'!$AH$64="Baja",'Mapa final'!$AJ$64="Leve"),CONCATENATE("R2C",'Mapa final'!$R$64),"")</f>
        <v/>
      </c>
      <c r="Q48" s="53" t="str">
        <f>IF(AND('Mapa final'!$AH$59="Baja",'Mapa final'!$AJ$59="Menor"),CONCATENATE("R2C",'Mapa final'!$R$59),"")</f>
        <v/>
      </c>
      <c r="R48" s="54" t="str">
        <f>IF(AND('Mapa final'!$AH$60="Baja",'Mapa final'!$AJ$60="Menor"),CONCATENATE("R2C",'Mapa final'!$R$60),"")</f>
        <v/>
      </c>
      <c r="S48" s="54" t="str">
        <f>IF(AND('Mapa final'!$AH$61="Baja",'Mapa final'!$AJ$61="Menor"),CONCATENATE("R2C",'Mapa final'!$R$61),"")</f>
        <v/>
      </c>
      <c r="T48" s="54" t="str">
        <f>IF(AND('Mapa final'!$AH$62="Baja",'Mapa final'!$AJ$62="Menor"),CONCATENATE("R2C",'Mapa final'!$R$62),"")</f>
        <v/>
      </c>
      <c r="U48" s="54" t="str">
        <f>IF(AND('Mapa final'!$AH$63="Baja",'Mapa final'!$AJ$63="Menor"),CONCATENATE("R2C",'Mapa final'!$R$63),"")</f>
        <v/>
      </c>
      <c r="V48" s="55" t="str">
        <f>IF(AND('Mapa final'!$AH$64="Baja",'Mapa final'!$AJ$64="Menor"),CONCATENATE("R2C",'Mapa final'!$R$64),"")</f>
        <v/>
      </c>
      <c r="W48" s="53" t="str">
        <f>IF(AND('Mapa final'!$AH$59="Baja",'Mapa final'!$AJ$59="Moderado"),CONCATENATE("R2C",'Mapa final'!$R$59),"")</f>
        <v/>
      </c>
      <c r="X48" s="54" t="str">
        <f>IF(AND('Mapa final'!$AH$60="Baja",'Mapa final'!$AJ$60="Moderado"),CONCATENATE("R2C",'Mapa final'!$R$60),"")</f>
        <v/>
      </c>
      <c r="Y48" s="54" t="str">
        <f>IF(AND('Mapa final'!$AH$61="Baja",'Mapa final'!$AJ$61="Moderado"),CONCATENATE("R2C",'Mapa final'!$R$61),"")</f>
        <v/>
      </c>
      <c r="Z48" s="54" t="str">
        <f>IF(AND('Mapa final'!$AH$62="Baja",'Mapa final'!$AJ$62="Moderado"),CONCATENATE("R2C",'Mapa final'!$R$62),"")</f>
        <v/>
      </c>
      <c r="AA48" s="54" t="str">
        <f>IF(AND('Mapa final'!$AH$63="Baja",'Mapa final'!$AJ$63="Moderado"),CONCATENATE("R2C",'Mapa final'!$R$63),"")</f>
        <v/>
      </c>
      <c r="AB48" s="55" t="str">
        <f>IF(AND('Mapa final'!$AH$64="Baja",'Mapa final'!$AJ$64="Moderado"),CONCATENATE("R2C",'Mapa final'!$R$64),"")</f>
        <v/>
      </c>
      <c r="AC48" s="38" t="str">
        <f>IF(AND('Mapa final'!$AH$59="Baja",'Mapa final'!$AJ$59="Mayor"),CONCATENATE("R2C",'Mapa final'!$R$59),"")</f>
        <v/>
      </c>
      <c r="AD48" s="39" t="str">
        <f>IF(AND('Mapa final'!$AH$60="Baja",'Mapa final'!$AJ$60="Mayor"),CONCATENATE("R2C",'Mapa final'!$R$60),"")</f>
        <v/>
      </c>
      <c r="AE48" s="39" t="str">
        <f>IF(AND('Mapa final'!$AH$61="Baja",'Mapa final'!$AJ$61="Mayor"),CONCATENATE("R2C",'Mapa final'!$R$61),"")</f>
        <v/>
      </c>
      <c r="AF48" s="39" t="str">
        <f>IF(AND('Mapa final'!$AH$62="Baja",'Mapa final'!$AJ$62="Mayor"),CONCATENATE("R2C",'Mapa final'!$R$62),"")</f>
        <v/>
      </c>
      <c r="AG48" s="39" t="str">
        <f>IF(AND('Mapa final'!$AH$63="Baja",'Mapa final'!$AJ$63="Mayor"),CONCATENATE("R2C",'Mapa final'!$R$63),"")</f>
        <v/>
      </c>
      <c r="AH48" s="40" t="str">
        <f>IF(AND('Mapa final'!$AH$64="Baja",'Mapa final'!$AJ$64="Mayor"),CONCATENATE("R2C",'Mapa final'!$R$64),"")</f>
        <v/>
      </c>
      <c r="AI48" s="41" t="str">
        <f>IF(AND('Mapa final'!$AH$59="Baja",'Mapa final'!$AJ$59="Catastrófico"),CONCATENATE("R2C",'Mapa final'!$R$59),"")</f>
        <v/>
      </c>
      <c r="AJ48" s="42" t="str">
        <f>IF(AND('Mapa final'!$AH$60="Baja",'Mapa final'!$AJ$60="Catastrófico"),CONCATENATE("R2C",'Mapa final'!$R$60),"")</f>
        <v/>
      </c>
      <c r="AK48" s="42" t="str">
        <f>IF(AND('Mapa final'!$AH$61="Baja",'Mapa final'!$AJ$61="Catastrófico"),CONCATENATE("R2C",'Mapa final'!$R$61),"")</f>
        <v/>
      </c>
      <c r="AL48" s="42" t="str">
        <f>IF(AND('Mapa final'!$AH$62="Baja",'Mapa final'!$AJ$62="Catastrófico"),CONCATENATE("R2C",'Mapa final'!$R$62),"")</f>
        <v/>
      </c>
      <c r="AM48" s="42" t="str">
        <f>IF(AND('Mapa final'!$AH$63="Baja",'Mapa final'!$AJ$63="Catastrófico"),CONCATENATE("R2C",'Mapa final'!$R$63),"")</f>
        <v/>
      </c>
      <c r="AN48" s="43" t="str">
        <f>IF(AND('Mapa final'!$AH$64="Baja",'Mapa final'!$AJ$64="Catastrófico"),CONCATENATE("R2C",'Mapa final'!$R$64),"")</f>
        <v/>
      </c>
      <c r="AO48" s="68"/>
      <c r="AP48" s="534"/>
      <c r="AQ48" s="535"/>
      <c r="AR48" s="535"/>
      <c r="AS48" s="535"/>
      <c r="AT48" s="535"/>
      <c r="AU48" s="536"/>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11"/>
      <c r="D49" s="411"/>
      <c r="E49" s="412"/>
      <c r="F49" s="503"/>
      <c r="G49" s="504"/>
      <c r="H49" s="504"/>
      <c r="I49" s="504"/>
      <c r="J49" s="504"/>
      <c r="K49" s="62" t="str">
        <f>IF(AND('Mapa final'!$AH$65="Baja",'Mapa final'!$AJ$65="Leve"),CONCATENATE("R2C",'Mapa final'!$R$65),"")</f>
        <v/>
      </c>
      <c r="L49" s="63" t="str">
        <f>IF(AND('Mapa final'!$AH$66="Baja",'Mapa final'!$AJ$66="Leve"),CONCATENATE("R2C",'Mapa final'!$R$66),"")</f>
        <v/>
      </c>
      <c r="M49" s="63" t="str">
        <f>IF(AND('Mapa final'!$AH$67="Baja",'Mapa final'!$AJ$67="Leve"),CONCATENATE("R2C",'Mapa final'!$R$67),"")</f>
        <v/>
      </c>
      <c r="N49" s="63" t="str">
        <f>IF(AND('Mapa final'!$AH$68="Baja",'Mapa final'!$AJ$68="Leve"),CONCATENATE("R2C",'Mapa final'!$R$68),"")</f>
        <v/>
      </c>
      <c r="O49" s="63" t="str">
        <f>IF(AND('Mapa final'!$AH$69="Baja",'Mapa final'!$AJ$69="Leve"),CONCATENATE("R2C",'Mapa final'!$R$69),"")</f>
        <v/>
      </c>
      <c r="P49" s="64" t="str">
        <f>IF(AND('Mapa final'!$AH$70="Baja",'Mapa final'!$AJ$70="Leve"),CONCATENATE("R2C",'Mapa final'!$R$70),"")</f>
        <v/>
      </c>
      <c r="Q49" s="53" t="str">
        <f>IF(AND('Mapa final'!$AH$65="Baja",'Mapa final'!$AJ$65="Menor"),CONCATENATE("R2C",'Mapa final'!$R$65),"")</f>
        <v/>
      </c>
      <c r="R49" s="54" t="str">
        <f>IF(AND('Mapa final'!$AH$66="Baja",'Mapa final'!$AJ$66="Menor"),CONCATENATE("R2C",'Mapa final'!$R$66),"")</f>
        <v/>
      </c>
      <c r="S49" s="54" t="str">
        <f>IF(AND('Mapa final'!$AH$67="Baja",'Mapa final'!$AJ$67="Menor"),CONCATENATE("R2C",'Mapa final'!$R$67),"")</f>
        <v/>
      </c>
      <c r="T49" s="54" t="str">
        <f>IF(AND('Mapa final'!$AH$68="Baja",'Mapa final'!$AJ$68="Menor"),CONCATENATE("R2C",'Mapa final'!$R$68),"")</f>
        <v/>
      </c>
      <c r="U49" s="54" t="str">
        <f>IF(AND('Mapa final'!$AH$69="Baja",'Mapa final'!$AJ$69="Menor"),CONCATENATE("R2C",'Mapa final'!$R$69),"")</f>
        <v/>
      </c>
      <c r="V49" s="55" t="str">
        <f>IF(AND('Mapa final'!$AH$70="Baja",'Mapa final'!$AJ$70="Menor"),CONCATENATE("R2C",'Mapa final'!$R$70),"")</f>
        <v/>
      </c>
      <c r="W49" s="53" t="str">
        <f>IF(AND('Mapa final'!$AH$65="Baja",'Mapa final'!$AJ$65="Moderado"),CONCATENATE("R2C",'Mapa final'!$R$65),"")</f>
        <v/>
      </c>
      <c r="X49" s="54" t="str">
        <f>IF(AND('Mapa final'!$AH$66="Baja",'Mapa final'!$AJ$66="Moderado"),CONCATENATE("R2C",'Mapa final'!$R$66),"")</f>
        <v/>
      </c>
      <c r="Y49" s="54" t="str">
        <f>IF(AND('Mapa final'!$AH$67="Baja",'Mapa final'!$AJ$67="Moderado"),CONCATENATE("R2C",'Mapa final'!$R$67),"")</f>
        <v/>
      </c>
      <c r="Z49" s="54" t="str">
        <f>IF(AND('Mapa final'!$AH$68="Baja",'Mapa final'!$AJ$68="Moderado"),CONCATENATE("R2C",'Mapa final'!$R$68),"")</f>
        <v/>
      </c>
      <c r="AA49" s="54" t="str">
        <f>IF(AND('Mapa final'!$AH$69="Baja",'Mapa final'!$AJ$69="Moderado"),CONCATENATE("R2C",'Mapa final'!$R$69),"")</f>
        <v/>
      </c>
      <c r="AB49" s="55" t="str">
        <f>IF(AND('Mapa final'!$AH$70="Baja",'Mapa final'!$AJ$70="Moderado"),CONCATENATE("R2C",'Mapa final'!$R$70),"")</f>
        <v/>
      </c>
      <c r="AC49" s="38" t="str">
        <f>IF(AND('Mapa final'!$AH$65="Baja",'Mapa final'!$AJ$65="Mayor"),CONCATENATE("R2C",'Mapa final'!$R$65),"")</f>
        <v/>
      </c>
      <c r="AD49" s="39" t="str">
        <f>IF(AND('Mapa final'!$AH$66="Baja",'Mapa final'!$AJ$66="Mayor"),CONCATENATE("R2C",'Mapa final'!$R$66),"")</f>
        <v/>
      </c>
      <c r="AE49" s="39" t="str">
        <f>IF(AND('Mapa final'!$AH$67="Baja",'Mapa final'!$AJ$67="Mayor"),CONCATENATE("R2C",'Mapa final'!$R$67),"")</f>
        <v/>
      </c>
      <c r="AF49" s="39" t="str">
        <f>IF(AND('Mapa final'!$AH$68="Baja",'Mapa final'!$AJ$68="Mayor"),CONCATENATE("R2C",'Mapa final'!$R$68),"")</f>
        <v/>
      </c>
      <c r="AG49" s="39" t="str">
        <f>IF(AND('Mapa final'!$AH$69="Baja",'Mapa final'!$AJ$69="Mayor"),CONCATENATE("R2C",'Mapa final'!$R$69),"")</f>
        <v/>
      </c>
      <c r="AH49" s="40" t="str">
        <f>IF(AND('Mapa final'!$AH$70="Baja",'Mapa final'!$AJ$70="Mayor"),CONCATENATE("R2C",'Mapa final'!$R$70),"")</f>
        <v/>
      </c>
      <c r="AI49" s="41" t="str">
        <f>IF(AND('Mapa final'!$AH$65="Baja",'Mapa final'!$AJ$65="Catastrófico"),CONCATENATE("R2C",'Mapa final'!$R$65),"")</f>
        <v/>
      </c>
      <c r="AJ49" s="42" t="str">
        <f>IF(AND('Mapa final'!$AH$66="Baja",'Mapa final'!$AJ$66="Catastrófico"),CONCATENATE("R2C",'Mapa final'!$R$66),"")</f>
        <v/>
      </c>
      <c r="AK49" s="42" t="str">
        <f>IF(AND('Mapa final'!$AH$67="Baja",'Mapa final'!$AJ$67="Catastrófico"),CONCATENATE("R2C",'Mapa final'!$R$67),"")</f>
        <v/>
      </c>
      <c r="AL49" s="42" t="str">
        <f>IF(AND('Mapa final'!$AH$68="Baja",'Mapa final'!$AJ$68="Catastrófico"),CONCATENATE("R2C",'Mapa final'!$R$68),"")</f>
        <v/>
      </c>
      <c r="AM49" s="42" t="str">
        <f>IF(AND('Mapa final'!$AH$69="Baja",'Mapa final'!$AJ$69="Catastrófico"),CONCATENATE("R2C",'Mapa final'!$R$69),"")</f>
        <v/>
      </c>
      <c r="AN49" s="43" t="str">
        <f>IF(AND('Mapa final'!$AH$70="Baja",'Mapa final'!$AJ$70="Catastrófico"),CONCATENATE("R2C",'Mapa final'!$R$70),"")</f>
        <v/>
      </c>
      <c r="AO49" s="68"/>
      <c r="AP49" s="534"/>
      <c r="AQ49" s="535"/>
      <c r="AR49" s="535"/>
      <c r="AS49" s="535"/>
      <c r="AT49" s="535"/>
      <c r="AU49" s="536"/>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11"/>
      <c r="D50" s="411"/>
      <c r="E50" s="412"/>
      <c r="F50" s="503"/>
      <c r="G50" s="504"/>
      <c r="H50" s="504"/>
      <c r="I50" s="504"/>
      <c r="J50" s="504"/>
      <c r="K50" s="62" t="str">
        <f>IF(AND('Mapa final'!$AH$71="Baja",'Mapa final'!$AJ$71="Leve"),CONCATENATE("R2C",'Mapa final'!$R$71),"")</f>
        <v/>
      </c>
      <c r="L50" s="63" t="str">
        <f>IF(AND('Mapa final'!$AH$72="Baja",'Mapa final'!$AJ$72="Leve"),CONCATENATE("R2C",'Mapa final'!$R$72),"")</f>
        <v/>
      </c>
      <c r="M50" s="63" t="str">
        <f>IF(AND('Mapa final'!$AH$73="Baja",'Mapa final'!$AJ$73="Leve"),CONCATENATE("R2C",'Mapa final'!$R$73),"")</f>
        <v/>
      </c>
      <c r="N50" s="63" t="str">
        <f>IF(AND('Mapa final'!$AH$74="Baja",'Mapa final'!$AJ$74="Leve"),CONCATENATE("R2C",'Mapa final'!$R$74),"")</f>
        <v/>
      </c>
      <c r="O50" s="63" t="str">
        <f>IF(AND('Mapa final'!$AH$75="Baja",'Mapa final'!$AJ$75="Leve"),CONCATENATE("R2C",'Mapa final'!$R$75),"")</f>
        <v/>
      </c>
      <c r="P50" s="64" t="str">
        <f>IF(AND('Mapa final'!$AH$76="Baja",'Mapa final'!$AJ$76="Leve"),CONCATENATE("R2C",'Mapa final'!$R$76),"")</f>
        <v/>
      </c>
      <c r="Q50" s="53" t="str">
        <f>IF(AND('Mapa final'!$AH$71="Baja",'Mapa final'!$AJ$71="Menor"),CONCATENATE("R2C",'Mapa final'!$R$71),"")</f>
        <v/>
      </c>
      <c r="R50" s="54" t="str">
        <f>IF(AND('Mapa final'!$AH$72="Baja",'Mapa final'!$AJ$72="Menor"),CONCATENATE("R2C",'Mapa final'!$R$72),"")</f>
        <v/>
      </c>
      <c r="S50" s="54" t="str">
        <f>IF(AND('Mapa final'!$AH$73="Baja",'Mapa final'!$AJ$73="Menor"),CONCATENATE("R2C",'Mapa final'!$R$73),"")</f>
        <v/>
      </c>
      <c r="T50" s="54" t="str">
        <f>IF(AND('Mapa final'!$AH$74="Baja",'Mapa final'!$AJ$74="Menor"),CONCATENATE("R2C",'Mapa final'!$R$74),"")</f>
        <v/>
      </c>
      <c r="U50" s="54" t="str">
        <f>IF(AND('Mapa final'!$AH$75="Baja",'Mapa final'!$AJ$75="Menor"),CONCATENATE("R2C",'Mapa final'!$R$75),"")</f>
        <v/>
      </c>
      <c r="V50" s="55" t="str">
        <f>IF(AND('Mapa final'!$AH$76="Baja",'Mapa final'!$AJ$76="Menor"),CONCATENATE("R2C",'Mapa final'!$R$76),"")</f>
        <v/>
      </c>
      <c r="W50" s="53" t="str">
        <f>IF(AND('Mapa final'!$AH$71="Baja",'Mapa final'!$AJ$71="Moderado"),CONCATENATE("R2C",'Mapa final'!$R$71),"")</f>
        <v/>
      </c>
      <c r="X50" s="54" t="str">
        <f>IF(AND('Mapa final'!$AH$72="Baja",'Mapa final'!$AJ$72="Moderado"),CONCATENATE("R2C",'Mapa final'!$R$72),"")</f>
        <v/>
      </c>
      <c r="Y50" s="54" t="str">
        <f>IF(AND('Mapa final'!$AH$73="Baja",'Mapa final'!$AJ$73="Moderado"),CONCATENATE("R2C",'Mapa final'!$R$73),"")</f>
        <v/>
      </c>
      <c r="Z50" s="54" t="str">
        <f>IF(AND('Mapa final'!$AH$74="Baja",'Mapa final'!$AJ$74="Moderado"),CONCATENATE("R2C",'Mapa final'!$R$74),"")</f>
        <v/>
      </c>
      <c r="AA50" s="54" t="str">
        <f>IF(AND('Mapa final'!$AH$75="Baja",'Mapa final'!$AJ$75="Moderado"),CONCATENATE("R2C",'Mapa final'!$R$75),"")</f>
        <v/>
      </c>
      <c r="AB50" s="55" t="str">
        <f>IF(AND('Mapa final'!$AH$76="Baja",'Mapa final'!$AJ$76="Moderado"),CONCATENATE("R2C",'Mapa final'!$R$76),"")</f>
        <v/>
      </c>
      <c r="AC50" s="38" t="str">
        <f>IF(AND('Mapa final'!$AH$71="Baja",'Mapa final'!$AJ$71="Mayor"),CONCATENATE("R2C",'Mapa final'!$R$71),"")</f>
        <v/>
      </c>
      <c r="AD50" s="39" t="str">
        <f>IF(AND('Mapa final'!$AH$72="Baja",'Mapa final'!$AJ$72="Mayor"),CONCATENATE("R2C",'Mapa final'!$R$72),"")</f>
        <v/>
      </c>
      <c r="AE50" s="39" t="str">
        <f>IF(AND('Mapa final'!$AH$73="Baja",'Mapa final'!$AJ$73="Mayor"),CONCATENATE("R2C",'Mapa final'!$R$73),"")</f>
        <v/>
      </c>
      <c r="AF50" s="39" t="str">
        <f>IF(AND('Mapa final'!$AH$74="Baja",'Mapa final'!$AJ$74="Mayor"),CONCATENATE("R2C",'Mapa final'!$R$74),"")</f>
        <v/>
      </c>
      <c r="AG50" s="39" t="str">
        <f>IF(AND('Mapa final'!$AH$75="Baja",'Mapa final'!$AJ$75="Mayor"),CONCATENATE("R2C",'Mapa final'!$R$75),"")</f>
        <v/>
      </c>
      <c r="AH50" s="40" t="str">
        <f>IF(AND('Mapa final'!$AH$76="Baja",'Mapa final'!$AJ$76="Mayor"),CONCATENATE("R2C",'Mapa final'!$R$76),"")</f>
        <v/>
      </c>
      <c r="AI50" s="41" t="str">
        <f>IF(AND('Mapa final'!$AH$71="Baja",'Mapa final'!$AJ$71="Catastrófico"),CONCATENATE("R2C",'Mapa final'!$R$71),"")</f>
        <v/>
      </c>
      <c r="AJ50" s="42" t="str">
        <f>IF(AND('Mapa final'!$AH$72="Baja",'Mapa final'!$AJ$72="Catastrófico"),CONCATENATE("R2C",'Mapa final'!$R$72),"")</f>
        <v/>
      </c>
      <c r="AK50" s="42" t="str">
        <f>IF(AND('Mapa final'!$AH$73="Baja",'Mapa final'!$AJ$73="Catastrófico"),CONCATENATE("R2C",'Mapa final'!$R$73),"")</f>
        <v/>
      </c>
      <c r="AL50" s="42" t="str">
        <f>IF(AND('Mapa final'!$AH$74="Baja",'Mapa final'!$AJ$74="Catastrófico"),CONCATENATE("R2C",'Mapa final'!$R$74),"")</f>
        <v/>
      </c>
      <c r="AM50" s="42" t="str">
        <f>IF(AND('Mapa final'!$AH$75="Baja",'Mapa final'!$AJ$75="Catastrófico"),CONCATENATE("R2C",'Mapa final'!$R$75),"")</f>
        <v/>
      </c>
      <c r="AN50" s="43" t="str">
        <f>IF(AND('Mapa final'!$AH$76="Baja",'Mapa final'!$AJ$76="Catastrófico"),CONCATENATE("R2C",'Mapa final'!$R$76),"")</f>
        <v/>
      </c>
      <c r="AO50" s="68"/>
      <c r="AP50" s="534"/>
      <c r="AQ50" s="535"/>
      <c r="AR50" s="535"/>
      <c r="AS50" s="535"/>
      <c r="AT50" s="535"/>
      <c r="AU50" s="536"/>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11"/>
      <c r="D51" s="411"/>
      <c r="E51" s="412"/>
      <c r="F51" s="506"/>
      <c r="G51" s="507"/>
      <c r="H51" s="507"/>
      <c r="I51" s="507"/>
      <c r="J51" s="507"/>
      <c r="K51" s="65" t="str">
        <f>IF(AND('Mapa final'!$AH$77="Baja",'Mapa final'!$AJ$77="Leve"),CONCATENATE("R2C",'Mapa final'!$R$77),"")</f>
        <v/>
      </c>
      <c r="L51" s="66" t="str">
        <f>IF(AND('Mapa final'!$AH$78="Baja",'Mapa final'!$AJ$78="Leve"),CONCATENATE("R2C",'Mapa final'!$R$78),"")</f>
        <v/>
      </c>
      <c r="M51" s="66" t="str">
        <f>IF(AND('Mapa final'!$AH$79="Baja",'Mapa final'!$AJ$79="Leve"),CONCATENATE("R2C",'Mapa final'!$R$79),"")</f>
        <v/>
      </c>
      <c r="N51" s="66" t="str">
        <f>IF(AND('Mapa final'!$AH$80="Baja",'Mapa final'!$AJ$80="Leve"),CONCATENATE("R2C",'Mapa final'!$R$80),"")</f>
        <v/>
      </c>
      <c r="O51" s="66" t="str">
        <f>IF(AND('Mapa final'!$AH$82="Baja",'Mapa final'!$AJ$82="Leve"),CONCATENATE("R2C",'Mapa final'!$R$82),"")</f>
        <v/>
      </c>
      <c r="P51" s="67" t="str">
        <f>IF(AND('Mapa final'!$AH$83="Baja",'Mapa final'!$AJ$83="Leve"),CONCATENATE("R2C",'Mapa final'!$R$83),"")</f>
        <v/>
      </c>
      <c r="Q51" s="53" t="str">
        <f>IF(AND('Mapa final'!$AH$77="Baja",'Mapa final'!$AJ$77="Menor"),CONCATENATE("R2C",'Mapa final'!$R$77),"")</f>
        <v/>
      </c>
      <c r="R51" s="54" t="str">
        <f>IF(AND('Mapa final'!$AH$78="Baja",'Mapa final'!$AJ$78="Menor"),CONCATENATE("R2C",'Mapa final'!$R$78),"")</f>
        <v/>
      </c>
      <c r="S51" s="54" t="str">
        <f>IF(AND('Mapa final'!$AH$79="Baja",'Mapa final'!$AJ$79="Menor"),CONCATENATE("R2C",'Mapa final'!$R$79),"")</f>
        <v/>
      </c>
      <c r="T51" s="54" t="str">
        <f>IF(AND('Mapa final'!$AH$80="Baja",'Mapa final'!$AJ$80="Menor"),CONCATENATE("R2C",'Mapa final'!$R$80),"")</f>
        <v/>
      </c>
      <c r="U51" s="54" t="str">
        <f>IF(AND('Mapa final'!$AH$82="Baja",'Mapa final'!$AJ$82="Menor"),CONCATENATE("R2C",'Mapa final'!$R$82),"")</f>
        <v/>
      </c>
      <c r="V51" s="55" t="str">
        <f>IF(AND('Mapa final'!$AH$83="Baja",'Mapa final'!$AJ$83="Menor"),CONCATENATE("R2C",'Mapa final'!$R$83),"")</f>
        <v/>
      </c>
      <c r="W51" s="56" t="str">
        <f>IF(AND('Mapa final'!$AH$77="Baja",'Mapa final'!$AJ$77="Moderado"),CONCATENATE("R2C",'Mapa final'!$R$77),"")</f>
        <v/>
      </c>
      <c r="X51" s="57" t="str">
        <f>IF(AND('Mapa final'!$AH$78="Baja",'Mapa final'!$AJ$78="Moderado"),CONCATENATE("R2C",'Mapa final'!$R$78),"")</f>
        <v/>
      </c>
      <c r="Y51" s="57" t="str">
        <f>IF(AND('Mapa final'!$AH$79="Baja",'Mapa final'!$AJ$79="Moderado"),CONCATENATE("R2C",'Mapa final'!$R$79),"")</f>
        <v/>
      </c>
      <c r="Z51" s="57" t="str">
        <f>IF(AND('Mapa final'!$AH$80="Baja",'Mapa final'!$AJ$80="Moderado"),CONCATENATE("R2C",'Mapa final'!$R$80),"")</f>
        <v/>
      </c>
      <c r="AA51" s="57" t="str">
        <f>IF(AND('Mapa final'!$AH$82="Baja",'Mapa final'!$AJ$82="Moderado"),CONCATENATE("R2C",'Mapa final'!$R$82),"")</f>
        <v/>
      </c>
      <c r="AB51" s="58" t="str">
        <f>IF(AND('Mapa final'!$AH$83="Baja",'Mapa final'!$AJ$83="Moderado"),CONCATENATE("R2C",'Mapa final'!$R$83),"")</f>
        <v/>
      </c>
      <c r="AC51" s="44" t="str">
        <f>IF(AND('Mapa final'!$AH$77="Baja",'Mapa final'!$AJ$77="Mayor"),CONCATENATE("R2C",'Mapa final'!$R$77),"")</f>
        <v/>
      </c>
      <c r="AD51" s="45" t="str">
        <f>IF(AND('Mapa final'!$AH$78="Baja",'Mapa final'!$AJ$78="Mayor"),CONCATENATE("R2C",'Mapa final'!$R$78),"")</f>
        <v/>
      </c>
      <c r="AE51" s="45" t="str">
        <f>IF(AND('Mapa final'!$AH$79="Baja",'Mapa final'!$AJ$79="Mayor"),CONCATENATE("R2C",'Mapa final'!$R$79),"")</f>
        <v/>
      </c>
      <c r="AF51" s="45" t="str">
        <f>IF(AND('Mapa final'!$AH$80="Baja",'Mapa final'!$AJ$80="Mayor"),CONCATENATE("R2C",'Mapa final'!$R$80),"")</f>
        <v/>
      </c>
      <c r="AG51" s="45" t="str">
        <f>IF(AND('Mapa final'!$AH$82="Baja",'Mapa final'!$AJ$82="Mayor"),CONCATENATE("R2C",'Mapa final'!$R$82),"")</f>
        <v/>
      </c>
      <c r="AH51" s="46" t="str">
        <f>IF(AND('Mapa final'!$AH$83="Baja",'Mapa final'!$AJ$83="Mayor"),CONCATENATE("R2C",'Mapa final'!$R$83),"")</f>
        <v/>
      </c>
      <c r="AI51" s="47" t="str">
        <f>IF(AND('Mapa final'!$AH$77="Baja",'Mapa final'!$AJ$77="Catastrófico"),CONCATENATE("R2C",'Mapa final'!$R$77),"")</f>
        <v/>
      </c>
      <c r="AJ51" s="48" t="str">
        <f>IF(AND('Mapa final'!$AH$78="Baja",'Mapa final'!$AJ$78="Catastrófico"),CONCATENATE("R2C",'Mapa final'!$R$78),"")</f>
        <v/>
      </c>
      <c r="AK51" s="48" t="str">
        <f>IF(AND('Mapa final'!$AH$79="Baja",'Mapa final'!$AJ$79="Catastrófico"),CONCATENATE("R2C",'Mapa final'!$R$79),"")</f>
        <v/>
      </c>
      <c r="AL51" s="48" t="str">
        <f>IF(AND('Mapa final'!$AH$80="Baja",'Mapa final'!$AJ$80="Catastrófico"),CONCATENATE("R2C",'Mapa final'!$R$80),"")</f>
        <v/>
      </c>
      <c r="AM51" s="48" t="str">
        <f>IF(AND('Mapa final'!$AH$82="Baja",'Mapa final'!$AJ$82="Catastrófico"),CONCATENATE("R2C",'Mapa final'!$R$82),"")</f>
        <v/>
      </c>
      <c r="AN51" s="49" t="str">
        <f>IF(AND('Mapa final'!$AH$83="Baja",'Mapa final'!$AJ$83="Catastrófico"),CONCATENATE("R2C",'Mapa final'!$R$83),"")</f>
        <v/>
      </c>
      <c r="AO51" s="68"/>
      <c r="AP51" s="537"/>
      <c r="AQ51" s="538"/>
      <c r="AR51" s="538"/>
      <c r="AS51" s="538"/>
      <c r="AT51" s="538"/>
      <c r="AU51" s="539"/>
    </row>
    <row r="52" spans="2:81" ht="41.25" customHeight="1">
      <c r="B52" s="68"/>
      <c r="C52" s="411"/>
      <c r="D52" s="411"/>
      <c r="E52" s="412"/>
      <c r="F52" s="500" t="s">
        <v>290</v>
      </c>
      <c r="G52" s="501"/>
      <c r="H52" s="501"/>
      <c r="I52" s="501"/>
      <c r="J52" s="502"/>
      <c r="K52" s="59"/>
      <c r="L52" s="60" t="str">
        <f>IF(AND('Mapa final'!$AH$16="Muy Baja",'Mapa final'!$AJ$16="Leve"),CONCATENATE("R2C",'Mapa final'!$R$15),"")</f>
        <v/>
      </c>
      <c r="M52" s="60" t="str">
        <f>IF(AND('Mapa final'!$AH$17="Muy Baja",'Mapa final'!$AJ$17="Leve"),CONCATENATE("R2C",'Mapa final'!$R$17),"")</f>
        <v/>
      </c>
      <c r="N52" s="60" t="e">
        <f>IF(AND('Mapa final'!#REF!="Muy Baja",'Mapa final'!#REF!="Leve"),CONCATENATE("R2C",'Mapa final'!#REF!),"")</f>
        <v>#REF!</v>
      </c>
      <c r="O52" s="60" t="str">
        <f>IF(AND('Mapa final'!$AH$19="Muy Baja",'Mapa final'!$AJ$19="Leve"),CONCATENATE("R2C",'Mapa final'!$R$19),"")</f>
        <v/>
      </c>
      <c r="P52" s="61" t="str">
        <f>IF(AND('Mapa final'!$AH$20="Muy Baja",'Mapa final'!$AJ$20="Leve"),CONCATENATE("R2C",'Mapa final'!$R$20),"")</f>
        <v/>
      </c>
      <c r="Q52" s="59"/>
      <c r="R52" s="60" t="str">
        <f>IF(AND('Mapa final'!$AH$16="Muy Baja",'Mapa final'!$AJ$16="Menore"),CONCATENATE("R2C",'Mapa final'!$R$15),"")</f>
        <v/>
      </c>
      <c r="S52" s="60" t="str">
        <f>IF(AND('Mapa final'!$AH$17="Muy Baja",'Mapa final'!$AJ$17="Menor"),CONCATENATE("R2C",'Mapa final'!$R$17),"")</f>
        <v/>
      </c>
      <c r="T52" s="60" t="e">
        <f>IF(AND('Mapa final'!#REF!="Muy Baja",'Mapa final'!#REF!="Menor"),CONCATENATE("R2C",'Mapa final'!#REF!),"")</f>
        <v>#REF!</v>
      </c>
      <c r="U52" s="60" t="str">
        <f>IF(AND('Mapa final'!$AH$19="Muy Baja",'Mapa final'!$AJ$19="Menor"),CONCATENATE("R2C",'Mapa final'!$R$19),"")</f>
        <v/>
      </c>
      <c r="V52" s="61" t="str">
        <f>IF(AND('Mapa final'!$AH$20="Muy Baja",'Mapa final'!$AJ$20="Menor"),CONCATENATE("R2C",'Mapa final'!$R$20),"")</f>
        <v/>
      </c>
      <c r="W52" s="50"/>
      <c r="X52" s="165" t="str">
        <f>IF(AND('Mapa final'!$AH$16="Muy Baja",'Mapa final'!$AJ$16="Moderado"),CONCATENATE("R2C",'Mapa final'!$D$15),"")</f>
        <v/>
      </c>
      <c r="Y52" s="51"/>
      <c r="Z52" s="51" t="e">
        <f>IF(AND('Mapa final'!#REF!="Muy Baja",'Mapa final'!#REF!="Moderado"),CONCATENATE("R2C",'Mapa final'!#REF!),"")</f>
        <v>#REF!</v>
      </c>
      <c r="AA52" s="51" t="str">
        <f>IF(AND('Mapa final'!$AH$19="Muy Baja",'Mapa final'!$AJ$19="Moderado"),CONCATENATE("R2C",'Mapa final'!$R$19),"")</f>
        <v/>
      </c>
      <c r="AB52" s="52" t="str">
        <f>IF(AND('Mapa final'!$AH$20="Muy Baja",'Mapa final'!$AJ$20="Moderado"),CONCATENATE("R2C",'Mapa final'!$R$20),"")</f>
        <v/>
      </c>
      <c r="AC52" s="32"/>
      <c r="AD52" s="33" t="str">
        <f>IF(AND('Mapa final'!$AH$16="Muy Baja",'Mapa final'!$AJ$16="Mayor"),CONCATENATE("R2C",'Mapa final'!$R$15),"")</f>
        <v/>
      </c>
      <c r="AE52" s="164" t="str">
        <f>IF(AND('Mapa final'!$AH$17="Muy Baja",'Mapa final'!$AJ$17="Mayor"),CONCATENATE("R2C",'Mapa final'!$D$17),"")</f>
        <v/>
      </c>
      <c r="AF52" s="33" t="e">
        <f>IF(AND('Mapa final'!#REF!="Muy Baja",'Mapa final'!#REF!="Mayor"),CONCATENATE("R2C",'Mapa final'!#REF!),"")</f>
        <v>#REF!</v>
      </c>
      <c r="AG52" s="33" t="str">
        <f>IF(AND('Mapa final'!$AH$19="Muy Baja",'Mapa final'!$AJ$19="Mayor"),CONCATENATE("R2C",'Mapa final'!$R$19),"")</f>
        <v/>
      </c>
      <c r="AH52" s="34" t="str">
        <f>IF(AND('Mapa final'!$AH$20="Muy Baja",'Mapa final'!$AJ$20="Mayor"),CONCATENATE("R2C",'Mapa final'!$R$20),"")</f>
        <v/>
      </c>
      <c r="AI52" s="35"/>
      <c r="AJ52" s="36" t="str">
        <f>IF(AND('Mapa final'!$AH$16="Muy Baja",'Mapa final'!$AJ$16="Catastrófico"),CONCATENATE("R2C",'Mapa final'!$D$15),"")</f>
        <v/>
      </c>
      <c r="AK52" s="36" t="str">
        <f>IF(AND('Mapa final'!$AH$17="Muy Baja",'Mapa final'!$AJ$17="Catastrófico"),CONCATENATE("R2C",'Mapa final'!$R$17),"")</f>
        <v/>
      </c>
      <c r="AL52" s="36" t="e">
        <f>IF(AND('Mapa final'!#REF!="Muy Baja",'Mapa final'!#REF!="Catastrófico"),CONCATENATE("R2C",'Mapa final'!#REF!),"")</f>
        <v>#REF!</v>
      </c>
      <c r="AM52" s="36" t="str">
        <f>IF(AND('Mapa final'!$AH$19="Muy Baja",'Mapa final'!$AJ$19="Catastrófico"),CONCATENATE("R2C",'Mapa final'!$R$19),"")</f>
        <v/>
      </c>
      <c r="AN52" s="37" t="str">
        <f>IF(AND('Mapa final'!$AH$20="Muy Baja",'Mapa final'!$AJ$20="Catastrófico"),CONCATENATE("R2C",'Mapa final'!$R$20),"")</f>
        <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11"/>
      <c r="D53" s="411"/>
      <c r="E53" s="412"/>
      <c r="F53" s="518"/>
      <c r="G53" s="504"/>
      <c r="H53" s="504"/>
      <c r="I53" s="504"/>
      <c r="J53" s="505"/>
      <c r="K53" s="62" t="str">
        <f>IF(AND('Mapa final'!$AH$21="Muy Baja",'Mapa final'!$AJ$21="Leve"),CONCATENATE("R2C",'Mapa final'!$R$21),"")</f>
        <v/>
      </c>
      <c r="L53" s="63" t="str">
        <f>IF(AND('Mapa final'!$AH$22="Muy Baja",'Mapa final'!$AJ$22="Leve"),CONCATENATE("R2C",'Mapa final'!$R$22),"")</f>
        <v/>
      </c>
      <c r="M53" s="63" t="str">
        <f>IF(AND('Mapa final'!$AH$31="Muy Baja",'Mapa final'!$AJ$31="Leve"),CONCATENATE("R2C",'Mapa final'!$R$31),"")</f>
        <v/>
      </c>
      <c r="N53" s="63" t="str">
        <f>IF(AND('Mapa final'!$AH$32="Muy Baja",'Mapa final'!$AJ$32="Leve"),CONCATENATE("R2C",'Mapa final'!$R$32),"")</f>
        <v/>
      </c>
      <c r="O53" s="63" t="str">
        <f>IF(AND('Mapa final'!$AH$33="Muy Baja",'Mapa final'!$AJ$33="Leve"),CONCATENATE("R2C",'Mapa final'!$R$33),"")</f>
        <v/>
      </c>
      <c r="P53" s="64" t="str">
        <f>IF(AND('Mapa final'!$AH$34="Muy Baja",'Mapa final'!$AJ$34="Leve"),CONCATENATE("R2C",'Mapa final'!$R$34),"")</f>
        <v/>
      </c>
      <c r="Q53" s="62" t="str">
        <f>IF(AND('Mapa final'!$AH$21="Muy Baja",'Mapa final'!$AJ$21="Menor"),CONCATENATE("R2C",'Mapa final'!$R$21),"")</f>
        <v/>
      </c>
      <c r="R53" s="63" t="str">
        <f>IF(AND('Mapa final'!$AH$22="Muy Baja",'Mapa final'!$AJ$22="Menor"),CONCATENATE("R2C",'Mapa final'!$R$22),"")</f>
        <v/>
      </c>
      <c r="S53" s="63" t="str">
        <f>IF(AND('Mapa final'!$AH$31="Muy Baja",'Mapa final'!$AJ$31="Menor"),CONCATENATE("R2C",'Mapa final'!$R$31),"")</f>
        <v/>
      </c>
      <c r="T53" s="63" t="str">
        <f>IF(AND('Mapa final'!$AH$32="Muy Baja",'Mapa final'!$AJ$32="Menor"),CONCATENATE("R2C",'Mapa final'!$R$32),"")</f>
        <v/>
      </c>
      <c r="U53" s="63" t="str">
        <f>IF(AND('Mapa final'!$AH$33="Muy Baja",'Mapa final'!$AJ$33="Menor"),CONCATENATE("R2C",'Mapa final'!$R$33),"")</f>
        <v/>
      </c>
      <c r="V53" s="64" t="str">
        <f>IF(AND('Mapa final'!$AH$34="Muy Baja",'Mapa final'!$AJ$34="Menor"),CONCATENATE("R2C",'Mapa final'!$R$34),"")</f>
        <v/>
      </c>
      <c r="W53" s="53" t="str">
        <f>IF(AND('Mapa final'!$AH$21="Muy Baja",'Mapa final'!$AJ$21="Moderado"),CONCATENATE("R2C",'Mapa final'!$R$21),"")</f>
        <v/>
      </c>
      <c r="X53" s="54" t="str">
        <f>IF(AND('Mapa final'!$AH$22="Muy Baja",'Mapa final'!$AJ$22="Moderado"),CONCATENATE("R2C",'Mapa final'!$R$22),"")</f>
        <v/>
      </c>
      <c r="Y53" s="54" t="str">
        <f>IF(AND('Mapa final'!$AH$31="Muy Baja",'Mapa final'!$AJ$31="Moderado"),CONCATENATE("R2C",'Mapa final'!$R$31),"")</f>
        <v/>
      </c>
      <c r="Z53" s="54" t="str">
        <f>IF(AND('Mapa final'!$AH$32="Muy Baja",'Mapa final'!$AJ$32="Moderado"),CONCATENATE("R2C",'Mapa final'!$R$32),"")</f>
        <v/>
      </c>
      <c r="AA53" s="54" t="str">
        <f>IF(AND('Mapa final'!$AH$33="Muy Baja",'Mapa final'!$AJ$33="Moderado"),CONCATENATE("R2C",'Mapa final'!$R$33),"")</f>
        <v/>
      </c>
      <c r="AB53" s="55" t="str">
        <f>IF(AND('Mapa final'!$AH$34="Muy Baja",'Mapa final'!$AJ$34="Moderado"),CONCATENATE("R2C",'Mapa final'!$R$34),"")</f>
        <v/>
      </c>
      <c r="AC53" s="38" t="str">
        <f>IF(AND('Mapa final'!$AH$21="Muy Baja",'Mapa final'!$AJ$21="Mayor"),CONCATENATE("R2C",'Mapa final'!$R$21),"")</f>
        <v/>
      </c>
      <c r="AD53" s="39" t="str">
        <f>IF(AND('Mapa final'!$AH$22="Muy Baja",'Mapa final'!$AJ$22="Mayor"),CONCATENATE("R2C",'Mapa final'!$R$22),"")</f>
        <v/>
      </c>
      <c r="AE53" s="39" t="str">
        <f>IF(AND('Mapa final'!$AH$31="Muy Baja",'Mapa final'!$AJ$31="Mayor"),CONCATENATE("R2C",'Mapa final'!$R$31),"")</f>
        <v/>
      </c>
      <c r="AF53" s="39" t="str">
        <f>IF(AND('Mapa final'!$AH$32="Muy Baja",'Mapa final'!$AJ$32="Mayor"),CONCATENATE("R2C",'Mapa final'!$R$32),"")</f>
        <v/>
      </c>
      <c r="AG53" s="39" t="str">
        <f>IF(AND('Mapa final'!$AH$33="Muy Baja",'Mapa final'!$AJ$33="Mayor"),CONCATENATE("R2C",'Mapa final'!$R$33),"")</f>
        <v/>
      </c>
      <c r="AH53" s="40" t="str">
        <f>IF(AND('Mapa final'!$AH$34="Muy Baja",'Mapa final'!$AJ$34="Mayor"),CONCATENATE("R2C",'Mapa final'!$R$34),"")</f>
        <v/>
      </c>
      <c r="AI53" s="41" t="str">
        <f>IF(AND('Mapa final'!$AH$21="Muy Baja",'Mapa final'!$AJ$21="Catastrófico"),CONCATENATE("R2C",'Mapa final'!$A$21),"")</f>
        <v/>
      </c>
      <c r="AJ53" s="42" t="str">
        <f>IF(AND('Mapa final'!$AH$22="Muy Baja",'Mapa final'!$AJ$22="Catastrófico"),CONCATENATE("R2C",'Mapa final'!$R$22),"")</f>
        <v/>
      </c>
      <c r="AK53" s="42" t="str">
        <f>IF(AND('Mapa final'!$AH$31="Muy Baja",'Mapa final'!$AJ$31="Catastrófico"),CONCATENATE("R2C",'Mapa final'!$R$31),"")</f>
        <v/>
      </c>
      <c r="AL53" s="42" t="str">
        <f>IF(AND('Mapa final'!$AH$32="Muy Baja",'Mapa final'!$AJ$32="Catastrófico"),CONCATENATE("R2C",'Mapa final'!$R$32),"")</f>
        <v/>
      </c>
      <c r="AM53" s="42" t="str">
        <f>IF(AND('Mapa final'!$AH$33="Muy Baja",'Mapa final'!$AJ$33="Catastrófico"),CONCATENATE("R2C",'Mapa final'!$R$33),"")</f>
        <v/>
      </c>
      <c r="AN53" s="43" t="str">
        <f>IF(AND('Mapa final'!$AH$34="Muy Baja",'Mapa final'!$AJ$34="Catastrófico"),CONCATENATE("R2C",'Mapa final'!$R$34),"")</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11"/>
      <c r="D54" s="411"/>
      <c r="E54" s="412"/>
      <c r="F54" s="518"/>
      <c r="G54" s="504"/>
      <c r="H54" s="504"/>
      <c r="I54" s="504"/>
      <c r="J54" s="505"/>
      <c r="K54" s="62" t="str">
        <f>IF(AND('Mapa final'!$AH$35="Muy Baja",'Mapa final'!$AJ$35="Leve"),CONCATENATE("R2C",'Mapa final'!$R$35),"")</f>
        <v/>
      </c>
      <c r="L54" s="63" t="str">
        <f>IF(AND('Mapa final'!$AH$36="Muy Baja",'Mapa final'!$AJ$36="Leve"),CONCATENATE("R2C",'Mapa final'!$R$36),"")</f>
        <v/>
      </c>
      <c r="M54" s="63" t="str">
        <f>IF(AND('Mapa final'!$AH$37="Muy Baja",'Mapa final'!$AJ$37="Leve"),CONCATENATE("R2C",'Mapa final'!$R$37),"")</f>
        <v/>
      </c>
      <c r="N54" s="63" t="str">
        <f>IF(AND('Mapa final'!$AH$38="Muy Baja",'Mapa final'!$AJ$38="Leve"),CONCATENATE("R2C",'Mapa final'!$R$38),"")</f>
        <v/>
      </c>
      <c r="O54" s="63" t="str">
        <f>IF(AND('Mapa final'!$AH$39="Muy Baja",'Mapa final'!$AJ$39="Leve"),CONCATENATE("R2C",'Mapa final'!$R$39),"")</f>
        <v/>
      </c>
      <c r="P54" s="64" t="str">
        <f>IF(AND('Mapa final'!$AH$40="Muy Baja",'Mapa final'!$AJ$40="Leve"),CONCATENATE("R2C",'Mapa final'!$R$40),"")</f>
        <v/>
      </c>
      <c r="Q54" s="62" t="str">
        <f>IF(AND('Mapa final'!$AH$35="Muy Baja",'Mapa final'!$AJ$35="Menor"),CONCATENATE("R2C",'Mapa final'!$R$35),"")</f>
        <v/>
      </c>
      <c r="R54" s="63" t="str">
        <f>IF(AND('Mapa final'!$AH$36="Muy Baja",'Mapa final'!$AJ$36="Menor"),CONCATENATE("R2C",'Mapa final'!$R$36),"")</f>
        <v/>
      </c>
      <c r="S54" s="63" t="str">
        <f>IF(AND('Mapa final'!$AH$37="Muy Baja",'Mapa final'!$AJ$37="Menor"),CONCATENATE("R2C",'Mapa final'!$R$37),"")</f>
        <v/>
      </c>
      <c r="T54" s="63" t="str">
        <f>IF(AND('Mapa final'!$AH$38="Muy Baja",'Mapa final'!$AJ$38="Menor"),CONCATENATE("R2C",'Mapa final'!$R$38),"")</f>
        <v/>
      </c>
      <c r="U54" s="63" t="str">
        <f>IF(AND('Mapa final'!$AH$39="Muy Baja",'Mapa final'!$AJ$39="Menor"),CONCATENATE("R2C",'Mapa final'!$R$39),"")</f>
        <v/>
      </c>
      <c r="V54" s="64" t="str">
        <f>IF(AND('Mapa final'!$AH$40="Muy Baja",'Mapa final'!$AJ$40="Menor"),CONCATENATE("R2C",'Mapa final'!$R$40),"")</f>
        <v/>
      </c>
      <c r="W54" s="53" t="str">
        <f>IF(AND('Mapa final'!$AH$35="Muy Baja",'Mapa final'!$AJ$35="Moderado"),CONCATENATE("R2C",'Mapa final'!$R$35),"")</f>
        <v/>
      </c>
      <c r="X54" s="54" t="str">
        <f>IF(AND('Mapa final'!$AH$36="Muy Baja",'Mapa final'!$AJ$36="Moderado"),CONCATENATE("R2C",'Mapa final'!$R$36),"")</f>
        <v/>
      </c>
      <c r="Y54" s="54" t="str">
        <f>IF(AND('Mapa final'!$AH$37="Muy Baja",'Mapa final'!$AJ$37="Moderado"),CONCATENATE("R2C",'Mapa final'!$R$37),"")</f>
        <v/>
      </c>
      <c r="Z54" s="54" t="str">
        <f>IF(AND('Mapa final'!$AH$38="Muy Baja",'Mapa final'!$AJ$38="Moderado"),CONCATENATE("R2C",'Mapa final'!$R$38),"")</f>
        <v/>
      </c>
      <c r="AA54" s="54" t="str">
        <f>IF(AND('Mapa final'!$AH$39="Muy Baja",'Mapa final'!$AJ$39="Moderado"),CONCATENATE("R2C",'Mapa final'!$R$39),"")</f>
        <v/>
      </c>
      <c r="AB54" s="55" t="str">
        <f>IF(AND('Mapa final'!$AH$40="Muy Baja",'Mapa final'!$AJ$40="Moderado"),CONCATENATE("R2C",'Mapa final'!$R$40),"")</f>
        <v/>
      </c>
      <c r="AC54" s="38" t="str">
        <f>IF(AND('Mapa final'!$AH$35="Muy Baja",'Mapa final'!$AJ$35="Mayor"),CONCATENATE("R2C",'Mapa final'!$R$35),"")</f>
        <v/>
      </c>
      <c r="AD54" s="39" t="str">
        <f>IF(AND('Mapa final'!$AH$36="Muy Baja",'Mapa final'!$AJ$36="Mayor"),CONCATENATE("R2C",'Mapa final'!$R$36),"")</f>
        <v/>
      </c>
      <c r="AE54" s="39" t="str">
        <f>IF(AND('Mapa final'!$AH$37="Muy Baja",'Mapa final'!$AJ$37="Mayor"),CONCATENATE("R2C",'Mapa final'!$R$37),"")</f>
        <v/>
      </c>
      <c r="AF54" s="39" t="str">
        <f>IF(AND('Mapa final'!$AH$38="Muy Baja",'Mapa final'!$AJ$38="Mayor"),CONCATENATE("R2C",'Mapa final'!$R$38),"")</f>
        <v/>
      </c>
      <c r="AG54" s="39" t="str">
        <f>IF(AND('Mapa final'!$AH$39="Muy Baja",'Mapa final'!$AJ$39="Mayor"),CONCATENATE("R2C",'Mapa final'!$R$39),"")</f>
        <v/>
      </c>
      <c r="AH54" s="40" t="str">
        <f>IF(AND('Mapa final'!$AH$40="Muy Baja",'Mapa final'!$AJ$40="Mayor"),CONCATENATE("R2C",'Mapa final'!$R$40),"")</f>
        <v/>
      </c>
      <c r="AI54" s="41" t="str">
        <f>IF(AND('Mapa final'!$AH$35="Muy Baja",'Mapa final'!$AJ$35="Catastrófico"),CONCATENATE("R2C",'Mapa final'!$R$35),"")</f>
        <v/>
      </c>
      <c r="AJ54" s="42" t="str">
        <f>IF(AND('Mapa final'!$AH$36="Muy Baja",'Mapa final'!$AJ$36="Catastrófico"),CONCATENATE("R2C",'Mapa final'!$R$36),"")</f>
        <v/>
      </c>
      <c r="AK54" s="42" t="str">
        <f>IF(AND('Mapa final'!$AH$37="Muy Baja",'Mapa final'!$AJ$37="Catastrófico"),CONCATENATE("R2C",'Mapa final'!$R$37),"")</f>
        <v/>
      </c>
      <c r="AL54" s="42" t="str">
        <f>IF(AND('Mapa final'!$AH$38="Muy Baja",'Mapa final'!$AJ$38="Catastrófico"),CONCATENATE("R2C",'Mapa final'!$R$38),"")</f>
        <v/>
      </c>
      <c r="AM54" s="42" t="str">
        <f>IF(AND('Mapa final'!$AH$39="Muy Baja",'Mapa final'!$AJ$39="Catastrófico"),CONCATENATE("R2C",'Mapa final'!$R$39),"")</f>
        <v/>
      </c>
      <c r="AN54" s="43" t="str">
        <f>IF(AND('Mapa final'!$AH$40="Muy Baja",'Mapa final'!$AJ$40="Catastrófico"),CONCATENATE("R2C",'Mapa final'!$R$40),"")</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11"/>
      <c r="D55" s="411"/>
      <c r="E55" s="412"/>
      <c r="F55" s="503"/>
      <c r="G55" s="504"/>
      <c r="H55" s="504"/>
      <c r="I55" s="504"/>
      <c r="J55" s="505"/>
      <c r="K55" s="62" t="str">
        <f>IF(AND('Mapa final'!$AH$41="Muy Baja",'Mapa final'!$AJ$41="Leve"),CONCATENATE("R2C",'Mapa final'!$R$41),"")</f>
        <v/>
      </c>
      <c r="L55" s="63" t="str">
        <f>IF(AND('Mapa final'!$AH$42="Muy Baja",'Mapa final'!$AJ$42="Leve"),CONCATENATE("R2C",'Mapa final'!$R$42),"")</f>
        <v/>
      </c>
      <c r="M55" s="63" t="str">
        <f>IF(AND('Mapa final'!$AH$43="Muy Baja",'Mapa final'!$AJ$43="Leve"),CONCATENATE("R2C",'Mapa final'!$R$43),"")</f>
        <v/>
      </c>
      <c r="N55" s="63" t="str">
        <f>IF(AND('Mapa final'!$AH$44="Muy Baja",'Mapa final'!$AJ$44="Leve"),CONCATENATE("R2C",'Mapa final'!$R$44),"")</f>
        <v/>
      </c>
      <c r="O55" s="63" t="str">
        <f>IF(AND('Mapa final'!$AH$45="Muy Baja",'Mapa final'!$AJ$45="Leve"),CONCATENATE("R2C",'Mapa final'!$R$45),"")</f>
        <v/>
      </c>
      <c r="P55" s="64" t="str">
        <f>IF(AND('Mapa final'!$AH$46="Muy Baja",'Mapa final'!$AJ$46="Leve"),CONCATENATE("R2C",'Mapa final'!$R$46),"")</f>
        <v/>
      </c>
      <c r="Q55" s="62" t="str">
        <f>IF(AND('Mapa final'!$AH$41="Muy Baja",'Mapa final'!$AJ$41="Menor"),CONCATENATE("R2C",'Mapa final'!$R$41),"")</f>
        <v/>
      </c>
      <c r="R55" s="63" t="str">
        <f>IF(AND('Mapa final'!$AH$42="Muy Baja",'Mapa final'!$AJ$42="Menor"),CONCATENATE("R2C",'Mapa final'!$R$42),"")</f>
        <v/>
      </c>
      <c r="S55" s="63" t="str">
        <f>IF(AND('Mapa final'!$AH$43="Muy Baja",'Mapa final'!$AJ$43="Menor"),CONCATENATE("R2C",'Mapa final'!$R$43),"")</f>
        <v/>
      </c>
      <c r="T55" s="63" t="str">
        <f>IF(AND('Mapa final'!$AH$44="Muy Baja",'Mapa final'!$AJ$44="Menor"),CONCATENATE("R2C",'Mapa final'!$R$44),"")</f>
        <v/>
      </c>
      <c r="U55" s="63" t="str">
        <f>IF(AND('Mapa final'!$AH$45="Muy Baja",'Mapa final'!$AJ$45="LMenor"),CONCATENATE("R2C",'Mapa final'!$R$45),"")</f>
        <v/>
      </c>
      <c r="V55" s="64" t="str">
        <f>IF(AND('Mapa final'!$AH$46="Muy Baja",'Mapa final'!$AJ$46="Menor"),CONCATENATE("R2C",'Mapa final'!$R$46),"")</f>
        <v/>
      </c>
      <c r="W55" s="53" t="str">
        <f>IF(AND('Mapa final'!$AH$41="Muy Baja",'Mapa final'!$AJ$41="Moderado"),CONCATENATE("R2C",'Mapa final'!$R$41),"")</f>
        <v/>
      </c>
      <c r="X55" s="54" t="str">
        <f>IF(AND('Mapa final'!$AH$42="Muy Baja",'Mapa final'!$AJ$42="Moderado"),CONCATENATE("R2C",'Mapa final'!$R$42),"")</f>
        <v/>
      </c>
      <c r="Y55" s="54" t="str">
        <f>IF(AND('Mapa final'!$AH$43="Muy Baja",'Mapa final'!$AJ$43="Moderado"),CONCATENATE("R2C",'Mapa final'!$R$43),"")</f>
        <v/>
      </c>
      <c r="Z55" s="54" t="str">
        <f>IF(AND('Mapa final'!$AH$44="Muy Baja",'Mapa final'!$AJ$44="Moderado"),CONCATENATE("R2C",'Mapa final'!$R$44),"")</f>
        <v/>
      </c>
      <c r="AA55" s="54" t="str">
        <f>IF(AND('Mapa final'!$AH$45="Muy Baja",'Mapa final'!$AJ$45="Moderado"),CONCATENATE("R2C",'Mapa final'!$R$45),"")</f>
        <v/>
      </c>
      <c r="AB55" s="55" t="str">
        <f>IF(AND('Mapa final'!$AH$46="Muy Baja",'Mapa final'!$AJ$46="Moderado"),CONCATENATE("R2C",'Mapa final'!$R$46),"")</f>
        <v/>
      </c>
      <c r="AC55" s="38" t="str">
        <f>IF(AND('Mapa final'!$AH$41="Muy Baja",'Mapa final'!$AJ$41="Mayor"),CONCATENATE("R2C",'Mapa final'!$R$41),"")</f>
        <v/>
      </c>
      <c r="AD55" s="39" t="str">
        <f>IF(AND('Mapa final'!$AH$42="Muy Baja",'Mapa final'!$AJ$42="Mayor"),CONCATENATE("R2C",'Mapa final'!$R$42),"")</f>
        <v/>
      </c>
      <c r="AE55" s="39" t="str">
        <f>IF(AND('Mapa final'!$AH$43="Muy Baja",'Mapa final'!$AJ$43="Mayor"),CONCATENATE("R2C",'Mapa final'!$R$43),"")</f>
        <v/>
      </c>
      <c r="AF55" s="39" t="str">
        <f>IF(AND('Mapa final'!$AH$44="Muy Baja",'Mapa final'!$AJ$44="Mayor"),CONCATENATE("R2C",'Mapa final'!$R$44),"")</f>
        <v/>
      </c>
      <c r="AG55" s="39" t="str">
        <f>IF(AND('Mapa final'!$AH$45="Muy Baja",'Mapa final'!$AJ$45="Mayor"),CONCATENATE("R2C",'Mapa final'!$R$45),"")</f>
        <v/>
      </c>
      <c r="AH55" s="40" t="str">
        <f>IF(AND('Mapa final'!$AH$46="Muy Baja",'Mapa final'!$AJ$46="Mayor"),CONCATENATE("R2C",'Mapa final'!$R$46),"")</f>
        <v/>
      </c>
      <c r="AI55" s="41" t="str">
        <f>IF(AND('Mapa final'!$AH$41="Muy Baja",'Mapa final'!$AJ$41="Catastrófico"),CONCATENATE("R2C",'Mapa final'!$R$41),"")</f>
        <v/>
      </c>
      <c r="AJ55" s="42" t="str">
        <f>IF(AND('Mapa final'!$AH$42="Muy Baja",'Mapa final'!$AJ$42="Catastrófico"),CONCATENATE("R2C",'Mapa final'!$R$42),"")</f>
        <v/>
      </c>
      <c r="AK55" s="42" t="str">
        <f>IF(AND('Mapa final'!$AH$43="Muy Baja",'Mapa final'!$AJ$43="Catastrófico"),CONCATENATE("R2C",'Mapa final'!$R$43),"")</f>
        <v/>
      </c>
      <c r="AL55" s="42" t="str">
        <f>IF(AND('Mapa final'!$AH$44="Muy Baja",'Mapa final'!$AJ$44="Catastrófico"),CONCATENATE("R2C",'Mapa final'!$R$44),"")</f>
        <v/>
      </c>
      <c r="AM55" s="42" t="str">
        <f>IF(AND('Mapa final'!$AH$45="Muy Baja",'Mapa final'!$AJ$45="LCatastrófico"),CONCATENATE("R2C",'Mapa final'!$R$45),"")</f>
        <v/>
      </c>
      <c r="AN55" s="43" t="str">
        <f>IF(AND('Mapa final'!$AH$46="Muy Baja",'Mapa final'!$AJ$46="Catastrófico"),CONCATENATE("R2C",'Mapa final'!$R$46),"")</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11"/>
      <c r="D56" s="411"/>
      <c r="E56" s="412"/>
      <c r="F56" s="503"/>
      <c r="G56" s="504"/>
      <c r="H56" s="504"/>
      <c r="I56" s="504"/>
      <c r="J56" s="505"/>
      <c r="K56" s="62" t="str">
        <f>IF(AND('Mapa final'!$AH$47="Muy Baja",'Mapa final'!$AJ$47="Leve"),CONCATENATE("R2C",'Mapa final'!$R$47),"")</f>
        <v/>
      </c>
      <c r="L56" s="63" t="str">
        <f>IF(AND('Mapa final'!$AH$48="Muy Baja",'Mapa final'!$AJ$48="Leve"),CONCATENATE("R2C",'Mapa final'!$R$48),"")</f>
        <v/>
      </c>
      <c r="M56" s="63" t="str">
        <f>IF(AND('Mapa final'!$AH$49="Muy Baja",'Mapa final'!$AJ$49="Leve"),CONCATENATE("R2C",'Mapa final'!$R$49),"")</f>
        <v/>
      </c>
      <c r="N56" s="63" t="str">
        <f>IF(AND('Mapa final'!$AH$50="Muy Baja",'Mapa final'!$AJ$50="Leve"),CONCATENATE("R2C",'Mapa final'!$R$50),"")</f>
        <v/>
      </c>
      <c r="O56" s="63" t="str">
        <f>IF(AND('Mapa final'!$AH$51="Muy Baja",'Mapa final'!$AJ$51="Leve"),CONCATENATE("R2C",'Mapa final'!$R$51),"")</f>
        <v/>
      </c>
      <c r="P56" s="64" t="str">
        <f>IF(AND('Mapa final'!$AH$52="Muy Baja",'Mapa final'!$AJ$52="Leve"),CONCATENATE("R2C",'Mapa final'!$R$52),"")</f>
        <v/>
      </c>
      <c r="Q56" s="62" t="str">
        <f>IF(AND('Mapa final'!$AH$47="Muy Baja",'Mapa final'!$AJ$47="Menor"),CONCATENATE("R2C",'Mapa final'!$R$47),"")</f>
        <v/>
      </c>
      <c r="R56" s="63" t="str">
        <f>IF(AND('Mapa final'!$AH$48="Muy Baja",'Mapa final'!$AJ$48="Menor"),CONCATENATE("R2C",'Mapa final'!$R$48),"")</f>
        <v/>
      </c>
      <c r="S56" s="63" t="str">
        <f>IF(AND('Mapa final'!$AH$49="Muy Baja",'Mapa final'!$AJ$49="Menor"),CONCATENATE("R2C",'Mapa final'!$R$49),"")</f>
        <v/>
      </c>
      <c r="T56" s="63" t="str">
        <f>IF(AND('Mapa final'!$AH$50="Muy Baja",'Mapa final'!$AJ$50="Menor"),CONCATENATE("R2C",'Mapa final'!$R$50),"")</f>
        <v/>
      </c>
      <c r="U56" s="63" t="str">
        <f>IF(AND('Mapa final'!$AH$51="Muy Baja",'Mapa final'!$AJ$51="Menor"),CONCATENATE("R2C",'Mapa final'!$R$51),"")</f>
        <v/>
      </c>
      <c r="V56" s="64" t="str">
        <f>IF(AND('Mapa final'!$AH$52="Muy Baja",'Mapa final'!$AJ$52="Menor"),CONCATENATE("R2C",'Mapa final'!$R$52),"")</f>
        <v/>
      </c>
      <c r="W56" s="53" t="str">
        <f>IF(AND('Mapa final'!$AH$47="Muy Baja",'Mapa final'!$AJ$47="Moderado"),CONCATENATE("R2C",'Mapa final'!$R$47),"")</f>
        <v/>
      </c>
      <c r="X56" s="54" t="str">
        <f>IF(AND('Mapa final'!$AH$48="Muy Baja",'Mapa final'!$AJ$48="Moderado"),CONCATENATE("R2C",'Mapa final'!$R$48),"")</f>
        <v/>
      </c>
      <c r="Y56" s="54" t="str">
        <f>IF(AND('Mapa final'!$AH$49="Muy Baja",'Mapa final'!$AJ$49="Moderado"),CONCATENATE("R2C",'Mapa final'!$R$49),"")</f>
        <v/>
      </c>
      <c r="Z56" s="54" t="str">
        <f>IF(AND('Mapa final'!$AH$50="Muy Baja",'Mapa final'!$AJ$50="Moderado"),CONCATENATE("R2C",'Mapa final'!$R$50),"")</f>
        <v/>
      </c>
      <c r="AA56" s="54" t="str">
        <f>IF(AND('Mapa final'!$AH$51="Muy Baja",'Mapa final'!$AJ$51="Moderado"),CONCATENATE("R2C",'Mapa final'!$R$51),"")</f>
        <v/>
      </c>
      <c r="AB56" s="55" t="str">
        <f>IF(AND('Mapa final'!$AH$52="Muy Baja",'Mapa final'!$AJ$52="Moderado"),CONCATENATE("R2C",'Mapa final'!$R$52),"")</f>
        <v/>
      </c>
      <c r="AC56" s="38" t="str">
        <f>IF(AND('Mapa final'!$AH$47="Muy Baja",'Mapa final'!$AJ$47="Mayor"),CONCATENATE("R2C",'Mapa final'!$R$47),"")</f>
        <v/>
      </c>
      <c r="AD56" s="39" t="str">
        <f>IF(AND('Mapa final'!$AH$48="Muy Baja",'Mapa final'!$AJ$48="Mayor"),CONCATENATE("R2C",'Mapa final'!$R$48),"")</f>
        <v/>
      </c>
      <c r="AE56" s="39" t="str">
        <f>IF(AND('Mapa final'!$AH$49="Muy Baja",'Mapa final'!$AJ$49="Mayor"),CONCATENATE("R2C",'Mapa final'!$R$49),"")</f>
        <v/>
      </c>
      <c r="AF56" s="39" t="str">
        <f>IF(AND('Mapa final'!$AH$50="Muy Baja",'Mapa final'!$AJ$50="Mayor"),CONCATENATE("R2C",'Mapa final'!$R$50),"")</f>
        <v/>
      </c>
      <c r="AG56" s="39" t="str">
        <f>IF(AND('Mapa final'!$AH$51="Muy Baja",'Mapa final'!$AJ$51="Mayor"),CONCATENATE("R2C",'Mapa final'!$R$51),"")</f>
        <v/>
      </c>
      <c r="AH56" s="40" t="str">
        <f>IF(AND('Mapa final'!$AH$52="Muy Baja",'Mapa final'!$AJ$52="Mayor"),CONCATENATE("R2C",'Mapa final'!$R$52),"")</f>
        <v/>
      </c>
      <c r="AI56" s="41" t="str">
        <f>IF(AND('Mapa final'!$AH$47="Muy Baja",'Mapa final'!$AJ$47="Catastrófico"),CONCATENATE("R2C",'Mapa final'!$R$47),"")</f>
        <v/>
      </c>
      <c r="AJ56" s="42" t="str">
        <f>IF(AND('Mapa final'!$AH$48="Muy Baja",'Mapa final'!$AJ$48="Catastrófico"),CONCATENATE("R2C",'Mapa final'!$R$48),"")</f>
        <v/>
      </c>
      <c r="AK56" s="42" t="str">
        <f>IF(AND('Mapa final'!$AH$49="Muy Baja",'Mapa final'!$AJ$49="Catastrófico"),CONCATENATE("R2C",'Mapa final'!$R$49),"")</f>
        <v/>
      </c>
      <c r="AL56" s="42" t="str">
        <f>IF(AND('Mapa final'!$AH$50="Muy Baja",'Mapa final'!$AJ$50="Catastrófico"),CONCATENATE("R2C",'Mapa final'!$R$50),"")</f>
        <v/>
      </c>
      <c r="AM56" s="42" t="str">
        <f>IF(AND('Mapa final'!$AH$51="Muy Baja",'Mapa final'!$AJ$51="Catastrófico"),CONCATENATE("R2C",'Mapa final'!$R$51),"")</f>
        <v/>
      </c>
      <c r="AN56" s="43" t="str">
        <f>IF(AND('Mapa final'!$AH$52="Muy Baja",'Mapa final'!$AJ$52="Catastrófico"),CONCATENATE("R2C",'Mapa final'!$R$52),"")</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11"/>
      <c r="D57" s="411"/>
      <c r="E57" s="412"/>
      <c r="F57" s="503"/>
      <c r="G57" s="504"/>
      <c r="H57" s="504"/>
      <c r="I57" s="504"/>
      <c r="J57" s="505"/>
      <c r="K57" s="62" t="str">
        <f>IF(AND('Mapa final'!$AH$53="Muy Baja",'Mapa final'!$AJ$53="Leve"),CONCATENATE("R2C",'Mapa final'!$R$53),"")</f>
        <v/>
      </c>
      <c r="L57" s="63" t="str">
        <f>IF(AND('Mapa final'!$AH$54="Muy Baja",'Mapa final'!$AJ$54="Leve"),CONCATENATE("R2C",'Mapa final'!$R$54),"")</f>
        <v/>
      </c>
      <c r="M57" s="63" t="str">
        <f>IF(AND('Mapa final'!$AH$55="Muy Baja",'Mapa final'!$AJ$55="Leve"),CONCATENATE("R2C",'Mapa final'!$R$55),"")</f>
        <v/>
      </c>
      <c r="N57" s="63" t="str">
        <f>IF(AND('Mapa final'!$AH$56="Muy Baja",'Mapa final'!$AJ$56="Leve"),CONCATENATE("R2C",'Mapa final'!$R$56),"")</f>
        <v/>
      </c>
      <c r="O57" s="63" t="str">
        <f>IF(AND('Mapa final'!$AH$57="Muy Baja",'Mapa final'!$AJ$57="Leve"),CONCATENATE("R2C",'Mapa final'!$R$57),"")</f>
        <v/>
      </c>
      <c r="P57" s="64" t="str">
        <f>IF(AND('Mapa final'!$AH$68="Muy Baja",'Mapa final'!$AJ$58="Leve"),CONCATENATE("R2C",'Mapa final'!$R$58),"")</f>
        <v/>
      </c>
      <c r="Q57" s="62" t="str">
        <f>IF(AND('Mapa final'!$AH$53="Muy Baja",'Mapa final'!$AJ$53="Menor"),CONCATENATE("R2C",'Mapa final'!$R$53),"")</f>
        <v/>
      </c>
      <c r="R57" s="63" t="str">
        <f>IF(AND('Mapa final'!$AH$54="Muy Baja",'Mapa final'!$AJ$54="Menor"),CONCATENATE("R2C",'Mapa final'!$R$54),"")</f>
        <v/>
      </c>
      <c r="S57" s="63" t="str">
        <f>IF(AND('Mapa final'!$AH$55="Muy Baja",'Mapa final'!$AJ$55="Menor"),CONCATENATE("R2C",'Mapa final'!$R$55),"")</f>
        <v/>
      </c>
      <c r="T57" s="63" t="str">
        <f>IF(AND('Mapa final'!$AH$56="Muy Baja",'Mapa final'!$AJ$56="Menor"),CONCATENATE("R2C",'Mapa final'!$R$56),"")</f>
        <v/>
      </c>
      <c r="U57" s="63" t="str">
        <f>IF(AND('Mapa final'!$AH$57="Muy Baja",'Mapa final'!$AJ$57="Menor"),CONCATENATE("R2C",'Mapa final'!$R$57),"")</f>
        <v/>
      </c>
      <c r="V57" s="64" t="str">
        <f>IF(AND('Mapa final'!$AH$68="Muy Baja",'Mapa final'!$AJ$58="Menor"),CONCATENATE("R2C",'Mapa final'!$R$58),"")</f>
        <v/>
      </c>
      <c r="W57" s="53" t="str">
        <f>IF(AND('Mapa final'!$AH$53="Muy Baja",'Mapa final'!$AJ$53="Moderado"),CONCATENATE("R2C",'Mapa final'!$R$53),"")</f>
        <v/>
      </c>
      <c r="X57" s="54" t="str">
        <f>IF(AND('Mapa final'!$AH$54="Muy Baja",'Mapa final'!$AJ$54="Moderado"),CONCATENATE("R2C",'Mapa final'!$R$54),"")</f>
        <v/>
      </c>
      <c r="Y57" s="54" t="str">
        <f>IF(AND('Mapa final'!$AH$55="Muy Baja",'Mapa final'!$AJ$55="Moderado"),CONCATENATE("R2C",'Mapa final'!$R$55),"")</f>
        <v/>
      </c>
      <c r="Z57" s="54" t="str">
        <f>IF(AND('Mapa final'!$AH$56="Muy Baja",'Mapa final'!$AJ$56="Moderado"),CONCATENATE("R2C",'Mapa final'!$R$56),"")</f>
        <v/>
      </c>
      <c r="AA57" s="54" t="str">
        <f>IF(AND('Mapa final'!$AH$57="Muy Baja",'Mapa final'!$AJ$57="Moderado"),CONCATENATE("R2C",'Mapa final'!$R$57),"")</f>
        <v/>
      </c>
      <c r="AB57" s="55" t="str">
        <f>IF(AND('Mapa final'!$AH$68="Muy Baja",'Mapa final'!$AJ$58="Moderado"),CONCATENATE("R2C",'Mapa final'!$R$58),"")</f>
        <v/>
      </c>
      <c r="AC57" s="38" t="str">
        <f>IF(AND('Mapa final'!$AH$53="Muy Baja",'Mapa final'!$AJ$53="Mayor"),CONCATENATE("R2C",'Mapa final'!$R$53),"")</f>
        <v/>
      </c>
      <c r="AD57" s="39" t="str">
        <f>IF(AND('Mapa final'!$AH$54="Muy Baja",'Mapa final'!$AJ$54="Mayor"),CONCATENATE("R2C",'Mapa final'!$R$54),"")</f>
        <v/>
      </c>
      <c r="AE57" s="39" t="str">
        <f>IF(AND('Mapa final'!$AH$55="Muy Baja",'Mapa final'!$AJ$55="Mayor"),CONCATENATE("R2C",'Mapa final'!$R$55),"")</f>
        <v/>
      </c>
      <c r="AF57" s="39" t="str">
        <f>IF(AND('Mapa final'!$AH$56="Muy Baja",'Mapa final'!$AJ$56="Mayor"),CONCATENATE("R2C",'Mapa final'!$R$56),"")</f>
        <v/>
      </c>
      <c r="AG57" s="39" t="str">
        <f>IF(AND('Mapa final'!$AH$57="Muy Baja",'Mapa final'!$AJ$57="Mayor"),CONCATENATE("R2C",'Mapa final'!$R$57),"")</f>
        <v/>
      </c>
      <c r="AH57" s="40" t="str">
        <f>IF(AND('Mapa final'!$AH$68="Muy Baja",'Mapa final'!$AJ$58="Mayor"),CONCATENATE("R2C",'Mapa final'!$R$58),"")</f>
        <v/>
      </c>
      <c r="AI57" s="41" t="str">
        <f>IF(AND('Mapa final'!$AH$53="Muy Baja",'Mapa final'!$AJ$53="Catastrófico"),CONCATENATE("R2C",'Mapa final'!$R$53),"")</f>
        <v/>
      </c>
      <c r="AJ57" s="42" t="str">
        <f>IF(AND('Mapa final'!$AH$54="Muy Baja",'Mapa final'!$AJ$54="Catastrófico"),CONCATENATE("R2C",'Mapa final'!$R$54),"")</f>
        <v/>
      </c>
      <c r="AK57" s="42" t="str">
        <f>IF(AND('Mapa final'!$AH$55="Muy Baja",'Mapa final'!$AJ$55="Catastrófico"),CONCATENATE("R2C",'Mapa final'!$R$55),"")</f>
        <v/>
      </c>
      <c r="AL57" s="42" t="str">
        <f>IF(AND('Mapa final'!$AH$56="Muy Baja",'Mapa final'!$AJ$56="Catastrófico"),CONCATENATE("R2C",'Mapa final'!$R$56),"")</f>
        <v/>
      </c>
      <c r="AM57" s="42" t="str">
        <f>IF(AND('Mapa final'!$AH$57="Muy Baja",'Mapa final'!$AJ$57="Catastrófico"),CONCATENATE("R2C",'Mapa final'!$R$57),"")</f>
        <v/>
      </c>
      <c r="AN57" s="43" t="str">
        <f>IF(AND('Mapa final'!$AH$68="Muy Baja",'Mapa final'!$AJ$58="Catastrófico"),CONCATENATE("R2C",'Mapa final'!$R$58),"")</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11"/>
      <c r="D58" s="411"/>
      <c r="E58" s="412"/>
      <c r="F58" s="503"/>
      <c r="G58" s="504"/>
      <c r="H58" s="504"/>
      <c r="I58" s="504"/>
      <c r="J58" s="505"/>
      <c r="K58" s="62" t="str">
        <f>IF(AND('Mapa final'!$AH$59="Muy Baja",'Mapa final'!$AJ$59="Leve"),CONCATENATE("R2C",'Mapa final'!$R$59),"")</f>
        <v/>
      </c>
      <c r="L58" s="63" t="str">
        <f>IF(AND('Mapa final'!$AH$60="Muy Baja",'Mapa final'!$AJ$60="Leve"),CONCATENATE("R2C",'Mapa final'!$R$60),"")</f>
        <v/>
      </c>
      <c r="M58" s="63" t="str">
        <f>IF(AND('Mapa final'!$AH$61="Muy Baja",'Mapa final'!$AJ$61="Leve"),CONCATENATE("R2C",'Mapa final'!$R$61),"")</f>
        <v/>
      </c>
      <c r="N58" s="63" t="str">
        <f>IF(AND('Mapa final'!$AH$62="Muy Baja",'Mapa final'!$AJ$62="Leve"),CONCATENATE("R2C",'Mapa final'!$R$62),"")</f>
        <v/>
      </c>
      <c r="O58" s="63" t="str">
        <f>IF(AND('Mapa final'!$AH$63="Muy Baja",'Mapa final'!$AJ$63="Leve"),CONCATENATE("R2C",'Mapa final'!$R$63),"")</f>
        <v/>
      </c>
      <c r="P58" s="64" t="str">
        <f>IF(AND('Mapa final'!$AH$64="Muy Baja",'Mapa final'!$AJ$64="Leve"),CONCATENATE("R2C",'Mapa final'!$R$64),"")</f>
        <v/>
      </c>
      <c r="Q58" s="62" t="str">
        <f>IF(AND('Mapa final'!$AH$59="Muy Baja",'Mapa final'!$AJ$59="Menor"),CONCATENATE("R2C",'Mapa final'!$R$59),"")</f>
        <v/>
      </c>
      <c r="R58" s="63" t="str">
        <f>IF(AND('Mapa final'!$AH$60="Muy Baja",'Mapa final'!$AJ$60="Menor"),CONCATENATE("R2C",'Mapa final'!$R$60),"")</f>
        <v/>
      </c>
      <c r="S58" s="63" t="str">
        <f>IF(AND('Mapa final'!$AH$61="Muy Baja",'Mapa final'!$AJ$61="Menor"),CONCATENATE("R2C",'Mapa final'!$R$61),"")</f>
        <v/>
      </c>
      <c r="T58" s="63" t="str">
        <f>IF(AND('Mapa final'!$AH$62="Muy Baja",'Mapa final'!$AJ$62="Menor"),CONCATENATE("R2C",'Mapa final'!$R$62),"")</f>
        <v/>
      </c>
      <c r="U58" s="63" t="str">
        <f>IF(AND('Mapa final'!$AH$63="Muy Baja",'Mapa final'!$AJ$63="Menor"),CONCATENATE("R2C",'Mapa final'!$R$63),"")</f>
        <v/>
      </c>
      <c r="V58" s="64" t="str">
        <f>IF(AND('Mapa final'!$AH$64="Muy Baja",'Mapa final'!$AJ$64="Menor"),CONCATENATE("R2C",'Mapa final'!$R$64),"")</f>
        <v/>
      </c>
      <c r="W58" s="53" t="str">
        <f>IF(AND('Mapa final'!$AH$59="Muy Baja",'Mapa final'!$AJ$59="Moderado"),CONCATENATE("R2C",'Mapa final'!$R$59),"")</f>
        <v/>
      </c>
      <c r="X58" s="54" t="str">
        <f>IF(AND('Mapa final'!$AH$60="Muy Baja",'Mapa final'!$AJ$60="Moderado"),CONCATENATE("R2C",'Mapa final'!$R$60),"")</f>
        <v/>
      </c>
      <c r="Y58" s="54" t="str">
        <f>IF(AND('Mapa final'!$AH$61="Muy Baja",'Mapa final'!$AJ$61="Moderado"),CONCATENATE("R2C",'Mapa final'!$R$61),"")</f>
        <v/>
      </c>
      <c r="Z58" s="54" t="str">
        <f>IF(AND('Mapa final'!$AH$62="Muy Baja",'Mapa final'!$AJ$62="Moderado"),CONCATENATE("R2C",'Mapa final'!$R$62),"")</f>
        <v/>
      </c>
      <c r="AA58" s="54" t="str">
        <f>IF(AND('Mapa final'!$AH$63="Muy Baja",'Mapa final'!$AJ$63="Moderado"),CONCATENATE("R2C",'Mapa final'!$R$63),"")</f>
        <v/>
      </c>
      <c r="AB58" s="55" t="str">
        <f>IF(AND('Mapa final'!$AH$64="Muy Baja",'Mapa final'!$AJ$64="Moderado"),CONCATENATE("R2C",'Mapa final'!$R$64),"")</f>
        <v/>
      </c>
      <c r="AC58" s="38" t="str">
        <f>IF(AND('Mapa final'!$AH$59="Muy Baja",'Mapa final'!$AJ$59="Mayor"),CONCATENATE("R2C",'Mapa final'!$R$59),"")</f>
        <v/>
      </c>
      <c r="AD58" s="39" t="str">
        <f>IF(AND('Mapa final'!$AH$60="Muy Baja",'Mapa final'!$AJ$60="Mayor"),CONCATENATE("R2C",'Mapa final'!$R$60),"")</f>
        <v/>
      </c>
      <c r="AE58" s="39" t="str">
        <f>IF(AND('Mapa final'!$AH$61="Muy Baja",'Mapa final'!$AJ$61="Mayor"),CONCATENATE("R2C",'Mapa final'!$R$61),"")</f>
        <v/>
      </c>
      <c r="AF58" s="39" t="str">
        <f>IF(AND('Mapa final'!$AH$62="Muy Baja",'Mapa final'!$AJ$62="Mayor"),CONCATENATE("R2C",'Mapa final'!$R$62),"")</f>
        <v/>
      </c>
      <c r="AG58" s="39" t="str">
        <f>IF(AND('Mapa final'!$AH$63="Muy Baja",'Mapa final'!$AJ$63="Mayor"),CONCATENATE("R2C",'Mapa final'!$R$63),"")</f>
        <v/>
      </c>
      <c r="AH58" s="40" t="str">
        <f>IF(AND('Mapa final'!$AH$64="Muy Baja",'Mapa final'!$AJ$64="Mayor"),CONCATENATE("R2C",'Mapa final'!$R$64),"")</f>
        <v/>
      </c>
      <c r="AI58" s="41" t="str">
        <f>IF(AND('Mapa final'!$AH$59="Muy Baja",'Mapa final'!$AJ$59="Catastrófico"),CONCATENATE("R2C",'Mapa final'!$R$59),"")</f>
        <v/>
      </c>
      <c r="AJ58" s="42" t="str">
        <f>IF(AND('Mapa final'!$AH$60="Muy Baja",'Mapa final'!$AJ$60="Catastrófico"),CONCATENATE("R2C",'Mapa final'!$R$60),"")</f>
        <v/>
      </c>
      <c r="AK58" s="42" t="str">
        <f>IF(AND('Mapa final'!$AH$61="Muy Baja",'Mapa final'!$AJ$61="Catastrófico"),CONCATENATE("R2C",'Mapa final'!$R$61),"")</f>
        <v/>
      </c>
      <c r="AL58" s="42" t="str">
        <f>IF(AND('Mapa final'!$AH$62="Muy Baja",'Mapa final'!$AJ$62="Catastrófico"),CONCATENATE("R2C",'Mapa final'!$R$62),"")</f>
        <v/>
      </c>
      <c r="AM58" s="42" t="str">
        <f>IF(AND('Mapa final'!$AH$63="Muy Baja",'Mapa final'!$AJ$63="Catastrófico"),CONCATENATE("R2C",'Mapa final'!$R$63),"")</f>
        <v/>
      </c>
      <c r="AN58" s="43" t="str">
        <f>IF(AND('Mapa final'!$AH$64="Muy Baja",'Mapa final'!$AJ$64="Catastrófico"),CONCATENATE("R2C",'Mapa final'!$R$64),"")</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11"/>
      <c r="D59" s="411"/>
      <c r="E59" s="412"/>
      <c r="F59" s="503"/>
      <c r="G59" s="504"/>
      <c r="H59" s="504"/>
      <c r="I59" s="504"/>
      <c r="J59" s="505"/>
      <c r="K59" s="62" t="str">
        <f>IF(AND('Mapa final'!$AH$65="Muy Baja",'Mapa final'!$AJ$65="Leve"),CONCATENATE("R2C",'Mapa final'!$R$65),"")</f>
        <v/>
      </c>
      <c r="L59" s="63" t="str">
        <f>IF(AND('Mapa final'!$AH$66="Muy Baja",'Mapa final'!$AJ$66="Leve"),CONCATENATE("R2C",'Mapa final'!$R$66),"")</f>
        <v/>
      </c>
      <c r="M59" s="63" t="str">
        <f>IF(AND('Mapa final'!$AH$67="Muy Baja",'Mapa final'!$AJ$67="Leve"),CONCATENATE("R2C",'Mapa final'!$R$67),"")</f>
        <v/>
      </c>
      <c r="N59" s="63" t="str">
        <f>IF(AND('Mapa final'!$AH$68="Muy Baja",'Mapa final'!$AJ$68="Leve"),CONCATENATE("R2C",'Mapa final'!$R$68),"")</f>
        <v/>
      </c>
      <c r="O59" s="63" t="str">
        <f>IF(AND('Mapa final'!$AH$69="Muy Baja",'Mapa final'!$AJ$69="Leve"),CONCATENATE("R2C",'Mapa final'!$R$69),"")</f>
        <v/>
      </c>
      <c r="P59" s="64" t="str">
        <f>IF(AND('Mapa final'!$AH$70="Muy Baja",'Mapa final'!$AJ$70="Leve"),CONCATENATE("R2C",'Mapa final'!$R$70),"")</f>
        <v/>
      </c>
      <c r="Q59" s="62" t="str">
        <f>IF(AND('Mapa final'!$AH$65="Muy Baja",'Mapa final'!$AJ$65="Menor"),CONCATENATE("R2C",'Mapa final'!$R$65),"")</f>
        <v/>
      </c>
      <c r="R59" s="63" t="str">
        <f>IF(AND('Mapa final'!$AH$66="Muy Baja",'Mapa final'!$AJ$66="Menor"),CONCATENATE("R2C",'Mapa final'!$R$66),"")</f>
        <v/>
      </c>
      <c r="S59" s="63" t="str">
        <f>IF(AND('Mapa final'!$AH$67="Muy Baja",'Mapa final'!$AJ$67="Menor"),CONCATENATE("R2C",'Mapa final'!$R$67),"")</f>
        <v/>
      </c>
      <c r="T59" s="63" t="str">
        <f>IF(AND('Mapa final'!$AH$68="Muy Baja",'Mapa final'!$AJ$68="Menor"),CONCATENATE("R2C",'Mapa final'!$R$68),"")</f>
        <v/>
      </c>
      <c r="U59" s="63" t="str">
        <f>IF(AND('Mapa final'!$AH$69="Muy Baja",'Mapa final'!$AJ$69="Menor"),CONCATENATE("R2C",'Mapa final'!$R$69),"")</f>
        <v/>
      </c>
      <c r="V59" s="64" t="str">
        <f>IF(AND('Mapa final'!$AH$70="Muy Baja",'Mapa final'!$AJ$70="Menor"),CONCATENATE("R2C",'Mapa final'!$R$70),"")</f>
        <v/>
      </c>
      <c r="W59" s="53" t="str">
        <f>IF(AND('Mapa final'!$AH$65="Muy Baja",'Mapa final'!$AJ$65="Moderado"),CONCATENATE("R2C",'Mapa final'!$R$65),"")</f>
        <v/>
      </c>
      <c r="X59" s="54" t="str">
        <f>IF(AND('Mapa final'!$AH$66="Muy Baja",'Mapa final'!$AJ$66="Moderado"),CONCATENATE("R2C",'Mapa final'!$R$66),"")</f>
        <v/>
      </c>
      <c r="Y59" s="54" t="str">
        <f>IF(AND('Mapa final'!$AH$67="Muy Baja",'Mapa final'!$AJ$67="Moderado"),CONCATENATE("R2C",'Mapa final'!$R$67),"")</f>
        <v/>
      </c>
      <c r="Z59" s="54" t="str">
        <f>IF(AND('Mapa final'!$AH$68="Muy Baja",'Mapa final'!$AJ$68="Moderado"),CONCATENATE("R2C",'Mapa final'!$R$68),"")</f>
        <v/>
      </c>
      <c r="AA59" s="54" t="str">
        <f>IF(AND('Mapa final'!$AH$69="Muy Baja",'Mapa final'!$AJ$69="Moderado"),CONCATENATE("R2C",'Mapa final'!$R$69),"")</f>
        <v/>
      </c>
      <c r="AB59" s="55" t="str">
        <f>IF(AND('Mapa final'!$AH$70="Muy Baja",'Mapa final'!$AJ$70="Moderado"),CONCATENATE("R2C",'Mapa final'!$R$70),"")</f>
        <v/>
      </c>
      <c r="AC59" s="38" t="str">
        <f>IF(AND('Mapa final'!$AH$65="Muy Baja",'Mapa final'!$AJ$65="Mayor"),CONCATENATE("R2C",'Mapa final'!$R$65),"")</f>
        <v/>
      </c>
      <c r="AD59" s="39" t="str">
        <f>IF(AND('Mapa final'!$AH$66="Muy Baja",'Mapa final'!$AJ$66="Mayor"),CONCATENATE("R2C",'Mapa final'!$R$66),"")</f>
        <v/>
      </c>
      <c r="AE59" s="39" t="str">
        <f>IF(AND('Mapa final'!$AH$67="Muy Baja",'Mapa final'!$AJ$67="Mayor"),CONCATENATE("R2C",'Mapa final'!$R$67),"")</f>
        <v/>
      </c>
      <c r="AF59" s="39" t="str">
        <f>IF(AND('Mapa final'!$AH$68="Muy Baja",'Mapa final'!$AJ$68="Mayor"),CONCATENATE("R2C",'Mapa final'!$R$68),"")</f>
        <v/>
      </c>
      <c r="AG59" s="39" t="str">
        <f>IF(AND('Mapa final'!$AH$69="Muy Baja",'Mapa final'!$AJ$69="Mayor"),CONCATENATE("R2C",'Mapa final'!$R$69),"")</f>
        <v/>
      </c>
      <c r="AH59" s="40" t="str">
        <f>IF(AND('Mapa final'!$AH$70="Muy Baja",'Mapa final'!$AJ$70="Mayor"),CONCATENATE("R2C",'Mapa final'!$R$70),"")</f>
        <v/>
      </c>
      <c r="AI59" s="41" t="str">
        <f>IF(AND('Mapa final'!$AH$65="Muy Baja",'Mapa final'!$AJ$65="Catastrófico"),CONCATENATE("R2C",'Mapa final'!$R$65),"")</f>
        <v/>
      </c>
      <c r="AJ59" s="42" t="str">
        <f>IF(AND('Mapa final'!$AH$66="Muy Baja",'Mapa final'!$AJ$66="Catastrófico"),CONCATENATE("R2C",'Mapa final'!$R$66),"")</f>
        <v/>
      </c>
      <c r="AK59" s="42" t="str">
        <f>IF(AND('Mapa final'!$AH$67="Muy Baja",'Mapa final'!$AJ$67="Catastrófico"),CONCATENATE("R2C",'Mapa final'!$R$67),"")</f>
        <v/>
      </c>
      <c r="AL59" s="42" t="str">
        <f>IF(AND('Mapa final'!$AH$68="Muy Baja",'Mapa final'!$AJ$68="Catastrófico"),CONCATENATE("R2C",'Mapa final'!$R$68),"")</f>
        <v/>
      </c>
      <c r="AM59" s="42" t="str">
        <f>IF(AND('Mapa final'!$AH$69="Muy Baja",'Mapa final'!$AJ$69="Catastrófico"),CONCATENATE("R2C",'Mapa final'!$R$69),"")</f>
        <v/>
      </c>
      <c r="AN59" s="43" t="str">
        <f>IF(AND('Mapa final'!$AH$70="Muy Baja",'Mapa final'!$AJ$70="Catastrófico"),CONCATENATE("R2C",'Mapa final'!$R$70),"")</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11"/>
      <c r="D60" s="411"/>
      <c r="E60" s="412"/>
      <c r="F60" s="503"/>
      <c r="G60" s="504"/>
      <c r="H60" s="504"/>
      <c r="I60" s="504"/>
      <c r="J60" s="505"/>
      <c r="K60" s="62" t="str">
        <f>IF(AND('Mapa final'!$AH$71="Muy Baja",'Mapa final'!$AJ$71="Leve"),CONCATENATE("R2C",'Mapa final'!$R$71),"")</f>
        <v/>
      </c>
      <c r="L60" s="63" t="str">
        <f>IF(AND('Mapa final'!$AH$72="Muy Baja",'Mapa final'!$AJ$72="Leve"),CONCATENATE("R2C",'Mapa final'!$R$72),"")</f>
        <v/>
      </c>
      <c r="M60" s="63" t="str">
        <f>IF(AND('Mapa final'!$AH$73="Muy Baja",'Mapa final'!$AJ$73="Leve"),CONCATENATE("R2C",'Mapa final'!$R$73),"")</f>
        <v/>
      </c>
      <c r="N60" s="63" t="str">
        <f>IF(AND('Mapa final'!$AH$74="Muy Baja",'Mapa final'!$AJ$74="Leve"),CONCATENATE("R2C",'Mapa final'!$R$74),"")</f>
        <v/>
      </c>
      <c r="O60" s="63" t="str">
        <f>IF(AND('Mapa final'!$AH$75="Muy Baja",'Mapa final'!$AJ$75="Leve"),CONCATENATE("R2C",'Mapa final'!$R$75),"")</f>
        <v/>
      </c>
      <c r="P60" s="64" t="str">
        <f>IF(AND('Mapa final'!$AH$76="Muy Baja",'Mapa final'!$AJ$76="Leve"),CONCATENATE("R2C",'Mapa final'!$R$76),"")</f>
        <v/>
      </c>
      <c r="Q60" s="62" t="str">
        <f>IF(AND('Mapa final'!$AH$71="Muy Baja",'Mapa final'!$AJ$71="Menor"),CONCATENATE("R2C",'Mapa final'!$R$71),"")</f>
        <v/>
      </c>
      <c r="R60" s="63" t="str">
        <f>IF(AND('Mapa final'!$AH$72="Muy Baja",'Mapa final'!$AJ$72="Menor"),CONCATENATE("R2C",'Mapa final'!$R$72),"")</f>
        <v/>
      </c>
      <c r="S60" s="63" t="str">
        <f>IF(AND('Mapa final'!$AH$73="Muy Baja",'Mapa final'!$AJ$73="Menor"),CONCATENATE("R2C",'Mapa final'!$R$73),"")</f>
        <v/>
      </c>
      <c r="T60" s="63" t="str">
        <f>IF(AND('Mapa final'!$AH$74="Muy Baja",'Mapa final'!$AJ$74="Menor"),CONCATENATE("R2C",'Mapa final'!$R$74),"")</f>
        <v/>
      </c>
      <c r="U60" s="63" t="str">
        <f>IF(AND('Mapa final'!$AH$75="Muy Baja",'Mapa final'!$AJ$75="Menor"),CONCATENATE("R2C",'Mapa final'!$R$75),"")</f>
        <v/>
      </c>
      <c r="V60" s="64" t="str">
        <f>IF(AND('Mapa final'!$AH$76="Muy Baja",'Mapa final'!$AJ$76="Menor"),CONCATENATE("R2C",'Mapa final'!$R$76),"")</f>
        <v/>
      </c>
      <c r="W60" s="53" t="str">
        <f>IF(AND('Mapa final'!$AH$71="Muy Baja",'Mapa final'!$AJ$71="Moderado"),CONCATENATE("R2C",'Mapa final'!$R$71),"")</f>
        <v/>
      </c>
      <c r="X60" s="54" t="str">
        <f>IF(AND('Mapa final'!$AH$72="Muy Baja",'Mapa final'!$AJ$72="Moderado"),CONCATENATE("R2C",'Mapa final'!$R$72),"")</f>
        <v/>
      </c>
      <c r="Y60" s="54" t="str">
        <f>IF(AND('Mapa final'!$AH$73="Muy Baja",'Mapa final'!$AJ$73="Moderado"),CONCATENATE("R2C",'Mapa final'!$R$73),"")</f>
        <v/>
      </c>
      <c r="Z60" s="54" t="str">
        <f>IF(AND('Mapa final'!$AH$74="Muy Baja",'Mapa final'!$AJ$74="Moderado"),CONCATENATE("R2C",'Mapa final'!$R$74),"")</f>
        <v/>
      </c>
      <c r="AA60" s="54" t="str">
        <f>IF(AND('Mapa final'!$AH$75="Muy Baja",'Mapa final'!$AJ$75="Moderado"),CONCATENATE("R2C",'Mapa final'!$R$75),"")</f>
        <v/>
      </c>
      <c r="AB60" s="55" t="str">
        <f>IF(AND('Mapa final'!$AH$76="Muy Baja",'Mapa final'!$AJ$76="Moderado"),CONCATENATE("R2C",'Mapa final'!$R$76),"")</f>
        <v/>
      </c>
      <c r="AC60" s="38" t="str">
        <f>IF(AND('Mapa final'!$AH$71="Muy Baja",'Mapa final'!$AJ$71="Mayor"),CONCATENATE("R2C",'Mapa final'!$R$71),"")</f>
        <v/>
      </c>
      <c r="AD60" s="39" t="str">
        <f>IF(AND('Mapa final'!$AH$72="Muy Baja",'Mapa final'!$AJ$72="Mayor"),CONCATENATE("R2C",'Mapa final'!$R$72),"")</f>
        <v/>
      </c>
      <c r="AE60" s="39" t="str">
        <f>IF(AND('Mapa final'!$AH$73="Muy Baja",'Mapa final'!$AJ$73="Mayor"),CONCATENATE("R2C",'Mapa final'!$R$73),"")</f>
        <v/>
      </c>
      <c r="AF60" s="39" t="str">
        <f>IF(AND('Mapa final'!$AH$74="Muy Baja",'Mapa final'!$AJ$74="Mayor"),CONCATENATE("R2C",'Mapa final'!$R$74),"")</f>
        <v/>
      </c>
      <c r="AG60" s="39" t="str">
        <f>IF(AND('Mapa final'!$AH$75="Muy Baja",'Mapa final'!$AJ$75="Mayor"),CONCATENATE("R2C",'Mapa final'!$R$75),"")</f>
        <v/>
      </c>
      <c r="AH60" s="40" t="str">
        <f>IF(AND('Mapa final'!$AH$76="Muy Baja",'Mapa final'!$AJ$76="Mayor"),CONCATENATE("R2C",'Mapa final'!$R$76),"")</f>
        <v/>
      </c>
      <c r="AI60" s="41" t="str">
        <f>IF(AND('Mapa final'!$AH$71="Muy Baja",'Mapa final'!$AJ$71="Catastrófico"),CONCATENATE("R2C",'Mapa final'!$R$71),"")</f>
        <v/>
      </c>
      <c r="AJ60" s="42" t="str">
        <f>IF(AND('Mapa final'!$AH$72="Muy Baja",'Mapa final'!$AJ$72="Catastrófico"),CONCATENATE("R2C",'Mapa final'!$R$72),"")</f>
        <v/>
      </c>
      <c r="AK60" s="42" t="str">
        <f>IF(AND('Mapa final'!$AH$73="Muy Baja",'Mapa final'!$AJ$73="Catastrófico"),CONCATENATE("R2C",'Mapa final'!$R$73),"")</f>
        <v/>
      </c>
      <c r="AL60" s="42" t="str">
        <f>IF(AND('Mapa final'!$AH$74="Muy Baja",'Mapa final'!$AJ$74="Catastrófico"),CONCATENATE("R2C",'Mapa final'!$R$74),"")</f>
        <v/>
      </c>
      <c r="AM60" s="42" t="str">
        <f>IF(AND('Mapa final'!$AH$75="Muy Baja",'Mapa final'!$AJ$75="Catastrófico"),CONCATENATE("R2C",'Mapa final'!$R$75),"")</f>
        <v/>
      </c>
      <c r="AN60" s="43" t="str">
        <f>IF(AND('Mapa final'!$AH$76="Muy Baja",'Mapa final'!$AJ$76="Catastrófico"),CONCATENATE("R2C",'Mapa final'!$R$76),"")</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11"/>
      <c r="D61" s="411"/>
      <c r="E61" s="412"/>
      <c r="F61" s="506"/>
      <c r="G61" s="507"/>
      <c r="H61" s="507"/>
      <c r="I61" s="507"/>
      <c r="J61" s="508"/>
      <c r="K61" s="65" t="str">
        <f>IF(AND('Mapa final'!$AH$77="Muy Baja",'Mapa final'!$AJ$77="Leve"),CONCATENATE("R2C",'Mapa final'!$R$77),"")</f>
        <v/>
      </c>
      <c r="L61" s="66" t="str">
        <f>IF(AND('Mapa final'!$AH$78="Muy Baja",'Mapa final'!$AJ$78="Leve"),CONCATENATE("R2C",'Mapa final'!$R$78),"")</f>
        <v/>
      </c>
      <c r="M61" s="66" t="str">
        <f>IF(AND('Mapa final'!$AH$79="Muy Baja",'Mapa final'!$AJ$79="Leve"),CONCATENATE("R2C",'Mapa final'!$R$79),"")</f>
        <v/>
      </c>
      <c r="N61" s="66" t="str">
        <f>IF(AND('Mapa final'!$AH$80="Muy Baja",'Mapa final'!$AJ$80="Leve"),CONCATENATE("R2C",'Mapa final'!$R$80),"")</f>
        <v/>
      </c>
      <c r="O61" s="66" t="str">
        <f>IF(AND('Mapa final'!$AH$82="Muy Baja",'Mapa final'!$AJ$82="Leve"),CONCATENATE("R2C",'Mapa final'!$R$82),"")</f>
        <v/>
      </c>
      <c r="P61" s="67" t="str">
        <f>IF(AND('Mapa final'!$AH$83="Muy Baja",'Mapa final'!$AJ$83="Leve"),CONCATENATE("R2C",'Mapa final'!$R$83),"")</f>
        <v/>
      </c>
      <c r="Q61" s="65" t="str">
        <f>IF(AND('Mapa final'!$AH$77="Muy Baja",'Mapa final'!$AJ$77="Menor"),CONCATENATE("R2C",'Mapa final'!$R$77),"")</f>
        <v/>
      </c>
      <c r="R61" s="66" t="str">
        <f>IF(AND('Mapa final'!$AH$78="Muy Baja",'Mapa final'!$AJ$78="Menor"),CONCATENATE("R2C",'Mapa final'!$R$78),"")</f>
        <v/>
      </c>
      <c r="S61" s="66" t="str">
        <f>IF(AND('Mapa final'!$AH$79="Muy Baja",'Mapa final'!$AJ$79="Menor"),CONCATENATE("R2C",'Mapa final'!$R$79),"")</f>
        <v/>
      </c>
      <c r="T61" s="66" t="str">
        <f>IF(AND('Mapa final'!$AH$80="Muy Baja",'Mapa final'!$AJ$80="Menor"),CONCATENATE("R2C",'Mapa final'!$R$80),"")</f>
        <v/>
      </c>
      <c r="U61" s="66" t="str">
        <f>IF(AND('Mapa final'!$AH$82="Muy Baja",'Mapa final'!$AJ$82="Menor"),CONCATENATE("R2C",'Mapa final'!$R$82),"")</f>
        <v/>
      </c>
      <c r="V61" s="67" t="str">
        <f>IF(AND('Mapa final'!$AH$83="Muy Baja",'Mapa final'!$AJ$83="Menor"),CONCATENATE("R2C",'Mapa final'!$R$83),"")</f>
        <v/>
      </c>
      <c r="W61" s="56" t="str">
        <f>IF(AND('Mapa final'!$AH$77="Muy Baja",'Mapa final'!$AJ$77="Moderado"),CONCATENATE("R2C",'Mapa final'!$R$77),"")</f>
        <v/>
      </c>
      <c r="X61" s="57" t="str">
        <f>IF(AND('Mapa final'!$AH$78="Muy Baja",'Mapa final'!$AJ$78="Moderado"),CONCATENATE("R2C",'Mapa final'!$R$78),"")</f>
        <v/>
      </c>
      <c r="Y61" s="57" t="str">
        <f>IF(AND('Mapa final'!$AH$79="Muy Baja",'Mapa final'!$AJ$79="Moderado"),CONCATENATE("R2C",'Mapa final'!$R$79),"")</f>
        <v/>
      </c>
      <c r="Z61" s="57" t="str">
        <f>IF(AND('Mapa final'!$AH$80="Muy Baja",'Mapa final'!$AJ$80="Moderado"),CONCATENATE("R2C",'Mapa final'!$R$80),"")</f>
        <v/>
      </c>
      <c r="AA61" s="57" t="str">
        <f>IF(AND('Mapa final'!$AH$82="Muy Baja",'Mapa final'!$AJ$82="Moderado"),CONCATENATE("R2C",'Mapa final'!$R$82),"")</f>
        <v/>
      </c>
      <c r="AB61" s="58" t="str">
        <f>IF(AND('Mapa final'!$AH$83="Muy Baja",'Mapa final'!$AJ$83="Moderado"),CONCATENATE("R2C",'Mapa final'!$R$83),"")</f>
        <v/>
      </c>
      <c r="AC61" s="44" t="str">
        <f>IF(AND('Mapa final'!$AH$77="Muy Baja",'Mapa final'!$AJ$77="Mayor"),CONCATENATE("R2C",'Mapa final'!$R$77),"")</f>
        <v/>
      </c>
      <c r="AD61" s="45" t="str">
        <f>IF(AND('Mapa final'!$AH$78="Muy Baja",'Mapa final'!$AJ$78="Mayor"),CONCATENATE("R2C",'Mapa final'!$R$78),"")</f>
        <v/>
      </c>
      <c r="AE61" s="45" t="str">
        <f>IF(AND('Mapa final'!$AH$79="Muy Baja",'Mapa final'!$AJ$79="Mayor"),CONCATENATE("R2C",'Mapa final'!$R$79),"")</f>
        <v/>
      </c>
      <c r="AF61" s="45" t="str">
        <f>IF(AND('Mapa final'!$AH$80="Muy Baja",'Mapa final'!$AJ$80="Mayor"),CONCATENATE("R2C",'Mapa final'!$R$80),"")</f>
        <v/>
      </c>
      <c r="AG61" s="45" t="str">
        <f>IF(AND('Mapa final'!$AH$82="Muy Baja",'Mapa final'!$AJ$82="Mayor"),CONCATENATE("R2C",'Mapa final'!$R$82),"")</f>
        <v/>
      </c>
      <c r="AH61" s="46" t="str">
        <f>IF(AND('Mapa final'!$AH$83="Muy Baja",'Mapa final'!$AJ$83="Mayor"),CONCATENATE("R2C",'Mapa final'!$R$83),"")</f>
        <v/>
      </c>
      <c r="AI61" s="47" t="str">
        <f>IF(AND('Mapa final'!$AH$77="Muy Baja",'Mapa final'!$AJ$77="Catastrófico"),CONCATENATE("R2C",'Mapa final'!$R$77),"")</f>
        <v/>
      </c>
      <c r="AJ61" s="48" t="str">
        <f>IF(AND('Mapa final'!$AH$78="Muy Baja",'Mapa final'!$AJ$78="Catastrófico"),CONCATENATE("R2C",'Mapa final'!$R$78),"")</f>
        <v/>
      </c>
      <c r="AK61" s="48" t="str">
        <f>IF(AND('Mapa final'!$AH$79="Muy Baja",'Mapa final'!$AJ$79="Catastrófico"),CONCATENATE("R2C",'Mapa final'!$R$79),"")</f>
        <v/>
      </c>
      <c r="AL61" s="48" t="str">
        <f>IF(AND('Mapa final'!$AH$80="Muy Baja",'Mapa final'!$AJ$80="Catastrófico"),CONCATENATE("R2C",'Mapa final'!$R$80),"")</f>
        <v/>
      </c>
      <c r="AM61" s="48" t="str">
        <f>IF(AND('Mapa final'!$AH$82="Muy Baja",'Mapa final'!$AJ$82="Catastrófico"),CONCATENATE("R2C",'Mapa final'!$R$82),"")</f>
        <v/>
      </c>
      <c r="AN61" s="49" t="str">
        <f>IF(AND('Mapa final'!$AH$83="Muy Baja",'Mapa final'!$AJ$83="Catastrófico"),CONCATENATE("R2C",'Mapa final'!$R$83),"")</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500" t="s">
        <v>291</v>
      </c>
      <c r="L62" s="501"/>
      <c r="M62" s="501"/>
      <c r="N62" s="501"/>
      <c r="O62" s="501"/>
      <c r="P62" s="502"/>
      <c r="Q62" s="500" t="s">
        <v>292</v>
      </c>
      <c r="R62" s="501"/>
      <c r="S62" s="501"/>
      <c r="T62" s="501"/>
      <c r="U62" s="501"/>
      <c r="V62" s="502"/>
      <c r="W62" s="500" t="s">
        <v>293</v>
      </c>
      <c r="X62" s="501"/>
      <c r="Y62" s="501"/>
      <c r="Z62" s="501"/>
      <c r="AA62" s="501"/>
      <c r="AB62" s="502"/>
      <c r="AC62" s="500" t="s">
        <v>294</v>
      </c>
      <c r="AD62" s="550"/>
      <c r="AE62" s="501"/>
      <c r="AF62" s="501"/>
      <c r="AG62" s="501"/>
      <c r="AH62" s="502"/>
      <c r="AI62" s="500" t="s">
        <v>295</v>
      </c>
      <c r="AJ62" s="501"/>
      <c r="AK62" s="501"/>
      <c r="AL62" s="501"/>
      <c r="AM62" s="501"/>
      <c r="AN62" s="502"/>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503"/>
      <c r="L63" s="504"/>
      <c r="M63" s="504"/>
      <c r="N63" s="504"/>
      <c r="O63" s="504"/>
      <c r="P63" s="505"/>
      <c r="Q63" s="503"/>
      <c r="R63" s="504"/>
      <c r="S63" s="504"/>
      <c r="T63" s="504"/>
      <c r="U63" s="504"/>
      <c r="V63" s="505"/>
      <c r="W63" s="503"/>
      <c r="X63" s="504"/>
      <c r="Y63" s="504"/>
      <c r="Z63" s="504"/>
      <c r="AA63" s="504"/>
      <c r="AB63" s="505"/>
      <c r="AC63" s="503"/>
      <c r="AD63" s="504"/>
      <c r="AE63" s="504"/>
      <c r="AF63" s="504"/>
      <c r="AG63" s="504"/>
      <c r="AH63" s="505"/>
      <c r="AI63" s="503"/>
      <c r="AJ63" s="504"/>
      <c r="AK63" s="504"/>
      <c r="AL63" s="504"/>
      <c r="AM63" s="504"/>
      <c r="AN63" s="505"/>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503"/>
      <c r="L64" s="504"/>
      <c r="M64" s="504"/>
      <c r="N64" s="504"/>
      <c r="O64" s="504"/>
      <c r="P64" s="505"/>
      <c r="Q64" s="503"/>
      <c r="R64" s="504"/>
      <c r="S64" s="504"/>
      <c r="T64" s="504"/>
      <c r="U64" s="504"/>
      <c r="V64" s="505"/>
      <c r="W64" s="503"/>
      <c r="X64" s="504"/>
      <c r="Y64" s="504"/>
      <c r="Z64" s="504"/>
      <c r="AA64" s="504"/>
      <c r="AB64" s="505"/>
      <c r="AC64" s="503"/>
      <c r="AD64" s="504"/>
      <c r="AE64" s="504"/>
      <c r="AF64" s="504"/>
      <c r="AG64" s="504"/>
      <c r="AH64" s="505"/>
      <c r="AI64" s="503"/>
      <c r="AJ64" s="504"/>
      <c r="AK64" s="504"/>
      <c r="AL64" s="504"/>
      <c r="AM64" s="504"/>
      <c r="AN64" s="505"/>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503"/>
      <c r="L65" s="504"/>
      <c r="M65" s="504"/>
      <c r="N65" s="504"/>
      <c r="O65" s="504"/>
      <c r="P65" s="505"/>
      <c r="Q65" s="503"/>
      <c r="R65" s="504"/>
      <c r="S65" s="504"/>
      <c r="T65" s="504"/>
      <c r="U65" s="504"/>
      <c r="V65" s="505"/>
      <c r="W65" s="503"/>
      <c r="X65" s="504"/>
      <c r="Y65" s="504"/>
      <c r="Z65" s="504"/>
      <c r="AA65" s="504"/>
      <c r="AB65" s="505"/>
      <c r="AC65" s="503"/>
      <c r="AD65" s="504"/>
      <c r="AE65" s="504"/>
      <c r="AF65" s="504"/>
      <c r="AG65" s="504"/>
      <c r="AH65" s="505"/>
      <c r="AI65" s="503"/>
      <c r="AJ65" s="504"/>
      <c r="AK65" s="504"/>
      <c r="AL65" s="504"/>
      <c r="AM65" s="504"/>
      <c r="AN65" s="505"/>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503"/>
      <c r="L66" s="504"/>
      <c r="M66" s="504"/>
      <c r="N66" s="504"/>
      <c r="O66" s="504"/>
      <c r="P66" s="505"/>
      <c r="Q66" s="503"/>
      <c r="R66" s="504"/>
      <c r="S66" s="504"/>
      <c r="T66" s="504"/>
      <c r="U66" s="504"/>
      <c r="V66" s="505"/>
      <c r="W66" s="503"/>
      <c r="X66" s="504"/>
      <c r="Y66" s="504"/>
      <c r="Z66" s="504"/>
      <c r="AA66" s="504"/>
      <c r="AB66" s="505"/>
      <c r="AC66" s="503"/>
      <c r="AD66" s="504"/>
      <c r="AE66" s="504"/>
      <c r="AF66" s="504"/>
      <c r="AG66" s="504"/>
      <c r="AH66" s="505"/>
      <c r="AI66" s="503"/>
      <c r="AJ66" s="504"/>
      <c r="AK66" s="504"/>
      <c r="AL66" s="504"/>
      <c r="AM66" s="504"/>
      <c r="AN66" s="505"/>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 thickBot="1">
      <c r="B67" s="68"/>
      <c r="C67" s="68"/>
      <c r="D67" s="68"/>
      <c r="E67" s="68"/>
      <c r="F67" s="68"/>
      <c r="G67" s="68"/>
      <c r="H67" s="68"/>
      <c r="I67" s="68"/>
      <c r="J67" s="68"/>
      <c r="K67" s="506"/>
      <c r="L67" s="507"/>
      <c r="M67" s="507"/>
      <c r="N67" s="507"/>
      <c r="O67" s="507"/>
      <c r="P67" s="508"/>
      <c r="Q67" s="506"/>
      <c r="R67" s="507"/>
      <c r="S67" s="507"/>
      <c r="T67" s="507"/>
      <c r="U67" s="507"/>
      <c r="V67" s="508"/>
      <c r="W67" s="506"/>
      <c r="X67" s="507"/>
      <c r="Y67" s="507"/>
      <c r="Z67" s="507"/>
      <c r="AA67" s="507"/>
      <c r="AB67" s="508"/>
      <c r="AC67" s="506"/>
      <c r="AD67" s="507"/>
      <c r="AE67" s="507"/>
      <c r="AF67" s="507"/>
      <c r="AG67" s="507"/>
      <c r="AH67" s="508"/>
      <c r="AI67" s="506"/>
      <c r="AJ67" s="507"/>
      <c r="AK67" s="507"/>
      <c r="AL67" s="507"/>
      <c r="AM67" s="507"/>
      <c r="AN67" s="50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Calidad ETITC</cp:lastModifiedBy>
  <cp:revision/>
  <dcterms:created xsi:type="dcterms:W3CDTF">2020-03-24T23:12:47Z</dcterms:created>
  <dcterms:modified xsi:type="dcterms:W3CDTF">2026-08-28T21:29:00Z</dcterms:modified>
  <cp:category/>
  <cp:contentStatus/>
</cp:coreProperties>
</file>