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24226"/>
  <mc:AlternateContent xmlns:mc="http://schemas.openxmlformats.org/markup-compatibility/2006">
    <mc:Choice Requires="x15">
      <x15ac:absPath xmlns:x15ac="http://schemas.microsoft.com/office/spreadsheetml/2010/11/ac" url="C:\Users\estadistica\Downloads\"/>
    </mc:Choice>
  </mc:AlternateContent>
  <xr:revisionPtr revIDLastSave="0" documentId="8_{D1D8F6CB-D747-442F-9069-439BCACCF929}" xr6:coauthVersionLast="47" xr6:coauthVersionMax="47" xr10:uidLastSave="{00000000-0000-0000-0000-000000000000}"/>
  <bookViews>
    <workbookView showSheetTabs="0" xWindow="-120" yWindow="-120" windowWidth="20730" windowHeight="11160" tabRatio="882" activeTab="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 r:id="rId24"/>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0"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 i="1" l="1"/>
  <c r="R16" i="1" s="1"/>
  <c r="L41" i="19" l="1"/>
  <c r="AI22" i="1" l="1"/>
  <c r="AI21" i="1"/>
  <c r="AA16" i="1" l="1"/>
  <c r="AD16" i="1"/>
  <c r="Q17" i="1"/>
  <c r="R17" i="1" s="1"/>
  <c r="AA17" i="1"/>
  <c r="AD17" i="1"/>
  <c r="Q18" i="1"/>
  <c r="R18" i="1" s="1"/>
  <c r="AA18" i="1"/>
  <c r="AD18" i="1"/>
  <c r="Q19" i="1"/>
  <c r="R19" i="1" s="1"/>
  <c r="AA19" i="1"/>
  <c r="AD19" i="1"/>
  <c r="Q20" i="1"/>
  <c r="R20" i="1" s="1"/>
  <c r="AA20" i="1"/>
  <c r="AD20" i="1"/>
  <c r="Q21" i="1"/>
  <c r="R21" i="1" s="1"/>
  <c r="AA21" i="1"/>
  <c r="AD21" i="1"/>
  <c r="Q22" i="1"/>
  <c r="AA22" i="1"/>
  <c r="AM22" i="1" s="1"/>
  <c r="AL22" i="1" s="1"/>
  <c r="AD22" i="1"/>
  <c r="AD15" i="1"/>
  <c r="AA15" i="1"/>
  <c r="Q15" i="1"/>
  <c r="AI18" i="1" l="1"/>
  <c r="AI20" i="1"/>
  <c r="AI19" i="1"/>
  <c r="AJ19" i="1" s="1"/>
  <c r="AI17" i="1"/>
  <c r="AJ21" i="1"/>
  <c r="AK21" i="1"/>
  <c r="AM21" i="1"/>
  <c r="AL21" i="1" s="1"/>
  <c r="AJ20" i="1"/>
  <c r="AK20" i="1"/>
  <c r="R22" i="1"/>
  <c r="R15" i="1"/>
  <c r="AI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K19" i="1" l="1"/>
  <c r="AN21" i="1"/>
  <c r="AK17" i="1"/>
  <c r="AJ17" i="1"/>
  <c r="AJ18" i="1"/>
  <c r="AK18" i="1"/>
  <c r="AJ22" i="1"/>
  <c r="AN22" i="1" s="1"/>
  <c r="AK22" i="1"/>
  <c r="AK15" i="1"/>
  <c r="AI16" i="1" s="1"/>
  <c r="AJ15" i="1"/>
  <c r="AN13" i="18"/>
  <c r="AN37" i="18"/>
  <c r="AN21" i="18"/>
  <c r="AN45" i="18"/>
  <c r="AJ16" i="1" l="1"/>
  <c r="AK16" i="1"/>
  <c r="H10" i="27"/>
  <c r="G29" i="27" s="1"/>
  <c r="H9" i="27"/>
  <c r="H8" i="27"/>
  <c r="F29" i="27"/>
  <c r="E29" i="27"/>
  <c r="Q27" i="1" l="1"/>
  <c r="F221" i="13" l="1"/>
  <c r="F211" i="13"/>
  <c r="F212" i="13"/>
  <c r="F213" i="13"/>
  <c r="F214" i="13"/>
  <c r="F215" i="13"/>
  <c r="F216" i="13"/>
  <c r="F217" i="13"/>
  <c r="F218" i="13"/>
  <c r="F219" i="13"/>
  <c r="F220" i="13"/>
  <c r="F210" i="13"/>
  <c r="B221" i="13" a="1"/>
  <c r="B221" i="13" l="1"/>
  <c r="H210" i="13" l="1"/>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T16" i="1" l="1"/>
  <c r="U16" i="1" s="1"/>
  <c r="AF27" i="18" s="1"/>
  <c r="T15" i="1"/>
  <c r="U15" i="1" s="1"/>
  <c r="X19" i="18" s="1"/>
  <c r="T21" i="1"/>
  <c r="U21" i="1" s="1"/>
  <c r="T19" i="1"/>
  <c r="U19" i="1" s="1"/>
  <c r="Z29" i="18" s="1"/>
  <c r="T18" i="1"/>
  <c r="U18" i="1" s="1"/>
  <c r="X29" i="18" s="1"/>
  <c r="T17" i="1"/>
  <c r="U17" i="1" s="1"/>
  <c r="T22" i="1"/>
  <c r="U22" i="1" s="1"/>
  <c r="T20" i="1"/>
  <c r="U20" i="1" s="1"/>
  <c r="AN29" i="18" s="1"/>
  <c r="AN27" i="18" l="1"/>
  <c r="AH45" i="18"/>
  <c r="W20" i="1"/>
  <c r="V13" i="18"/>
  <c r="V20" i="1"/>
  <c r="AM20" i="1" s="1"/>
  <c r="AL20" i="1" s="1"/>
  <c r="AN42" i="19" s="1"/>
  <c r="AH21" i="18"/>
  <c r="V29" i="18"/>
  <c r="AB45" i="18"/>
  <c r="AH29" i="18"/>
  <c r="V45" i="18"/>
  <c r="AB13" i="18"/>
  <c r="V37" i="18"/>
  <c r="AH13" i="18"/>
  <c r="V21" i="18"/>
  <c r="AB29" i="18"/>
  <c r="AB21" i="18"/>
  <c r="AH37" i="18"/>
  <c r="AB37" i="18"/>
  <c r="AF31" i="18"/>
  <c r="AF23" i="18"/>
  <c r="W22" i="1"/>
  <c r="T47" i="18"/>
  <c r="AF39" i="18"/>
  <c r="Z23" i="18"/>
  <c r="V22" i="1"/>
  <c r="AL47" i="18"/>
  <c r="T31" i="18"/>
  <c r="Z47" i="18"/>
  <c r="AL15" i="18"/>
  <c r="AF15" i="18"/>
  <c r="T23" i="18"/>
  <c r="AL39" i="18"/>
  <c r="T15" i="18"/>
  <c r="Z39" i="18"/>
  <c r="Z15" i="18"/>
  <c r="Z31" i="18"/>
  <c r="AL31" i="18"/>
  <c r="T39" i="18"/>
  <c r="AF47" i="18"/>
  <c r="AL23" i="18"/>
  <c r="L13" i="18"/>
  <c r="X45" i="18"/>
  <c r="AJ37" i="18"/>
  <c r="R37" i="18"/>
  <c r="AJ45" i="18"/>
  <c r="L45" i="18"/>
  <c r="L37" i="18"/>
  <c r="X21" i="18"/>
  <c r="L21" i="18"/>
  <c r="W18" i="1"/>
  <c r="AJ21" i="18"/>
  <c r="AD37" i="18"/>
  <c r="X13" i="18"/>
  <c r="AD21" i="18"/>
  <c r="X37" i="18"/>
  <c r="R13" i="18"/>
  <c r="AD45" i="18"/>
  <c r="V18" i="1"/>
  <c r="AM18" i="1" s="1"/>
  <c r="AL18" i="1" s="1"/>
  <c r="Z42" i="19" s="1"/>
  <c r="AD29" i="18"/>
  <c r="AJ13" i="18"/>
  <c r="AD13" i="18"/>
  <c r="R45" i="18"/>
  <c r="R21" i="18"/>
  <c r="R29" i="18"/>
  <c r="L29" i="18"/>
  <c r="AJ29" i="18"/>
  <c r="T37" i="18"/>
  <c r="V19" i="1"/>
  <c r="AM19" i="1" s="1"/>
  <c r="AL19" i="1" s="1"/>
  <c r="AA42" i="19" s="1"/>
  <c r="AL13" i="18"/>
  <c r="AL29" i="18"/>
  <c r="AL21" i="18"/>
  <c r="Z13" i="18"/>
  <c r="Z21" i="18"/>
  <c r="AL37" i="18"/>
  <c r="AF29" i="18"/>
  <c r="AF45" i="18"/>
  <c r="T21" i="18"/>
  <c r="T29" i="18"/>
  <c r="T45" i="18"/>
  <c r="AF13" i="18"/>
  <c r="AF21" i="18"/>
  <c r="Z45" i="18"/>
  <c r="W19" i="1"/>
  <c r="T13" i="18"/>
  <c r="Z37" i="18"/>
  <c r="AL45" i="18"/>
  <c r="AF37" i="18"/>
  <c r="P27" i="18"/>
  <c r="AB27" i="18"/>
  <c r="V43" i="18"/>
  <c r="AH11" i="18"/>
  <c r="AB43" i="18"/>
  <c r="AB35" i="18"/>
  <c r="AH43" i="18"/>
  <c r="V35" i="18"/>
  <c r="AN19" i="18"/>
  <c r="V17" i="1"/>
  <c r="AM17" i="1" s="1"/>
  <c r="AL17" i="1" s="1"/>
  <c r="AK42" i="19" s="1"/>
  <c r="AH35" i="18"/>
  <c r="AH19" i="18"/>
  <c r="V19" i="18"/>
  <c r="V11" i="18"/>
  <c r="AB11" i="18"/>
  <c r="V27" i="18"/>
  <c r="AN43" i="18"/>
  <c r="W17" i="1"/>
  <c r="AH27" i="18"/>
  <c r="AN35" i="18"/>
  <c r="AN11" i="18"/>
  <c r="AB19" i="18"/>
  <c r="R31" i="18"/>
  <c r="AJ31" i="18"/>
  <c r="X39" i="18"/>
  <c r="AD47" i="18"/>
  <c r="L47" i="18"/>
  <c r="X15" i="18"/>
  <c r="R39" i="18"/>
  <c r="L15" i="18"/>
  <c r="X47" i="18"/>
  <c r="W21" i="1"/>
  <c r="L31" i="18"/>
  <c r="AJ39" i="18"/>
  <c r="AJ15" i="18"/>
  <c r="L39" i="18"/>
  <c r="R23" i="18"/>
  <c r="AD23" i="18"/>
  <c r="L23" i="18"/>
  <c r="AJ47" i="18"/>
  <c r="R15" i="18"/>
  <c r="AD39" i="18"/>
  <c r="X31" i="18"/>
  <c r="AD15" i="18"/>
  <c r="AD31" i="18"/>
  <c r="R47" i="18"/>
  <c r="X23" i="18"/>
  <c r="AJ23" i="18"/>
  <c r="V21" i="1"/>
  <c r="AD27" i="18"/>
  <c r="R43" i="18"/>
  <c r="AJ35" i="18"/>
  <c r="L11" i="18"/>
  <c r="X35" i="18"/>
  <c r="R19" i="18"/>
  <c r="X27" i="18"/>
  <c r="R11" i="18"/>
  <c r="AJ27" i="18"/>
  <c r="L35" i="18"/>
  <c r="AJ43" i="18"/>
  <c r="AD19" i="18"/>
  <c r="AD35" i="18"/>
  <c r="W15" i="1"/>
  <c r="X11" i="18"/>
  <c r="L27" i="18"/>
  <c r="V15" i="1"/>
  <c r="AM15" i="1" s="1"/>
  <c r="AL15" i="1" s="1"/>
  <c r="W32" i="19" s="1"/>
  <c r="L19" i="18"/>
  <c r="AJ19" i="18"/>
  <c r="L43" i="18"/>
  <c r="AD11" i="18"/>
  <c r="X43" i="18"/>
  <c r="AD43" i="18"/>
  <c r="R35" i="18"/>
  <c r="AJ11" i="18"/>
  <c r="R27" i="18"/>
  <c r="V16" i="1"/>
  <c r="AM16" i="1" s="1"/>
  <c r="AL16" i="1" s="1"/>
  <c r="AD42" i="19" s="1"/>
  <c r="W16" i="1"/>
  <c r="AL11" i="18"/>
  <c r="AF35" i="18"/>
  <c r="T43" i="18"/>
  <c r="AL27" i="18"/>
  <c r="AL19" i="18"/>
  <c r="T19" i="18"/>
  <c r="T27" i="18"/>
  <c r="AL43" i="18"/>
  <c r="T35" i="18"/>
  <c r="Z19" i="18"/>
  <c r="Z43" i="18"/>
  <c r="AL35" i="18"/>
  <c r="Z27" i="18"/>
  <c r="AF11" i="18"/>
  <c r="Z35" i="18"/>
  <c r="Z11" i="18"/>
  <c r="T11" i="18"/>
  <c r="AF43" i="18"/>
  <c r="AF19" i="18"/>
  <c r="AN19" i="1" l="1"/>
  <c r="AG32" i="19"/>
  <c r="U32" i="19"/>
  <c r="AM32" i="19"/>
  <c r="AM52" i="19"/>
  <c r="AG52" i="19"/>
  <c r="O22" i="19"/>
  <c r="AA12" i="19"/>
  <c r="AG12" i="19"/>
  <c r="O42" i="19"/>
  <c r="AA52" i="19"/>
  <c r="O52" i="19"/>
  <c r="AA22" i="19"/>
  <c r="U52" i="19"/>
  <c r="O32" i="19"/>
  <c r="AM22" i="19"/>
  <c r="AA32" i="19"/>
  <c r="U22" i="19"/>
  <c r="AG22" i="19"/>
  <c r="AM42" i="19"/>
  <c r="O12" i="19"/>
  <c r="U12" i="19"/>
  <c r="U42" i="19"/>
  <c r="AM12" i="19"/>
  <c r="AG42" i="19"/>
  <c r="AN20" i="1"/>
  <c r="P42" i="19"/>
  <c r="AB32" i="19"/>
  <c r="V42" i="19"/>
  <c r="P32" i="19"/>
  <c r="AB22" i="19"/>
  <c r="V32" i="19"/>
  <c r="AH52" i="19"/>
  <c r="P52" i="19"/>
  <c r="AH22" i="19"/>
  <c r="AH12" i="19"/>
  <c r="AN22" i="19"/>
  <c r="AH42" i="19"/>
  <c r="P22" i="19"/>
  <c r="V12" i="19"/>
  <c r="V52" i="19"/>
  <c r="AH32" i="19"/>
  <c r="AN12" i="19"/>
  <c r="AB12" i="19"/>
  <c r="V22" i="19"/>
  <c r="AN32" i="19"/>
  <c r="AB42" i="19"/>
  <c r="P12" i="19"/>
  <c r="AB52" i="19"/>
  <c r="AN52" i="19"/>
  <c r="AN18" i="1"/>
  <c r="M42" i="19"/>
  <c r="N12" i="19"/>
  <c r="AL12" i="19"/>
  <c r="T52" i="19"/>
  <c r="N22" i="19"/>
  <c r="N52" i="19"/>
  <c r="Z12" i="19"/>
  <c r="AL32" i="19"/>
  <c r="AF52" i="19"/>
  <c r="AF32" i="19"/>
  <c r="Z52" i="19"/>
  <c r="T22" i="19"/>
  <c r="AL52" i="19"/>
  <c r="AL42" i="19"/>
  <c r="T42" i="19"/>
  <c r="N42" i="19"/>
  <c r="Z32" i="19"/>
  <c r="T12" i="19"/>
  <c r="T32" i="19"/>
  <c r="N32" i="19"/>
  <c r="Z22" i="19"/>
  <c r="AL22" i="19"/>
  <c r="AF22" i="19"/>
  <c r="AF12" i="19"/>
  <c r="AN16" i="1"/>
  <c r="L52" i="19"/>
  <c r="AJ42" i="19"/>
  <c r="AJ22" i="19"/>
  <c r="X12" i="19"/>
  <c r="L22" i="19"/>
  <c r="X42" i="19"/>
  <c r="L32" i="19"/>
  <c r="L12" i="19"/>
  <c r="AJ32" i="19"/>
  <c r="X32" i="19"/>
  <c r="X22" i="19"/>
  <c r="R12" i="19"/>
  <c r="R22" i="19"/>
  <c r="X52" i="19"/>
  <c r="R42" i="19"/>
  <c r="AD22" i="19"/>
  <c r="AD32" i="19"/>
  <c r="R32" i="19"/>
  <c r="AD52" i="19"/>
  <c r="AJ52" i="19"/>
  <c r="R52" i="19"/>
  <c r="AD12" i="19"/>
  <c r="AJ12" i="19"/>
  <c r="AC42" i="19"/>
  <c r="Q42" i="19"/>
  <c r="K32" i="19"/>
  <c r="W12" i="19"/>
  <c r="Q12" i="19"/>
  <c r="W52" i="19"/>
  <c r="AI32" i="19"/>
  <c r="AI22" i="19"/>
  <c r="AN15" i="1"/>
  <c r="K12" i="19"/>
  <c r="AI12" i="19"/>
  <c r="K52" i="19"/>
  <c r="W22" i="19"/>
  <c r="Q32" i="19"/>
  <c r="Q52" i="19"/>
  <c r="AC52" i="19"/>
  <c r="AI52" i="19"/>
  <c r="W42" i="19"/>
  <c r="AC22" i="19"/>
  <c r="AC32" i="19"/>
  <c r="AI42" i="19"/>
  <c r="Q22" i="19"/>
  <c r="K42" i="19"/>
  <c r="AC12" i="19"/>
  <c r="K22" i="19"/>
  <c r="AF42" i="19"/>
  <c r="M22" i="19"/>
  <c r="AK52" i="19"/>
  <c r="S12" i="19"/>
  <c r="AK22" i="19"/>
  <c r="AE52" i="19"/>
  <c r="AE42" i="19"/>
  <c r="S42" i="19"/>
  <c r="S22" i="19"/>
  <c r="M12" i="19"/>
  <c r="AN17" i="1"/>
  <c r="AK32" i="19"/>
  <c r="M32" i="19"/>
  <c r="AK12" i="19"/>
  <c r="AE22" i="19"/>
  <c r="L42" i="19"/>
  <c r="AE32" i="19"/>
  <c r="S52" i="19"/>
  <c r="AE12" i="19"/>
  <c r="S32" i="19"/>
  <c r="M5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<sst xmlns="http://schemas.openxmlformats.org/spreadsheetml/2006/main" count="755" uniqueCount="445">
  <si>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</si>
  <si>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</si>
  <si>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</si>
  <si>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</si>
  <si>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</si>
  <si>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</si>
  <si>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</si>
  <si>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</si>
  <si>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</si>
  <si>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</si>
  <si>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</si>
  <si>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</si>
  <si>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</si>
  <si>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</si>
  <si>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</si>
  <si>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</si>
  <si>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</si>
  <si>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</si>
  <si>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</si>
  <si>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</si>
  <si>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</si>
  <si>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</si>
  <si>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</si>
  <si>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</si>
  <si>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</si>
  <si>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</si>
  <si>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</si>
  <si>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</si>
  <si>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</si>
  <si>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</si>
  <si>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</si>
  <si>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</si>
  <si>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</si>
  <si>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</si>
  <si>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</si>
  <si>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</si>
  <si>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</si>
  <si>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</si>
  <si>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</si>
  <si>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</si>
  <si>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</si>
  <si>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</si>
  <si>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</si>
  <si>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</si>
  <si>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</si>
  <si>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</si>
  <si>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</si>
  <si>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</si>
  <si>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</si>
  <si>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</si>
  <si>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</si>
  <si>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</si>
  <si>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</si>
  <si>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</si>
  <si>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</si>
  <si>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</si>
  <si>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</si>
  <si>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</si>
  <si>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</si>
  <si>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</si>
  <si>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</si>
  <si>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</si>
  <si>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</si>
  <si>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</si>
  <si>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</si>
  <si>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</si>
  <si>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</si>
  <si>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</si>
  <si>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</si>
  <si>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</si>
  <si>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</si>
  <si>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</si>
  <si>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</si>
  <si>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</si>
  <si>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</si>
  <si>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</si>
  <si>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</si>
  <si>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</si>
  <si>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</si>
  <si>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</si>
  <si>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</si>
  <si>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</si>
  <si>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</si>
  <si>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</si>
  <si>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</si>
  <si>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</si>
  <si>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</si>
  <si>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</si>
  <si>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</si>
  <si>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</si>
  <si>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</si>
  <si>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</si>
  <si>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</si>
  <si>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</si>
  <si>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</si>
  <si>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</si>
  <si>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</si>
  <si>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</si>
  <si>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</si>
  <si>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</si>
  <si>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</si>
  <si>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</si>
  <si>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</si>
  <si>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</si>
  <si>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</si>
  <si>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</si>
  <si>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</si>
  <si>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</si>
  <si>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</si>
  <si>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</si>
  <si>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</si>
  <si>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</si>
  <si>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</si>
  <si>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</si>
  <si>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</si>
  <si>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</si>
  <si>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</si>
  <si>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</si>
  <si>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</si>
  <si>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</si>
  <si>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</si>
  <si>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</si>
  <si>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</si>
  <si>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</si>
  <si>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</si>
  <si>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</si>
  <si>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</si>
  <si>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</si>
  <si>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</si>
  <si>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</si>
  <si>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</si>
  <si>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</si>
  <si>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</si>
  <si>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</si>
  <si>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</si>
  <si>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</si>
  <si>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</si>
  <si>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</si>
  <si>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</si>
  <si>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</si>
  <si>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</si>
  <si>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</si>
  <si>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</si>
  <si>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</si>
  <si>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</si>
  <si>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</si>
  <si>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</si>
  <si>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</si>
  <si>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</si>
  <si>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</si>
  <si>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</si>
  <si>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</si>
  <si>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</si>
  <si>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</si>
  <si>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</si>
  <si>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</si>
  <si>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</si>
  <si>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</si>
  <si>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</si>
  <si>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</si>
  <si>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</si>
  <si>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</si>
  <si>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</si>
  <si>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</si>
  <si>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</si>
  <si>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</si>
  <si>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</si>
  <si>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</si>
  <si>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</si>
  <si>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</si>
  <si>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</si>
  <si>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</si>
  <si>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</si>
  <si>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</si>
  <si>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</si>
  <si>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</si>
  <si>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</si>
  <si>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</si>
  <si>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</si>
  <si>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</si>
  <si>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</si>
  <si>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</si>
  <si>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</si>
  <si>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</si>
  <si>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</si>
  <si>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</si>
  <si>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</si>
  <si>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</si>
  <si>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</si>
  <si>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</si>
  <si>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</si>
  <si>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</si>
  <si>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</si>
  <si>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</si>
  <si>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</si>
  <si>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</si>
  <si>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</si>
  <si>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</si>
  <si>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</si>
  <si>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</si>
  <si>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</si>
  <si>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</si>
  <si>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</si>
  <si>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</si>
  <si>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</si>
  <si>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</si>
  <si>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</si>
  <si>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</si>
  <si>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</si>
  <si>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</si>
  <si>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</si>
  <si>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</si>
  <si>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</si>
  <si>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</si>
  <si>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</si>
  <si>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</si>
  <si>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</si>
  <si>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</si>
  <si>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</si>
  <si>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</si>
  <si>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</si>
  <si>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</si>
  <si>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</si>
  <si>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</si>
  <si>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</si>
  <si>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</si>
  <si>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</si>
  <si>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</si>
  <si>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</si>
  <si>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</si>
  <si>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</si>
  <si>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</si>
  <si>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</si>
  <si>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</si>
  <si>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</si>
  <si>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</si>
  <si>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</si>
  <si>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</si>
  <si>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</si>
  <si>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</si>
  <si>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</si>
  <si>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</si>
  <si>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</si>
  <si>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</si>
  <si>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</si>
  <si>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</si>
  <si>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</si>
  <si>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</si>
  <si>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</si>
  <si>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</si>
  <si>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</si>
  <si>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</si>
  <si>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</si>
  <si>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</si>
  <si>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</si>
  <si>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</si>
  <si>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</si>
  <si>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</si>
  <si>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</si>
  <si>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</si>
  <si>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</si>
  <si>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</si>
  <si>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</si>
  <si>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</si>
  <si>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</si>
  <si>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</si>
  <si>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</si>
  <si>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</si>
  <si>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</si>
  <si>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</si>
  <si>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</si>
  <si>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</si>
  <si>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</si>
  <si>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</si>
  <si>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</si>
  <si>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</si>
  <si>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</si>
  <si>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</si>
  <si>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</si>
  <si>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</si>
  <si>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</si>
  <si>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</si>
  <si>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</si>
  <si>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</si>
  <si>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</si>
  <si>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</si>
  <si>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</si>
  <si>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</si>
  <si>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</si>
  <si>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</si>
  <si>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</si>
  <si>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</si>
  <si>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</si>
  <si>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</si>
  <si>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</si>
  <si>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</si>
  <si>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</si>
  <si>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</si>
  <si>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</si>
  <si>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</si>
  <si>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</si>
  <si>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</si>
  <si>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</si>
  <si>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</si>
  <si>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</si>
  <si>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</si>
  <si>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</si>
  <si>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</si>
  <si>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</si>
  <si>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</si>
  <si>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</si>
  <si>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</si>
  <si>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</si>
  <si>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</si>
  <si>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</si>
  <si>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</si>
  <si>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</si>
  <si>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</si>
  <si>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</si>
  <si>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</si>
  <si>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</si>
  <si>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</si>
  <si>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</si>
  <si>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</si>
  <si>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</si>
  <si>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</si>
  <si>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</si>
  <si>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</si>
  <si>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</si>
  <si>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</si>
  <si>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</si>
  <si>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</si>
  <si>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</si>
  <si>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</si>
  <si>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</si>
  <si>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</si>
  <si>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</si>
  <si>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</si>
  <si>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</si>
  <si>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</si>
  <si>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</si>
  <si>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</si>
  <si>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</si>
  <si>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</si>
  <si>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</si>
  <si>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</si>
  <si>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</si>
  <si>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</si>
  <si>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</si>
  <si>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</si>
  <si>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</si>
  <si>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</si>
  <si>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</si>
  <si>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</si>
  <si>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</si>
  <si>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</si>
  <si>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</si>
  <si>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</si>
  <si>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</si>
  <si>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</si>
  <si>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</si>
  <si>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</si>
  <si>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</si>
  <si>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</si>
  <si>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</si>
  <si>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</si>
  <si>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</si>
  <si>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</si>
  <si>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</si>
  <si>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</si>
  <si>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</si>
  <si>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</si>
  <si>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</si>
  <si>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</si>
  <si>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</si>
  <si>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</si>
  <si>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</si>
  <si>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</si>
  <si>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</si>
  <si>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</si>
  <si>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</si>
  <si>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</si>
  <si>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</si>
  <si>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</si>
  <si>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</si>
  <si>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</si>
  <si>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</si>
  <si>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</si>
  <si>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</si>
  <si>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</si>
  <si>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</si>
  <si>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</si>
  <si>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</si>
  <si>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</si>
  <si>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</si>
  <si>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</si>
  <si>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GESTIÓN DE INFORMÁTICA Y TELECOMUNICACIONES</t>
  </si>
  <si>
    <t>Aprovechar las TIC para mejorar la provisión de servicios digitales, el desarrollo de procesos internos eficientes, la toma de decisiones basadas en datos y el empoderamiento de los ciudadanos generando valor público en un entorno de confianza digital.</t>
  </si>
  <si>
    <t>Aplica para todos los procesos desde la generación hasta el retiro de los servicios digitales</t>
  </si>
  <si>
    <r>
      <rPr>
        <b/>
        <sz val="14"/>
        <rFont val="Arial"/>
        <family val="2"/>
      </rPr>
      <t>LIDER DEL PROCESO:</t>
    </r>
    <r>
      <rPr>
        <sz val="14"/>
        <rFont val="Arial"/>
        <family val="2"/>
      </rPr>
      <t xml:space="preserve"> Jair Alejandro Contreras Parra</t>
    </r>
  </si>
  <si>
    <t xml:space="preserve">Afectación a la disponibilidad, confidencialidad e integridad de los activos información </t>
  </si>
  <si>
    <t>Afectación a la disponibilidad, confidencialidad e integridad de la información.</t>
  </si>
  <si>
    <t>Generación de vulnerabilidades en sistemas operativos, servidores de aplicaciones y motores de bases de datos.</t>
  </si>
  <si>
    <t xml:space="preserve">Afectación de la disponibilidad y continuidad de la operación de los servicios y recursos tecnológicos de la ETITC  por la ocurrencia de una interrupción o evento inesperado, que afecte directamente el servicio o recurso tecnológico primario, viéndose afectado el buen desempeño de los procesos institucionales. </t>
  </si>
  <si>
    <t>Ocurrencia de un accidente o enfermedad laboral.</t>
  </si>
  <si>
    <t>Manejo inadecuado de residuos</t>
  </si>
  <si>
    <t>Por las posibles desactualizaciones o problemas en las configuraciones de los sistemas de información gestionados por el área de Informática y Comunicaciones</t>
  </si>
  <si>
    <t>Posibilidad de afectación económica y reputacional por la afectación a la disponibilidad, confidencialidad e integridad de los activos información, debido a las posibles desactualizaciones o problemas en las configuraciones de los sistemas de información gestionados por el área de Informática y Comunicaciones.</t>
  </si>
  <si>
    <t xml:space="preserve">Por la incorrecto respaldo la información contenida en bases de datos de los sistemas de información o equipos de usuario. </t>
  </si>
  <si>
    <t xml:space="preserve">Posibilidad de afectación económica y reputacional por la afectación a la disponibilidad, confidencialidad e integridad de la información debido al incorrecto respaldo de la información contenida en bases de datos de los sistemas de información o equipos de usuario. </t>
  </si>
  <si>
    <t>Por la ausencia de parches de seguridad y actualizaciones, puertos y/o servicios abiertos no autorizados (sin filtrar).</t>
  </si>
  <si>
    <t>Posibilidad de afectación reputacional por la generación de vulnerabilidades en sistemas operativos, servidores de aplicaciones y motores de bases de datos debido a la ausencia de parches de seguridad y actualizaciones, puertos y/o servicios abiertos no autorizados (sin filtrar). .</t>
  </si>
  <si>
    <t>Por la inadecuada ejecución de las actividades y mecanismos de control que permitan probar elementos que soportan la continuidad del servicio</t>
  </si>
  <si>
    <t>Posibilidad de afectación económica y reputacional por afectación de la disponibilidad y continuidad de la operación de los servicios y recursos tecnológicos de la ETITC, por la ocurrencia de una interrupción o evento inesperado, que afecte directamente el servicio o recurso tecnológico primario.</t>
  </si>
  <si>
    <t>Por ausencia de los EPP y elementos de bioseguridad.</t>
  </si>
  <si>
    <t>Posibilidad de afectación económica y reputacional por la ocurrencia de un accidente o enfermedad laboral debido a la ausencia de los EPP y elementos de bioseguridad.</t>
  </si>
  <si>
    <t>Por incumplimiento y/o desconocimiento de la normativa vigente</t>
  </si>
  <si>
    <t xml:space="preserve">
Posibilidad de afectación reputacional por el manejo inadecuado de los residuos debido al incumplimiento y/o desconocimiento de la normativa vigente.</t>
  </si>
  <si>
    <t>El área de Informática y telecomunicaciones, según la periodicidad establecida en los Planes de mantenimiento preventivo y correctivo, debe ejecutar y realizar seguimiento a las actualizaciones y labores de mantenimiento al hardware, sistemas de soporte y sistemas de información, con el propósito de garantizar la disponibilidad de los sistemas de información, hardware y software.
Si el líder del proceso de Gestión IT identifica en el seguimiento a los planes de mantenimiento preventivo y correctivo, rezago en las actividades, requerirá al responsable para su ejecución inmediata.</t>
  </si>
  <si>
    <t>Planes de mantenimiento preventivo y correctivo ejecutado</t>
  </si>
  <si>
    <t>El área de Informática y Telecomunicaciones, acorde a la periodicidad establecida en el Plan de generación de copias de respaldo debe programar y realizar seguimiento a la ejecución de actividades de respaldo de la información, con la finalidad de garantizar la disponibilidad e integridad de la información.
Si el líder del proceso de Gestión IT identifica en el seguimiento a los planes de mantenimiento preventivo y correctivo, rezago en las actividades, requerirá al responsable para su ejecución inmediata.</t>
  </si>
  <si>
    <t>Planes de generación de backup o copias de respaldo ejecutado</t>
  </si>
  <si>
    <t>El área de Informática y Telecomunicaciones, acorde a la periodicidad establecida en los Planes de generación de actualizaciones e instalación de parches de seguridad en sistemas operativos y servidores, debe programar y realizar seguimiento a la gestión de la infraestructura de redes y equipos de seguridad perimetral (firewalls), actualizaciones e instalación de parches de seguridad en sistemas operativos y servidores.
Si el líder del proceso de Gestión IT identifica en el seguimiento a los Planes de generación de actualizaciones e instalación de parches de seguridad en sistemas operativos y servidores, rezago en las actividades, requerirá al responsable para su ejecución inmediata.</t>
  </si>
  <si>
    <t>Planes de generación de actualizaciones e instalación de parches de seguridad en sistemas operativos y servidores ejecutados.</t>
  </si>
  <si>
    <t>El área de Informática y Telecomunicaciones, acorde a la periodicidad establecida en los Planes de actividades periodicas para verificar el correcto funcionamiento de los sistemas o servidores de respaldo, debe programar y realizar seguimiento a las ejecutar actividades formuladas en dicho plan.
Si el líder del proceso de Gestión IT identifica en el seguimiento a los Planes de actividades periodicas para verificar el correcto funcionamiento de los sistemas o servidores de respaldo, rezago en las actividades, requerirá al responsable para su ejecución inmediata.</t>
  </si>
  <si>
    <t>Planes de actividades periodicas para verificar el correcto funcionamiento de los sistemas o servidores de respaldo.</t>
  </si>
  <si>
    <t>El lider de Informática y Telecomunicaciones garantizará la solicitud al área de SST de EPP para cada uno de los funcionarios del proceso, así mismo solicitará revisión de los espacios laborales del área, con el fin de evitar ocurrencias de accidentes laborales.
En caso de que el área de SST no suministre los EPP por indisponibilidad, el líder del área de Gestión IT reiterará la solicitud para el suministro oportuno.</t>
  </si>
  <si>
    <t>Formato SST-FO-18 Solicitud Elementos de Protección Personal diligenciado y enviado al área de SST.
Revisión de los espacios laborales del área, con el fin de que se cumplan las condiciones adecuadas de SST.</t>
  </si>
  <si>
    <t>El líder del área de Informática y Telecomunicaciones, cada vez que se deban realizar actividades de disposición, verificará la disposición de residuos acorde a las polìticas institucionales, con el apoyo del área de Gestión Ambiental, para garantizar el cumplimiento de la normatividad vigente.
Se se comunica por parte del personal de servicios generales una inadecuada disposición de residuos tecnológicos (puntos ecológicos), el área de Gestión IT hará lo pertinente para garantizar la adecuada disposición.</t>
  </si>
  <si>
    <t>Formato GAM-FO-03 Reporte de generación RESPEL diligenciado para cada actividad de disposición de residuos.</t>
  </si>
  <si>
    <t>Procedimiento GRF-PC-04 Procedimiento Mantenimiento Preventivo y Correctivo</t>
  </si>
  <si>
    <t>GIC-PC-05 Procedimiento de Copia de Respaldo de la Información</t>
  </si>
  <si>
    <t xml:space="preserve">SST-PC-10 Gestión de los Elementos de Protección Personal </t>
  </si>
  <si>
    <t>GAM-PC-05 Manejo seguro RESPEL</t>
  </si>
  <si>
    <t>Programar, ejecutar y diligenciar las actividades de mantenimiento necesarias para garantizar la disponibilidad del hardware, sistemas de soporte y sistemas de información  de la ETITC.</t>
  </si>
  <si>
    <t>Profesional de Gestión de Informática y Telecomunicaciones.
Personal Técnico
Contratistas</t>
  </si>
  <si>
    <t>Programar, ejecutar y diligenciar las actividades de backup o de respaldo de los equipos y sistemas de información  de la ETITC.</t>
  </si>
  <si>
    <t>Programar, ejecutar y diligenciar las actividades de actualización e instalación de parches de seguridad en los sistemas operativos y servidores   de la ETITC.</t>
  </si>
  <si>
    <t>Programar, ejecutar y diligenciar las actividades para verificar el correcto funcionamiento de los sistemas o servidores de respaldo.de la ETITC.</t>
  </si>
  <si>
    <t>Solicitud de elementos de protección personal y de bioseguridad al área de seguridad y salud en el trabajo de la ETITC.
Solicitud de Inspección de áreas de trabajo al área de Seguridad y Salud en el trabajo</t>
  </si>
  <si>
    <t>Profesional de Gestión de Informática y Telecomunicaciones.</t>
  </si>
  <si>
    <t>Realizar solicitud y participación activa en las jornadas de capacitación de manejo de residuos</t>
  </si>
  <si>
    <t>Jair Alejandro Contreras Parra</t>
  </si>
  <si>
    <t xml:space="preserve">Lider de proceso </t>
  </si>
  <si>
    <t xml:space="preserve">Se actualizo a la version No 8 del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</si>
</sst>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3"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14">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164" fontId="66" fillId="0" borderId="21" xfId="1" applyNumberFormat="1" applyFont="1" applyBorder="1" applyAlignment="1">
      <alignment horizontal="center" vertical="top" wrapText="1"/>
    </xf>
    <xf numFmtId="0" fontId="100" fillId="0" borderId="21"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102" fillId="0" borderId="21" xfId="0" applyFont="1" applyBorder="1" applyAlignment="1" applyProtection="1">
      <alignment horizontal="center" vertical="center" wrapText="1"/>
      <protection locked="0"/>
    </xf>
    <xf numFmtId="14" fontId="66" fillId="0" borderId="110" xfId="0" applyNumberFormat="1" applyFont="1" applyBorder="1" applyAlignment="1" applyProtection="1">
      <alignment horizontal="center" vertical="center" wrapText="1"/>
      <protection locked="0"/>
    </xf>
    <xf numFmtId="0" fontId="66" fillId="0" borderId="110" xfId="0" applyFont="1" applyBorder="1" applyAlignment="1">
      <alignment vertical="center" wrapText="1"/>
    </xf>
    <xf numFmtId="0" fontId="66" fillId="0" borderId="110" xfId="0" applyFont="1" applyBorder="1" applyAlignment="1" applyProtection="1">
      <alignment vertical="center" wrapText="1"/>
      <protection locked="0"/>
    </xf>
    <xf numFmtId="0" fontId="77" fillId="0" borderId="110" xfId="0" applyFont="1" applyBorder="1" applyAlignment="1" applyProtection="1">
      <alignment vertical="center" wrapText="1"/>
      <protection hidden="1"/>
    </xf>
    <xf numFmtId="9" fontId="66" fillId="0" borderId="110" xfId="0" applyNumberFormat="1" applyFont="1" applyBorder="1" applyAlignment="1" applyProtection="1">
      <alignment vertical="center" wrapText="1"/>
      <protection hidden="1"/>
    </xf>
    <xf numFmtId="9" fontId="66" fillId="0" borderId="110" xfId="0" applyNumberFormat="1" applyFont="1" applyBorder="1" applyAlignment="1" applyProtection="1">
      <alignment vertical="center" wrapText="1"/>
      <protection locked="0"/>
    </xf>
    <xf numFmtId="14" fontId="66" fillId="0" borderId="110" xfId="0" applyNumberFormat="1" applyFont="1" applyBorder="1" applyAlignment="1" applyProtection="1">
      <alignment vertical="center" wrapText="1"/>
      <protection locked="0"/>
    </xf>
    <xf numFmtId="0" fontId="66" fillId="0" borderId="110" xfId="0" applyFont="1" applyBorder="1" applyAlignment="1" applyProtection="1">
      <alignment horizontal="center" vertical="center" wrapText="1"/>
      <protection hidden="1"/>
    </xf>
    <xf numFmtId="0" fontId="66" fillId="0" borderId="110" xfId="0" applyFont="1" applyBorder="1" applyAlignment="1" applyProtection="1">
      <alignment horizontal="center" vertical="center" textRotation="90" wrapText="1"/>
      <protection locked="0"/>
    </xf>
    <xf numFmtId="164" fontId="66" fillId="0" borderId="110" xfId="1" applyNumberFormat="1" applyFont="1" applyBorder="1" applyAlignment="1">
      <alignment horizontal="center" vertical="top" wrapText="1"/>
    </xf>
    <xf numFmtId="0" fontId="77" fillId="0" borderId="110" xfId="0" applyFont="1" applyBorder="1" applyAlignment="1" applyProtection="1">
      <alignment horizontal="center" vertical="center" textRotation="90" wrapText="1"/>
      <protection hidden="1"/>
    </xf>
    <xf numFmtId="0" fontId="100"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0" fillId="0" borderId="0" xfId="0" applyAlignment="1">
      <alignment horizontal="left" vertical="top" wrapText="1"/>
    </xf>
    <xf numFmtId="0" fontId="100" fillId="0" borderId="21" xfId="0" applyFont="1" applyBorder="1" applyAlignment="1">
      <alignment horizontal="left" vertical="top" wrapText="1"/>
    </xf>
    <xf numFmtId="0" fontId="3" fillId="0" borderId="110" xfId="0" applyFont="1" applyBorder="1" applyAlignment="1" applyProtection="1">
      <alignment horizontal="center" vertical="center" wrapText="1"/>
      <protection hidden="1"/>
    </xf>
    <xf numFmtId="0" fontId="77" fillId="0" borderId="110" xfId="0" applyFont="1" applyBorder="1" applyAlignment="1" applyProtection="1">
      <alignment horizontal="center" vertical="center" wrapText="1"/>
      <protection hidden="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2">
    <dxf>
      <font>
        <color theme="1"/>
      </font>
      <fill>
        <patternFill>
          <bgColor rgb="FF92D050"/>
        </patternFill>
      </fill>
    </dxf>
    <dxf>
      <font>
        <color auto="1"/>
      </font>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5</xdr:col>
      <xdr:colOff>904874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NTRATOS\ETITC\2025\Riesgos%202025\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ay/Downloads/GSI-CA-FO-09%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ay/Downloads/mapaderiesgoinformatica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1" dataDxfId="30">
  <autoFilter ref="B209:C219" xr:uid="{00000000-0009-0000-0100-000001000000}"/>
  <tableColumns count="2">
    <tableColumn id="1" xr3:uid="{00000000-0010-0000-0000-000001000000}" name="Criterios" dataDxfId="29"/>
    <tableColumn id="2" xr3:uid="{00000000-0010-0000-0000-000002000000}" name="Subcriterios" dataDxfId="28"/>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51" t="s">
        <v>267</v>
      </c>
      <c r="C2" s="252"/>
      <c r="D2" s="242" t="s">
        <v>205</v>
      </c>
      <c r="E2" s="243"/>
      <c r="F2" s="243"/>
      <c r="G2" s="243"/>
      <c r="H2" s="243"/>
      <c r="I2" s="243"/>
      <c r="J2" s="243"/>
      <c r="K2" s="243"/>
      <c r="L2" s="244"/>
      <c r="M2" s="257" t="s">
        <v>390</v>
      </c>
      <c r="N2" s="258"/>
    </row>
    <row r="3" spans="2:14" ht="29.25" customHeight="1" x14ac:dyDescent="0.25">
      <c r="B3" s="253"/>
      <c r="C3" s="254"/>
      <c r="D3" s="245"/>
      <c r="E3" s="246"/>
      <c r="F3" s="246"/>
      <c r="G3" s="246"/>
      <c r="H3" s="246"/>
      <c r="I3" s="246"/>
      <c r="J3" s="246"/>
      <c r="K3" s="246"/>
      <c r="L3" s="247"/>
      <c r="M3" s="259" t="s">
        <v>264</v>
      </c>
      <c r="N3" s="260"/>
    </row>
    <row r="4" spans="2:14" ht="29.25" customHeight="1" x14ac:dyDescent="0.25">
      <c r="B4" s="253"/>
      <c r="C4" s="254"/>
      <c r="D4" s="245"/>
      <c r="E4" s="246"/>
      <c r="F4" s="246"/>
      <c r="G4" s="246"/>
      <c r="H4" s="246"/>
      <c r="I4" s="246"/>
      <c r="J4" s="246"/>
      <c r="K4" s="246"/>
      <c r="L4" s="247"/>
      <c r="M4" s="259" t="s">
        <v>389</v>
      </c>
      <c r="N4" s="260"/>
    </row>
    <row r="5" spans="2:14" ht="29.25" customHeight="1" thickBot="1" x14ac:dyDescent="0.3">
      <c r="B5" s="255"/>
      <c r="C5" s="256"/>
      <c r="D5" s="248"/>
      <c r="E5" s="249"/>
      <c r="F5" s="249"/>
      <c r="G5" s="249"/>
      <c r="H5" s="249"/>
      <c r="I5" s="249"/>
      <c r="J5" s="249"/>
      <c r="K5" s="249"/>
      <c r="L5" s="250"/>
      <c r="M5" s="261" t="s">
        <v>245</v>
      </c>
      <c r="N5" s="262"/>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41" t="s">
        <v>309</v>
      </c>
      <c r="E31" s="241"/>
      <c r="N31" s="138"/>
    </row>
    <row r="32" spans="2:14" x14ac:dyDescent="0.25">
      <c r="B32" s="137"/>
      <c r="D32" s="241"/>
      <c r="E32" s="241"/>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34" t="s">
        <v>162</v>
      </c>
      <c r="C2" s="535"/>
      <c r="D2" s="535"/>
      <c r="E2" s="535"/>
      <c r="F2" s="535"/>
      <c r="G2" s="535"/>
      <c r="H2" s="536"/>
      <c r="J2" s="151" t="s">
        <v>274</v>
      </c>
    </row>
    <row r="3" spans="2:10" ht="20.25" x14ac:dyDescent="0.25">
      <c r="B3" s="70"/>
      <c r="C3" s="71"/>
      <c r="D3" s="71"/>
      <c r="E3" s="71"/>
      <c r="F3" s="71"/>
      <c r="G3" s="71"/>
      <c r="H3" s="72"/>
      <c r="J3" s="151"/>
    </row>
    <row r="4" spans="2:10" ht="63" customHeight="1" x14ac:dyDescent="0.25">
      <c r="B4" s="537" t="s">
        <v>305</v>
      </c>
      <c r="C4" s="538"/>
      <c r="D4" s="538"/>
      <c r="E4" s="538"/>
      <c r="F4" s="538"/>
      <c r="G4" s="538"/>
      <c r="H4" s="539"/>
    </row>
    <row r="5" spans="2:10" ht="63" customHeight="1" x14ac:dyDescent="0.25">
      <c r="B5" s="540"/>
      <c r="C5" s="541"/>
      <c r="D5" s="541"/>
      <c r="E5" s="541"/>
      <c r="F5" s="541"/>
      <c r="G5" s="541"/>
      <c r="H5" s="542"/>
    </row>
    <row r="6" spans="2:10" ht="16.5" x14ac:dyDescent="0.25">
      <c r="B6" s="543" t="s">
        <v>160</v>
      </c>
      <c r="C6" s="544"/>
      <c r="D6" s="544"/>
      <c r="E6" s="544"/>
      <c r="F6" s="544"/>
      <c r="G6" s="544"/>
      <c r="H6" s="545"/>
    </row>
    <row r="7" spans="2:10" ht="95.25" customHeight="1" x14ac:dyDescent="0.25">
      <c r="B7" s="553" t="s">
        <v>165</v>
      </c>
      <c r="C7" s="554"/>
      <c r="D7" s="554"/>
      <c r="E7" s="554"/>
      <c r="F7" s="554"/>
      <c r="G7" s="554"/>
      <c r="H7" s="555"/>
    </row>
    <row r="8" spans="2:10" ht="16.5" x14ac:dyDescent="0.25">
      <c r="B8" s="106"/>
      <c r="C8" s="107"/>
      <c r="D8" s="107"/>
      <c r="E8" s="107"/>
      <c r="F8" s="107"/>
      <c r="G8" s="107"/>
      <c r="H8" s="108"/>
    </row>
    <row r="9" spans="2:10" ht="16.5" customHeight="1" x14ac:dyDescent="0.25">
      <c r="B9" s="546" t="s">
        <v>293</v>
      </c>
      <c r="C9" s="547"/>
      <c r="D9" s="547"/>
      <c r="E9" s="547"/>
      <c r="F9" s="547"/>
      <c r="G9" s="547"/>
      <c r="H9" s="548"/>
    </row>
    <row r="10" spans="2:10" ht="44.25" customHeight="1" x14ac:dyDescent="0.25">
      <c r="B10" s="546"/>
      <c r="C10" s="547"/>
      <c r="D10" s="547"/>
      <c r="E10" s="547"/>
      <c r="F10" s="547"/>
      <c r="G10" s="547"/>
      <c r="H10" s="548"/>
    </row>
    <row r="11" spans="2:10" ht="15.75" thickBot="1" x14ac:dyDescent="0.3">
      <c r="B11" s="95"/>
      <c r="C11" s="98"/>
      <c r="D11" s="103"/>
      <c r="E11" s="104"/>
      <c r="F11" s="104"/>
      <c r="G11" s="105"/>
      <c r="H11" s="99"/>
    </row>
    <row r="12" spans="2:10" ht="15.75" thickTop="1" x14ac:dyDescent="0.25">
      <c r="B12" s="95"/>
      <c r="C12" s="549" t="s">
        <v>161</v>
      </c>
      <c r="D12" s="550"/>
      <c r="E12" s="551" t="s">
        <v>198</v>
      </c>
      <c r="F12" s="552"/>
      <c r="G12" s="98"/>
      <c r="H12" s="99"/>
    </row>
    <row r="13" spans="2:10" ht="35.25" customHeight="1" x14ac:dyDescent="0.25">
      <c r="B13" s="95"/>
      <c r="C13" s="521" t="s">
        <v>192</v>
      </c>
      <c r="D13" s="522"/>
      <c r="E13" s="523" t="s">
        <v>197</v>
      </c>
      <c r="F13" s="524"/>
      <c r="G13" s="98"/>
      <c r="H13" s="99"/>
    </row>
    <row r="14" spans="2:10" ht="17.25" customHeight="1" x14ac:dyDescent="0.25">
      <c r="B14" s="95"/>
      <c r="C14" s="521" t="s">
        <v>193</v>
      </c>
      <c r="D14" s="522"/>
      <c r="E14" s="523" t="s">
        <v>195</v>
      </c>
      <c r="F14" s="524"/>
      <c r="G14" s="98"/>
      <c r="H14" s="99"/>
    </row>
    <row r="15" spans="2:10" ht="19.5" customHeight="1" x14ac:dyDescent="0.25">
      <c r="B15" s="95"/>
      <c r="C15" s="521" t="s">
        <v>194</v>
      </c>
      <c r="D15" s="522"/>
      <c r="E15" s="523" t="s">
        <v>196</v>
      </c>
      <c r="F15" s="524"/>
      <c r="G15" s="98"/>
      <c r="H15" s="99"/>
    </row>
    <row r="16" spans="2:10" ht="69.75" customHeight="1" x14ac:dyDescent="0.25">
      <c r="B16" s="95"/>
      <c r="C16" s="521" t="s">
        <v>163</v>
      </c>
      <c r="D16" s="522"/>
      <c r="E16" s="523" t="s">
        <v>164</v>
      </c>
      <c r="F16" s="524"/>
      <c r="G16" s="98"/>
      <c r="H16" s="99"/>
    </row>
    <row r="17" spans="2:8" ht="34.5" customHeight="1" x14ac:dyDescent="0.25">
      <c r="B17" s="95"/>
      <c r="C17" s="525" t="s">
        <v>2</v>
      </c>
      <c r="D17" s="526"/>
      <c r="E17" s="517" t="s">
        <v>199</v>
      </c>
      <c r="F17" s="518"/>
      <c r="G17" s="98"/>
      <c r="H17" s="99"/>
    </row>
    <row r="18" spans="2:8" ht="27.75" customHeight="1" x14ac:dyDescent="0.25">
      <c r="B18" s="95"/>
      <c r="C18" s="525" t="s">
        <v>3</v>
      </c>
      <c r="D18" s="526"/>
      <c r="E18" s="517" t="s">
        <v>200</v>
      </c>
      <c r="F18" s="518"/>
      <c r="G18" s="98"/>
      <c r="H18" s="99"/>
    </row>
    <row r="19" spans="2:8" ht="28.5" customHeight="1" x14ac:dyDescent="0.25">
      <c r="B19" s="95"/>
      <c r="C19" s="525" t="s">
        <v>41</v>
      </c>
      <c r="D19" s="526"/>
      <c r="E19" s="517" t="s">
        <v>201</v>
      </c>
      <c r="F19" s="518"/>
      <c r="G19" s="98"/>
      <c r="H19" s="99"/>
    </row>
    <row r="20" spans="2:8" ht="72.75" customHeight="1" x14ac:dyDescent="0.25">
      <c r="B20" s="95"/>
      <c r="C20" s="525" t="s">
        <v>1</v>
      </c>
      <c r="D20" s="526"/>
      <c r="E20" s="517" t="s">
        <v>202</v>
      </c>
      <c r="F20" s="518"/>
      <c r="G20" s="98"/>
      <c r="H20" s="99"/>
    </row>
    <row r="21" spans="2:8" ht="64.5" customHeight="1" x14ac:dyDescent="0.25">
      <c r="B21" s="95"/>
      <c r="C21" s="525" t="s">
        <v>49</v>
      </c>
      <c r="D21" s="526"/>
      <c r="E21" s="517" t="s">
        <v>167</v>
      </c>
      <c r="F21" s="518"/>
      <c r="G21" s="98"/>
      <c r="H21" s="99"/>
    </row>
    <row r="22" spans="2:8" ht="71.25" customHeight="1" x14ac:dyDescent="0.25">
      <c r="B22" s="95"/>
      <c r="C22" s="525" t="s">
        <v>166</v>
      </c>
      <c r="D22" s="526"/>
      <c r="E22" s="517" t="s">
        <v>168</v>
      </c>
      <c r="F22" s="518"/>
      <c r="G22" s="98"/>
      <c r="H22" s="99"/>
    </row>
    <row r="23" spans="2:8" ht="55.5" customHeight="1" x14ac:dyDescent="0.25">
      <c r="B23" s="95"/>
      <c r="C23" s="519" t="s">
        <v>169</v>
      </c>
      <c r="D23" s="520"/>
      <c r="E23" s="517" t="s">
        <v>170</v>
      </c>
      <c r="F23" s="518"/>
      <c r="G23" s="98"/>
      <c r="H23" s="99"/>
    </row>
    <row r="24" spans="2:8" ht="42" customHeight="1" x14ac:dyDescent="0.25">
      <c r="B24" s="95"/>
      <c r="C24" s="519" t="s">
        <v>47</v>
      </c>
      <c r="D24" s="520"/>
      <c r="E24" s="517" t="s">
        <v>171</v>
      </c>
      <c r="F24" s="518"/>
      <c r="G24" s="98"/>
      <c r="H24" s="99"/>
    </row>
    <row r="25" spans="2:8" ht="59.25" customHeight="1" x14ac:dyDescent="0.25">
      <c r="B25" s="95"/>
      <c r="C25" s="519" t="s">
        <v>159</v>
      </c>
      <c r="D25" s="520"/>
      <c r="E25" s="517" t="s">
        <v>172</v>
      </c>
      <c r="F25" s="518"/>
      <c r="G25" s="98"/>
      <c r="H25" s="99"/>
    </row>
    <row r="26" spans="2:8" ht="23.25" customHeight="1" x14ac:dyDescent="0.25">
      <c r="B26" s="95"/>
      <c r="C26" s="519" t="s">
        <v>12</v>
      </c>
      <c r="D26" s="520"/>
      <c r="E26" s="517" t="s">
        <v>173</v>
      </c>
      <c r="F26" s="518"/>
      <c r="G26" s="98"/>
      <c r="H26" s="99"/>
    </row>
    <row r="27" spans="2:8" ht="30.75" customHeight="1" x14ac:dyDescent="0.25">
      <c r="B27" s="95"/>
      <c r="C27" s="519" t="s">
        <v>177</v>
      </c>
      <c r="D27" s="520"/>
      <c r="E27" s="517" t="s">
        <v>174</v>
      </c>
      <c r="F27" s="518"/>
      <c r="G27" s="98"/>
      <c r="H27" s="99"/>
    </row>
    <row r="28" spans="2:8" ht="35.25" customHeight="1" x14ac:dyDescent="0.25">
      <c r="B28" s="95"/>
      <c r="C28" s="519" t="s">
        <v>178</v>
      </c>
      <c r="D28" s="520"/>
      <c r="E28" s="517" t="s">
        <v>175</v>
      </c>
      <c r="F28" s="518"/>
      <c r="G28" s="98"/>
      <c r="H28" s="99"/>
    </row>
    <row r="29" spans="2:8" ht="33" customHeight="1" x14ac:dyDescent="0.25">
      <c r="B29" s="95"/>
      <c r="C29" s="519" t="s">
        <v>178</v>
      </c>
      <c r="D29" s="520"/>
      <c r="E29" s="517" t="s">
        <v>175</v>
      </c>
      <c r="F29" s="518"/>
      <c r="G29" s="98"/>
      <c r="H29" s="99"/>
    </row>
    <row r="30" spans="2:8" ht="30" customHeight="1" x14ac:dyDescent="0.25">
      <c r="B30" s="95"/>
      <c r="C30" s="519" t="s">
        <v>179</v>
      </c>
      <c r="D30" s="520"/>
      <c r="E30" s="517" t="s">
        <v>176</v>
      </c>
      <c r="F30" s="518"/>
      <c r="G30" s="98"/>
      <c r="H30" s="99"/>
    </row>
    <row r="31" spans="2:8" ht="35.25" customHeight="1" x14ac:dyDescent="0.25">
      <c r="B31" s="95"/>
      <c r="C31" s="519" t="s">
        <v>180</v>
      </c>
      <c r="D31" s="520"/>
      <c r="E31" s="517" t="s">
        <v>181</v>
      </c>
      <c r="F31" s="518"/>
      <c r="G31" s="98"/>
      <c r="H31" s="99"/>
    </row>
    <row r="32" spans="2:8" ht="31.5" customHeight="1" x14ac:dyDescent="0.25">
      <c r="B32" s="95"/>
      <c r="C32" s="519" t="s">
        <v>182</v>
      </c>
      <c r="D32" s="520"/>
      <c r="E32" s="517" t="s">
        <v>183</v>
      </c>
      <c r="F32" s="518"/>
      <c r="G32" s="98"/>
      <c r="H32" s="99"/>
    </row>
    <row r="33" spans="2:8" ht="35.25" customHeight="1" x14ac:dyDescent="0.25">
      <c r="B33" s="95"/>
      <c r="C33" s="519" t="s">
        <v>184</v>
      </c>
      <c r="D33" s="520"/>
      <c r="E33" s="517" t="s">
        <v>185</v>
      </c>
      <c r="F33" s="518"/>
      <c r="G33" s="98"/>
      <c r="H33" s="99"/>
    </row>
    <row r="34" spans="2:8" ht="59.25" customHeight="1" x14ac:dyDescent="0.25">
      <c r="B34" s="95"/>
      <c r="C34" s="519" t="s">
        <v>186</v>
      </c>
      <c r="D34" s="520"/>
      <c r="E34" s="517" t="s">
        <v>187</v>
      </c>
      <c r="F34" s="518"/>
      <c r="G34" s="98"/>
      <c r="H34" s="99"/>
    </row>
    <row r="35" spans="2:8" ht="29.25" customHeight="1" x14ac:dyDescent="0.25">
      <c r="B35" s="95"/>
      <c r="C35" s="519" t="s">
        <v>29</v>
      </c>
      <c r="D35" s="520"/>
      <c r="E35" s="517" t="s">
        <v>188</v>
      </c>
      <c r="F35" s="518"/>
      <c r="G35" s="98"/>
      <c r="H35" s="99"/>
    </row>
    <row r="36" spans="2:8" ht="82.5" customHeight="1" x14ac:dyDescent="0.25">
      <c r="B36" s="95"/>
      <c r="C36" s="519" t="s">
        <v>190</v>
      </c>
      <c r="D36" s="520"/>
      <c r="E36" s="517" t="s">
        <v>189</v>
      </c>
      <c r="F36" s="518"/>
      <c r="G36" s="98"/>
      <c r="H36" s="99"/>
    </row>
    <row r="37" spans="2:8" ht="46.5" customHeight="1" x14ac:dyDescent="0.25">
      <c r="B37" s="95"/>
      <c r="C37" s="519" t="s">
        <v>38</v>
      </c>
      <c r="D37" s="520"/>
      <c r="E37" s="517" t="s">
        <v>191</v>
      </c>
      <c r="F37" s="518"/>
      <c r="G37" s="98"/>
      <c r="H37" s="99"/>
    </row>
    <row r="38" spans="2:8" ht="6.75" customHeight="1" thickBot="1" x14ac:dyDescent="0.3">
      <c r="B38" s="95"/>
      <c r="C38" s="530"/>
      <c r="D38" s="531"/>
      <c r="E38" s="532"/>
      <c r="F38" s="533"/>
      <c r="G38" s="98"/>
      <c r="H38" s="99"/>
    </row>
    <row r="39" spans="2:8" ht="15.75" thickTop="1" x14ac:dyDescent="0.25">
      <c r="B39" s="95"/>
      <c r="C39" s="96"/>
      <c r="D39" s="96"/>
      <c r="E39" s="97"/>
      <c r="F39" s="97"/>
      <c r="G39" s="98"/>
      <c r="H39" s="99"/>
    </row>
    <row r="40" spans="2:8" ht="21" customHeight="1" x14ac:dyDescent="0.25">
      <c r="B40" s="527" t="s">
        <v>294</v>
      </c>
      <c r="C40" s="528"/>
      <c r="D40" s="528"/>
      <c r="E40" s="528"/>
      <c r="F40" s="528"/>
      <c r="G40" s="528"/>
      <c r="H40" s="529"/>
    </row>
    <row r="41" spans="2:8" ht="20.25" customHeight="1" x14ac:dyDescent="0.25">
      <c r="B41" s="527" t="s">
        <v>295</v>
      </c>
      <c r="C41" s="528"/>
      <c r="D41" s="528"/>
      <c r="E41" s="528"/>
      <c r="F41" s="528"/>
      <c r="G41" s="528"/>
      <c r="H41" s="529"/>
    </row>
    <row r="42" spans="2:8" ht="20.25" customHeight="1" x14ac:dyDescent="0.25">
      <c r="B42" s="527" t="s">
        <v>296</v>
      </c>
      <c r="C42" s="528"/>
      <c r="D42" s="528"/>
      <c r="E42" s="528"/>
      <c r="F42" s="528"/>
      <c r="G42" s="528"/>
      <c r="H42" s="529"/>
    </row>
    <row r="43" spans="2:8" ht="20.25" customHeight="1" x14ac:dyDescent="0.25">
      <c r="B43" s="527" t="s">
        <v>297</v>
      </c>
      <c r="C43" s="528"/>
      <c r="D43" s="528"/>
      <c r="E43" s="528"/>
      <c r="F43" s="528"/>
      <c r="G43" s="528"/>
      <c r="H43" s="529"/>
    </row>
    <row r="44" spans="2:8" ht="15" customHeight="1" x14ac:dyDescent="0.25">
      <c r="B44" s="527" t="s">
        <v>298</v>
      </c>
      <c r="C44" s="528"/>
      <c r="D44" s="528"/>
      <c r="E44" s="528"/>
      <c r="F44" s="528"/>
      <c r="G44" s="528"/>
      <c r="H44" s="529"/>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93" t="s">
        <v>251</v>
      </c>
      <c r="C2" s="594" t="s">
        <v>205</v>
      </c>
      <c r="D2" s="595"/>
      <c r="E2" s="595"/>
      <c r="F2" s="595"/>
      <c r="G2" s="595"/>
      <c r="H2" s="595"/>
      <c r="I2" s="595"/>
      <c r="J2" s="285" t="s">
        <v>250</v>
      </c>
      <c r="K2" s="258"/>
    </row>
    <row r="3" spans="2:11" ht="15" customHeight="1" x14ac:dyDescent="0.25">
      <c r="B3" s="510"/>
      <c r="C3" s="596"/>
      <c r="D3" s="597"/>
      <c r="E3" s="597"/>
      <c r="F3" s="597"/>
      <c r="G3" s="597"/>
      <c r="H3" s="597"/>
      <c r="I3" s="597"/>
      <c r="J3" s="286" t="s">
        <v>264</v>
      </c>
      <c r="K3" s="260"/>
    </row>
    <row r="4" spans="2:11" ht="15" customHeight="1" x14ac:dyDescent="0.25">
      <c r="B4" s="510"/>
      <c r="C4" s="596"/>
      <c r="D4" s="597"/>
      <c r="E4" s="597"/>
      <c r="F4" s="597"/>
      <c r="G4" s="597"/>
      <c r="H4" s="597"/>
      <c r="I4" s="597"/>
      <c r="J4" s="286" t="s">
        <v>263</v>
      </c>
      <c r="K4" s="260" t="s">
        <v>263</v>
      </c>
    </row>
    <row r="5" spans="2:11" ht="15" customHeight="1" thickBot="1" x14ac:dyDescent="0.3">
      <c r="B5" s="511"/>
      <c r="C5" s="598"/>
      <c r="D5" s="599"/>
      <c r="E5" s="599"/>
      <c r="F5" s="599"/>
      <c r="G5" s="599"/>
      <c r="H5" s="599"/>
      <c r="I5" s="599"/>
      <c r="J5" s="287" t="s">
        <v>245</v>
      </c>
      <c r="K5" s="262" t="s">
        <v>245</v>
      </c>
    </row>
    <row r="6" spans="2:11" ht="15.75" thickBot="1" x14ac:dyDescent="0.3"/>
    <row r="7" spans="2:11" customFormat="1" ht="15.75" thickBot="1" x14ac:dyDescent="0.3">
      <c r="B7" s="587" t="s">
        <v>246</v>
      </c>
      <c r="C7" s="588"/>
      <c r="D7" s="589" t="s">
        <v>252</v>
      </c>
      <c r="E7" s="590"/>
      <c r="F7" s="589" t="s">
        <v>253</v>
      </c>
      <c r="G7" s="591"/>
      <c r="H7" s="591"/>
      <c r="I7" s="591"/>
      <c r="J7" s="591"/>
      <c r="K7" s="592"/>
    </row>
    <row r="8" spans="2:11" customFormat="1" ht="18" customHeight="1" thickBot="1" x14ac:dyDescent="0.3">
      <c r="B8" s="558"/>
      <c r="C8" s="559"/>
      <c r="D8" s="560">
        <v>1</v>
      </c>
      <c r="E8" s="561"/>
      <c r="F8" s="556"/>
      <c r="G8" s="556"/>
      <c r="H8" s="556"/>
      <c r="I8" s="556"/>
      <c r="J8" s="556"/>
      <c r="K8" s="557"/>
    </row>
    <row r="9" spans="2:11" customFormat="1" ht="18" customHeight="1" thickBot="1" x14ac:dyDescent="0.3">
      <c r="B9" s="558"/>
      <c r="C9" s="559"/>
      <c r="D9" s="560">
        <v>2</v>
      </c>
      <c r="E9" s="561"/>
      <c r="F9" s="556"/>
      <c r="G9" s="556"/>
      <c r="H9" s="556"/>
      <c r="I9" s="556"/>
      <c r="J9" s="556"/>
      <c r="K9" s="557"/>
    </row>
    <row r="10" spans="2:11" customFormat="1" ht="18" customHeight="1" thickBot="1" x14ac:dyDescent="0.3">
      <c r="B10" s="558"/>
      <c r="C10" s="559"/>
      <c r="D10" s="560">
        <v>3</v>
      </c>
      <c r="E10" s="561"/>
      <c r="F10" s="556"/>
      <c r="G10" s="556"/>
      <c r="H10" s="556"/>
      <c r="I10" s="556"/>
      <c r="J10" s="556"/>
      <c r="K10" s="557"/>
    </row>
    <row r="11" spans="2:11" customFormat="1" ht="18" customHeight="1" thickBot="1" x14ac:dyDescent="0.3">
      <c r="B11" s="558"/>
      <c r="C11" s="559"/>
      <c r="D11" s="560">
        <v>4</v>
      </c>
      <c r="E11" s="561"/>
      <c r="F11" s="556"/>
      <c r="G11" s="556"/>
      <c r="H11" s="556"/>
      <c r="I11" s="556"/>
      <c r="J11" s="556"/>
      <c r="K11" s="557"/>
    </row>
    <row r="12" spans="2:11" customFormat="1" ht="18" customHeight="1" thickBot="1" x14ac:dyDescent="0.3">
      <c r="B12" s="558"/>
      <c r="C12" s="559"/>
      <c r="D12" s="560">
        <v>5</v>
      </c>
      <c r="E12" s="561"/>
      <c r="F12" s="556"/>
      <c r="G12" s="556"/>
      <c r="H12" s="556"/>
      <c r="I12" s="556"/>
      <c r="J12" s="556"/>
      <c r="K12" s="557"/>
    </row>
    <row r="13" spans="2:11" customFormat="1" ht="18" customHeight="1" thickBot="1" x14ac:dyDescent="0.3">
      <c r="B13" s="558"/>
      <c r="C13" s="559"/>
      <c r="D13" s="560">
        <v>6</v>
      </c>
      <c r="E13" s="561"/>
      <c r="F13" s="556"/>
      <c r="G13" s="556"/>
      <c r="H13" s="556"/>
      <c r="I13" s="556"/>
      <c r="J13" s="556"/>
      <c r="K13" s="557"/>
    </row>
    <row r="14" spans="2:11" customFormat="1" ht="18" customHeight="1" thickBot="1" x14ac:dyDescent="0.3">
      <c r="B14" s="558"/>
      <c r="C14" s="559"/>
      <c r="D14" s="560">
        <v>7</v>
      </c>
      <c r="E14" s="561"/>
      <c r="F14" s="556"/>
      <c r="G14" s="556"/>
      <c r="H14" s="556"/>
      <c r="I14" s="556"/>
      <c r="J14" s="556"/>
      <c r="K14" s="557"/>
    </row>
    <row r="15" spans="2:11" customFormat="1" ht="18" customHeight="1" thickBot="1" x14ac:dyDescent="0.3">
      <c r="B15" s="558">
        <v>45352</v>
      </c>
      <c r="C15" s="559"/>
      <c r="D15" s="560">
        <v>8</v>
      </c>
      <c r="E15" s="561"/>
      <c r="F15" s="556" t="s">
        <v>265</v>
      </c>
      <c r="G15" s="556"/>
      <c r="H15" s="556"/>
      <c r="I15" s="556"/>
      <c r="J15" s="556"/>
      <c r="K15" s="557"/>
    </row>
    <row r="16" spans="2:11" customFormat="1" ht="15.75" customHeight="1" thickBot="1" x14ac:dyDescent="0.3">
      <c r="B16" s="574"/>
      <c r="C16" s="574"/>
      <c r="D16" s="574"/>
      <c r="E16" s="574"/>
      <c r="F16" s="574"/>
      <c r="G16" s="574"/>
      <c r="H16" s="574"/>
      <c r="I16" s="574"/>
      <c r="J16" s="574"/>
      <c r="K16" s="574"/>
    </row>
    <row r="17" spans="2:12" customFormat="1" ht="15.75" customHeight="1" thickBot="1" x14ac:dyDescent="0.3">
      <c r="B17" s="575" t="s">
        <v>254</v>
      </c>
      <c r="C17" s="576"/>
      <c r="D17" s="576"/>
      <c r="E17" s="577"/>
      <c r="F17" s="578" t="s">
        <v>255</v>
      </c>
      <c r="G17" s="579"/>
      <c r="H17" s="580"/>
      <c r="I17" s="581" t="s">
        <v>256</v>
      </c>
      <c r="J17" s="582"/>
      <c r="K17" s="577"/>
    </row>
    <row r="18" spans="2:12" customFormat="1" ht="27" customHeight="1" x14ac:dyDescent="0.25">
      <c r="B18" s="583"/>
      <c r="C18" s="584"/>
      <c r="D18" s="584"/>
      <c r="E18" s="584"/>
      <c r="F18" s="584"/>
      <c r="G18" s="584"/>
      <c r="H18" s="584"/>
      <c r="I18" s="585"/>
      <c r="J18" s="585"/>
      <c r="K18" s="586"/>
    </row>
    <row r="19" spans="2:12" customFormat="1" ht="15" customHeight="1" x14ac:dyDescent="0.25">
      <c r="B19" s="563" t="s">
        <v>257</v>
      </c>
      <c r="C19" s="564"/>
      <c r="D19" s="564"/>
      <c r="E19" s="564"/>
      <c r="F19" s="565" t="s">
        <v>258</v>
      </c>
      <c r="G19" s="565"/>
      <c r="H19" s="566"/>
      <c r="I19" s="565" t="s">
        <v>258</v>
      </c>
      <c r="J19" s="565"/>
      <c r="K19" s="566"/>
    </row>
    <row r="20" spans="2:12" customFormat="1" ht="22.5" customHeight="1" thickBot="1" x14ac:dyDescent="0.3">
      <c r="B20" s="567" t="s">
        <v>259</v>
      </c>
      <c r="C20" s="568"/>
      <c r="D20" s="568"/>
      <c r="E20" s="568"/>
      <c r="F20" s="568" t="s">
        <v>260</v>
      </c>
      <c r="G20" s="568"/>
      <c r="H20" s="569"/>
      <c r="I20" s="568" t="s">
        <v>260</v>
      </c>
      <c r="J20" s="568"/>
      <c r="K20" s="569"/>
    </row>
    <row r="21" spans="2:12" customFormat="1" ht="9" customHeight="1" thickBot="1" x14ac:dyDescent="0.3">
      <c r="B21" s="570"/>
      <c r="C21" s="570"/>
      <c r="D21" s="570"/>
      <c r="E21" s="570"/>
      <c r="F21" s="570"/>
      <c r="G21" s="570"/>
      <c r="H21" s="570"/>
      <c r="I21" s="570"/>
      <c r="J21" s="570"/>
      <c r="K21" s="570"/>
    </row>
    <row r="22" spans="2:12" customFormat="1" ht="15.75" thickBot="1" x14ac:dyDescent="0.3">
      <c r="B22" s="571" t="s">
        <v>207</v>
      </c>
      <c r="C22" s="572"/>
      <c r="D22" s="573"/>
      <c r="E22" s="131" t="s">
        <v>208</v>
      </c>
      <c r="F22" s="571" t="s">
        <v>209</v>
      </c>
      <c r="G22" s="573"/>
      <c r="H22" s="132" t="s">
        <v>210</v>
      </c>
      <c r="I22" s="571" t="s">
        <v>211</v>
      </c>
      <c r="J22" s="573"/>
      <c r="K22" s="133">
        <v>1</v>
      </c>
    </row>
    <row r="23" spans="2:12" ht="8.25" customHeight="1" x14ac:dyDescent="0.25"/>
    <row r="24" spans="2:12" x14ac:dyDescent="0.25">
      <c r="B24" s="562" t="s">
        <v>261</v>
      </c>
      <c r="C24" s="562"/>
      <c r="D24" s="562"/>
      <c r="E24" s="562"/>
      <c r="F24" s="562"/>
      <c r="G24" s="562"/>
      <c r="H24" s="562"/>
      <c r="I24" s="562"/>
      <c r="J24" s="562"/>
      <c r="K24" s="562"/>
      <c r="L24" s="562"/>
    </row>
    <row r="25" spans="2:12" x14ac:dyDescent="0.25">
      <c r="B25" s="562" t="s">
        <v>262</v>
      </c>
      <c r="C25" s="562"/>
      <c r="D25" s="562"/>
      <c r="E25" s="562"/>
      <c r="F25" s="562"/>
      <c r="G25" s="562"/>
      <c r="H25" s="562"/>
      <c r="I25" s="562"/>
      <c r="J25" s="562"/>
      <c r="K25" s="562"/>
      <c r="L25" s="562"/>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00" t="s">
        <v>54</v>
      </c>
      <c r="C1" s="600"/>
      <c r="D1" s="600"/>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01" t="s">
        <v>62</v>
      </c>
      <c r="C1" s="601"/>
      <c r="D1" s="601"/>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6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101.2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117</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02" t="s">
        <v>77</v>
      </c>
      <c r="C1" s="603"/>
      <c r="D1" s="603"/>
      <c r="E1" s="603"/>
      <c r="F1" s="604"/>
    </row>
    <row r="2" spans="2:6" ht="16.5" thickBot="1" x14ac:dyDescent="0.3">
      <c r="B2" s="75"/>
      <c r="C2" s="75"/>
      <c r="D2" s="75"/>
      <c r="E2" s="75"/>
      <c r="F2" s="75"/>
    </row>
    <row r="3" spans="2:6" ht="16.5" thickBot="1" x14ac:dyDescent="0.25">
      <c r="B3" s="606" t="s">
        <v>63</v>
      </c>
      <c r="C3" s="607"/>
      <c r="D3" s="607"/>
      <c r="E3" s="87" t="s">
        <v>64</v>
      </c>
      <c r="F3" s="88" t="s">
        <v>65</v>
      </c>
    </row>
    <row r="4" spans="2:6" ht="31.5" x14ac:dyDescent="0.2">
      <c r="B4" s="608" t="s">
        <v>66</v>
      </c>
      <c r="C4" s="610" t="s">
        <v>13</v>
      </c>
      <c r="D4" s="76" t="s">
        <v>14</v>
      </c>
      <c r="E4" s="77" t="s">
        <v>67</v>
      </c>
      <c r="F4" s="78">
        <v>0.25</v>
      </c>
    </row>
    <row r="5" spans="2:6" ht="47.25" x14ac:dyDescent="0.2">
      <c r="B5" s="609"/>
      <c r="C5" s="611"/>
      <c r="D5" s="79" t="s">
        <v>15</v>
      </c>
      <c r="E5" s="80" t="s">
        <v>68</v>
      </c>
      <c r="F5" s="81">
        <v>0.15</v>
      </c>
    </row>
    <row r="6" spans="2:6" ht="47.25" x14ac:dyDescent="0.2">
      <c r="B6" s="609"/>
      <c r="C6" s="611"/>
      <c r="D6" s="79" t="s">
        <v>16</v>
      </c>
      <c r="E6" s="80" t="s">
        <v>69</v>
      </c>
      <c r="F6" s="81">
        <v>0.1</v>
      </c>
    </row>
    <row r="7" spans="2:6" ht="63" x14ac:dyDescent="0.2">
      <c r="B7" s="609"/>
      <c r="C7" s="611" t="s">
        <v>17</v>
      </c>
      <c r="D7" s="79" t="s">
        <v>10</v>
      </c>
      <c r="E7" s="80" t="s">
        <v>70</v>
      </c>
      <c r="F7" s="81">
        <v>0.25</v>
      </c>
    </row>
    <row r="8" spans="2:6" ht="31.5" x14ac:dyDescent="0.2">
      <c r="B8" s="609"/>
      <c r="C8" s="611"/>
      <c r="D8" s="79" t="s">
        <v>9</v>
      </c>
      <c r="E8" s="80" t="s">
        <v>71</v>
      </c>
      <c r="F8" s="81">
        <v>0.15</v>
      </c>
    </row>
    <row r="9" spans="2:6" ht="47.25" x14ac:dyDescent="0.2">
      <c r="B9" s="609" t="s">
        <v>158</v>
      </c>
      <c r="C9" s="611" t="s">
        <v>18</v>
      </c>
      <c r="D9" s="79" t="s">
        <v>19</v>
      </c>
      <c r="E9" s="80" t="s">
        <v>72</v>
      </c>
      <c r="F9" s="82" t="s">
        <v>73</v>
      </c>
    </row>
    <row r="10" spans="2:6" ht="63" x14ac:dyDescent="0.2">
      <c r="B10" s="609"/>
      <c r="C10" s="611"/>
      <c r="D10" s="79" t="s">
        <v>20</v>
      </c>
      <c r="E10" s="80" t="s">
        <v>74</v>
      </c>
      <c r="F10" s="82" t="s">
        <v>73</v>
      </c>
    </row>
    <row r="11" spans="2:6" ht="47.25" x14ac:dyDescent="0.2">
      <c r="B11" s="609"/>
      <c r="C11" s="611" t="s">
        <v>21</v>
      </c>
      <c r="D11" s="79" t="s">
        <v>22</v>
      </c>
      <c r="E11" s="80" t="s">
        <v>75</v>
      </c>
      <c r="F11" s="82" t="s">
        <v>73</v>
      </c>
    </row>
    <row r="12" spans="2:6" ht="47.25" x14ac:dyDescent="0.2">
      <c r="B12" s="609"/>
      <c r="C12" s="611"/>
      <c r="D12" s="79" t="s">
        <v>23</v>
      </c>
      <c r="E12" s="80" t="s">
        <v>76</v>
      </c>
      <c r="F12" s="82" t="s">
        <v>73</v>
      </c>
    </row>
    <row r="13" spans="2:6" ht="31.5" x14ac:dyDescent="0.2">
      <c r="B13" s="609"/>
      <c r="C13" s="611" t="s">
        <v>24</v>
      </c>
      <c r="D13" s="79" t="s">
        <v>118</v>
      </c>
      <c r="E13" s="80" t="s">
        <v>121</v>
      </c>
      <c r="F13" s="82" t="s">
        <v>73</v>
      </c>
    </row>
    <row r="14" spans="2:6" ht="32.25" thickBot="1" x14ac:dyDescent="0.25">
      <c r="B14" s="612"/>
      <c r="C14" s="613"/>
      <c r="D14" s="83" t="s">
        <v>119</v>
      </c>
      <c r="E14" s="84" t="s">
        <v>120</v>
      </c>
      <c r="F14" s="85" t="s">
        <v>73</v>
      </c>
    </row>
    <row r="15" spans="2:6" ht="49.5" customHeight="1" x14ac:dyDescent="0.2">
      <c r="B15" s="605" t="s">
        <v>155</v>
      </c>
      <c r="C15" s="605"/>
      <c r="D15" s="605"/>
      <c r="E15" s="605"/>
      <c r="F15" s="605"/>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77" t="s">
        <v>244</v>
      </c>
      <c r="C2" s="278"/>
      <c r="D2" s="265" t="s">
        <v>300</v>
      </c>
      <c r="E2" s="285" t="s">
        <v>377</v>
      </c>
      <c r="F2" s="258"/>
    </row>
    <row r="3" spans="1:8" ht="19.5" customHeight="1" x14ac:dyDescent="0.25">
      <c r="B3" s="253"/>
      <c r="C3" s="279"/>
      <c r="D3" s="266"/>
      <c r="E3" s="286" t="s">
        <v>264</v>
      </c>
      <c r="F3" s="260"/>
    </row>
    <row r="4" spans="1:8" ht="19.5" customHeight="1" x14ac:dyDescent="0.25">
      <c r="B4" s="253"/>
      <c r="C4" s="279"/>
      <c r="D4" s="266"/>
      <c r="E4" s="286" t="s">
        <v>389</v>
      </c>
      <c r="F4" s="260"/>
    </row>
    <row r="5" spans="1:8" ht="19.5" customHeight="1" thickBot="1" x14ac:dyDescent="0.3">
      <c r="A5" t="s">
        <v>266</v>
      </c>
      <c r="B5" s="255"/>
      <c r="C5" s="280"/>
      <c r="D5" s="267"/>
      <c r="E5" s="287" t="s">
        <v>245</v>
      </c>
      <c r="F5" s="262"/>
    </row>
    <row r="6" spans="1:8" ht="15.75" thickBot="1" x14ac:dyDescent="0.3"/>
    <row r="7" spans="1:8" x14ac:dyDescent="0.25">
      <c r="B7" s="268" t="s">
        <v>299</v>
      </c>
      <c r="C7" s="271" t="s">
        <v>268</v>
      </c>
      <c r="D7" s="272"/>
      <c r="E7" s="281" t="s">
        <v>270</v>
      </c>
      <c r="F7" s="282"/>
    </row>
    <row r="8" spans="1:8" ht="15.75" thickBot="1" x14ac:dyDescent="0.3">
      <c r="B8" s="269"/>
      <c r="C8" s="273"/>
      <c r="D8" s="274"/>
      <c r="E8" s="283"/>
      <c r="F8" s="284"/>
      <c r="H8" s="156">
        <f>+COUNTA($E$10:$E$28)</f>
        <v>0</v>
      </c>
    </row>
    <row r="9" spans="1:8" ht="15.75" thickBot="1" x14ac:dyDescent="0.3">
      <c r="B9" s="270"/>
      <c r="C9" s="275" t="s">
        <v>269</v>
      </c>
      <c r="D9" s="276"/>
      <c r="E9" s="153" t="s">
        <v>271</v>
      </c>
      <c r="F9" s="153" t="s">
        <v>272</v>
      </c>
      <c r="H9" s="156">
        <f>+COUNTA($F$10:$F$28)</f>
        <v>0</v>
      </c>
    </row>
    <row r="10" spans="1:8" ht="15.75" thickBot="1" x14ac:dyDescent="0.3">
      <c r="B10" s="152">
        <v>1</v>
      </c>
      <c r="C10" s="263" t="s">
        <v>273</v>
      </c>
      <c r="D10" s="264"/>
      <c r="E10" s="148"/>
      <c r="F10" s="149"/>
      <c r="H10" s="156">
        <f>+COUNTA($E$10:$E$28)-COUNTA(F10:F28)</f>
        <v>0</v>
      </c>
    </row>
    <row r="11" spans="1:8" ht="15.75" thickBot="1" x14ac:dyDescent="0.3">
      <c r="B11" s="152">
        <v>2</v>
      </c>
      <c r="C11" s="263" t="s">
        <v>275</v>
      </c>
      <c r="D11" s="264" t="s">
        <v>275</v>
      </c>
      <c r="E11" s="148"/>
      <c r="F11" s="149"/>
      <c r="H11" s="157"/>
    </row>
    <row r="12" spans="1:8" ht="15.75" thickBot="1" x14ac:dyDescent="0.3">
      <c r="B12" s="152">
        <v>3</v>
      </c>
      <c r="C12" s="263" t="s">
        <v>276</v>
      </c>
      <c r="D12" s="264" t="s">
        <v>276</v>
      </c>
      <c r="E12" s="148"/>
      <c r="F12" s="149"/>
    </row>
    <row r="13" spans="1:8" ht="15.75" thickBot="1" x14ac:dyDescent="0.3">
      <c r="B13" s="152">
        <v>4</v>
      </c>
      <c r="C13" s="263" t="s">
        <v>388</v>
      </c>
      <c r="D13" s="264" t="s">
        <v>277</v>
      </c>
      <c r="E13" s="148"/>
      <c r="F13" s="149"/>
    </row>
    <row r="14" spans="1:8" ht="15.75" thickBot="1" x14ac:dyDescent="0.3">
      <c r="B14" s="152">
        <v>5</v>
      </c>
      <c r="C14" s="263" t="s">
        <v>278</v>
      </c>
      <c r="D14" s="264" t="s">
        <v>278</v>
      </c>
      <c r="E14" s="148"/>
      <c r="F14" s="149"/>
    </row>
    <row r="15" spans="1:8" ht="15.75" thickBot="1" x14ac:dyDescent="0.3">
      <c r="B15" s="152">
        <v>6</v>
      </c>
      <c r="C15" s="263" t="s">
        <v>279</v>
      </c>
      <c r="D15" s="264" t="s">
        <v>279</v>
      </c>
      <c r="E15" s="148"/>
      <c r="F15" s="149"/>
    </row>
    <row r="16" spans="1:8" ht="15.75" thickBot="1" x14ac:dyDescent="0.3">
      <c r="B16" s="152">
        <v>7</v>
      </c>
      <c r="C16" s="263" t="s">
        <v>280</v>
      </c>
      <c r="D16" s="264" t="s">
        <v>280</v>
      </c>
      <c r="E16" s="148"/>
      <c r="F16" s="149"/>
    </row>
    <row r="17" spans="2:7" ht="28.5" customHeight="1" thickBot="1" x14ac:dyDescent="0.3">
      <c r="B17" s="152">
        <v>8</v>
      </c>
      <c r="C17" s="263" t="s">
        <v>281</v>
      </c>
      <c r="D17" s="264" t="s">
        <v>281</v>
      </c>
      <c r="E17" s="148"/>
      <c r="F17" s="149"/>
    </row>
    <row r="18" spans="2:7" ht="18.75" customHeight="1" thickBot="1" x14ac:dyDescent="0.3">
      <c r="B18" s="152">
        <v>9</v>
      </c>
      <c r="C18" s="263" t="s">
        <v>282</v>
      </c>
      <c r="D18" s="264" t="s">
        <v>282</v>
      </c>
      <c r="E18" s="148"/>
      <c r="F18" s="149"/>
    </row>
    <row r="19" spans="2:7" ht="15.75" thickBot="1" x14ac:dyDescent="0.3">
      <c r="B19" s="152">
        <v>10</v>
      </c>
      <c r="C19" s="263" t="s">
        <v>283</v>
      </c>
      <c r="D19" s="264" t="s">
        <v>283</v>
      </c>
      <c r="E19" s="148"/>
      <c r="F19" s="149"/>
    </row>
    <row r="20" spans="2:7" ht="15.75" thickBot="1" x14ac:dyDescent="0.3">
      <c r="B20" s="152">
        <v>11</v>
      </c>
      <c r="C20" s="263" t="s">
        <v>284</v>
      </c>
      <c r="D20" s="264" t="s">
        <v>284</v>
      </c>
      <c r="E20" s="148"/>
      <c r="F20" s="149"/>
    </row>
    <row r="21" spans="2:7" ht="15.75" thickBot="1" x14ac:dyDescent="0.3">
      <c r="B21" s="152">
        <v>12</v>
      </c>
      <c r="C21" s="263" t="s">
        <v>285</v>
      </c>
      <c r="D21" s="264" t="s">
        <v>285</v>
      </c>
      <c r="E21" s="148"/>
      <c r="F21" s="149"/>
    </row>
    <row r="22" spans="2:7" ht="15.75" thickBot="1" x14ac:dyDescent="0.3">
      <c r="B22" s="152">
        <v>13</v>
      </c>
      <c r="C22" s="263" t="s">
        <v>286</v>
      </c>
      <c r="D22" s="264" t="s">
        <v>286</v>
      </c>
      <c r="E22" s="148"/>
      <c r="F22" s="149"/>
    </row>
    <row r="23" spans="2:7" ht="15.75" thickBot="1" x14ac:dyDescent="0.3">
      <c r="B23" s="152">
        <v>14</v>
      </c>
      <c r="C23" s="263" t="s">
        <v>287</v>
      </c>
      <c r="D23" s="264" t="s">
        <v>287</v>
      </c>
      <c r="E23" s="148"/>
      <c r="F23" s="149"/>
    </row>
    <row r="24" spans="2:7" ht="15.75" thickBot="1" x14ac:dyDescent="0.3">
      <c r="B24" s="152">
        <v>15</v>
      </c>
      <c r="C24" s="263" t="s">
        <v>288</v>
      </c>
      <c r="D24" s="264" t="s">
        <v>288</v>
      </c>
      <c r="E24" s="148"/>
      <c r="F24" s="149"/>
    </row>
    <row r="25" spans="2:7" ht="15.75" thickBot="1" x14ac:dyDescent="0.3">
      <c r="B25" s="152">
        <v>16</v>
      </c>
      <c r="C25" s="263" t="s">
        <v>289</v>
      </c>
      <c r="D25" s="264" t="s">
        <v>289</v>
      </c>
      <c r="E25" s="148"/>
      <c r="F25" s="149"/>
    </row>
    <row r="26" spans="2:7" ht="15.75" thickBot="1" x14ac:dyDescent="0.3">
      <c r="B26" s="152">
        <v>17</v>
      </c>
      <c r="C26" s="263" t="s">
        <v>290</v>
      </c>
      <c r="D26" s="264" t="s">
        <v>290</v>
      </c>
      <c r="E26" s="148"/>
      <c r="F26" s="149"/>
    </row>
    <row r="27" spans="2:7" ht="15.75" thickBot="1" x14ac:dyDescent="0.3">
      <c r="B27" s="152">
        <v>18</v>
      </c>
      <c r="C27" s="263" t="s">
        <v>291</v>
      </c>
      <c r="D27" s="264" t="s">
        <v>291</v>
      </c>
      <c r="E27" s="148"/>
      <c r="F27" s="149"/>
    </row>
    <row r="28" spans="2:7" ht="15.75" thickBot="1" x14ac:dyDescent="0.3">
      <c r="B28" s="152">
        <v>19</v>
      </c>
      <c r="C28" s="263" t="s">
        <v>292</v>
      </c>
      <c r="D28" s="264"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27" priority="1" stopIfTrue="1" operator="equal">
      <formula>"Catastrófico"</formula>
    </cfRule>
    <cfRule type="cellIs" dxfId="26" priority="2" stopIfTrue="1" operator="equal">
      <formula>"Moderado"</formula>
    </cfRule>
    <cfRule type="cellIs" dxfId="25"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tabSelected="1" zoomScale="50" zoomScaleNormal="50" workbookViewId="0">
      <pane ySplit="10" topLeftCell="A11" activePane="bottomLeft" state="frozen"/>
      <selection pane="bottomLeft"/>
    </sheetView>
  </sheetViews>
  <sheetFormatPr baseColWidth="10" defaultColWidth="11.42578125" defaultRowHeight="14.25" x14ac:dyDescent="0.2"/>
  <cols>
    <col min="1" max="1" width="11.42578125" style="179"/>
    <col min="2" max="2" width="3" style="179" customWidth="1"/>
    <col min="3" max="3" width="2.5703125" style="179" customWidth="1"/>
    <col min="4" max="4" width="4.7109375" style="180" customWidth="1"/>
    <col min="5" max="5" width="14.7109375" style="180" customWidth="1"/>
    <col min="6" max="6" width="17.42578125" style="180" customWidth="1"/>
    <col min="7" max="8" width="12" style="180" customWidth="1"/>
    <col min="9" max="9" width="47" style="180" customWidth="1"/>
    <col min="10" max="10" width="16.28515625" style="180" hidden="1" customWidth="1"/>
    <col min="11" max="11" width="39.5703125" style="180" customWidth="1"/>
    <col min="12" max="12" width="61.85546875" style="179" customWidth="1"/>
    <col min="13" max="15" width="19" style="181" customWidth="1"/>
    <col min="16" max="16" width="17.7109375" style="179" customWidth="1"/>
    <col min="17" max="17" width="16.42578125" style="179" customWidth="1"/>
    <col min="18" max="18" width="6.28515625" style="179" bestFit="1" customWidth="1"/>
    <col min="19" max="19" width="27.28515625" style="179" bestFit="1" customWidth="1"/>
    <col min="20" max="20" width="17" style="179" customWidth="1"/>
    <col min="21" max="21" width="17.42578125" style="179" customWidth="1"/>
    <col min="22" max="22" width="6.28515625" style="179" bestFit="1" customWidth="1"/>
    <col min="23" max="23" width="16" style="179" customWidth="1"/>
    <col min="24" max="24" width="5.7109375" style="179" customWidth="1"/>
    <col min="25" max="25" width="71.85546875" style="179" customWidth="1"/>
    <col min="26" max="26" width="69.5703125" style="179" customWidth="1"/>
    <col min="27" max="27" width="15.140625" style="179" bestFit="1" customWidth="1"/>
    <col min="28" max="28" width="6.7109375" style="179" customWidth="1"/>
    <col min="29" max="29" width="5" style="179" customWidth="1"/>
    <col min="30" max="30" width="5.42578125" style="179" customWidth="1"/>
    <col min="31" max="31" width="7.140625" style="179" customWidth="1"/>
    <col min="32" max="32" width="6.7109375" style="179" customWidth="1"/>
    <col min="33" max="33" width="12.5703125" style="179" customWidth="1"/>
    <col min="34" max="34" width="23.42578125" style="179" customWidth="1"/>
    <col min="35" max="35" width="13.7109375" style="179" customWidth="1"/>
    <col min="36" max="36" width="8.7109375" style="179" customWidth="1"/>
    <col min="37" max="37" width="10.42578125" style="179" customWidth="1"/>
    <col min="38" max="38" width="9.28515625" style="179" customWidth="1"/>
    <col min="39" max="39" width="9.140625" style="179" customWidth="1"/>
    <col min="40" max="40" width="8.42578125" style="179" customWidth="1"/>
    <col min="41" max="41" width="7.28515625" style="179" customWidth="1"/>
    <col min="42" max="42" width="39.28515625" style="179" customWidth="1"/>
    <col min="43" max="43" width="35.5703125" style="179" customWidth="1"/>
    <col min="44" max="44" width="16.7109375" style="179" customWidth="1"/>
    <col min="45" max="45" width="14.7109375" style="179" customWidth="1"/>
    <col min="46" max="46" width="18.42578125" style="179" customWidth="1"/>
    <col min="47" max="47" width="21" style="179" customWidth="1"/>
    <col min="48" max="48" width="14.140625" style="179" customWidth="1"/>
    <col min="49" max="49" width="17.7109375" style="179" customWidth="1"/>
    <col min="50" max="51" width="20.7109375" style="179" customWidth="1"/>
    <col min="52" max="52" width="15.42578125" style="179" customWidth="1"/>
    <col min="53" max="53" width="19.5703125" style="179" customWidth="1"/>
    <col min="54" max="54" width="17.28515625" style="179" customWidth="1"/>
    <col min="55" max="16384" width="11.42578125" style="179"/>
  </cols>
  <sheetData>
    <row r="1" spans="1:80" ht="15" thickBot="1" x14ac:dyDescent="0.25"/>
    <row r="2" spans="1:80" ht="27.75" customHeight="1" x14ac:dyDescent="0.2">
      <c r="D2" s="303" t="s">
        <v>301</v>
      </c>
      <c r="E2" s="304"/>
      <c r="F2" s="304"/>
      <c r="G2" s="304"/>
      <c r="H2" s="304"/>
      <c r="I2" s="309" t="s">
        <v>205</v>
      </c>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17" t="s">
        <v>377</v>
      </c>
      <c r="BB2" s="318"/>
    </row>
    <row r="3" spans="1:80" ht="27.75" customHeight="1" x14ac:dyDescent="0.2">
      <c r="D3" s="305"/>
      <c r="E3" s="306"/>
      <c r="F3" s="306"/>
      <c r="G3" s="306"/>
      <c r="H3" s="306"/>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19" t="s">
        <v>242</v>
      </c>
      <c r="BB3" s="319"/>
    </row>
    <row r="4" spans="1:80" ht="27.75" customHeight="1" x14ac:dyDescent="0.2">
      <c r="D4" s="305"/>
      <c r="E4" s="306"/>
      <c r="F4" s="306"/>
      <c r="G4" s="306"/>
      <c r="H4" s="306"/>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19" t="s">
        <v>389</v>
      </c>
      <c r="BB4" s="319"/>
    </row>
    <row r="5" spans="1:80" ht="27.75" customHeight="1" thickBot="1" x14ac:dyDescent="0.25">
      <c r="D5" s="307"/>
      <c r="E5" s="308"/>
      <c r="F5" s="308"/>
      <c r="G5" s="308"/>
      <c r="H5" s="308"/>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19" t="s">
        <v>206</v>
      </c>
      <c r="BB5" s="319"/>
    </row>
    <row r="6" spans="1:80" ht="13.9" customHeight="1" x14ac:dyDescent="0.25">
      <c r="D6" s="119"/>
      <c r="E6" s="120"/>
      <c r="F6" s="120"/>
      <c r="G6" s="120"/>
      <c r="H6" s="120"/>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22"/>
      <c r="BB6" s="121"/>
    </row>
    <row r="7" spans="1:80" ht="26.25" customHeight="1" x14ac:dyDescent="0.2">
      <c r="D7" s="297" t="s">
        <v>42</v>
      </c>
      <c r="E7" s="298"/>
      <c r="F7" s="298"/>
      <c r="G7" s="299"/>
      <c r="H7" s="310" t="s">
        <v>396</v>
      </c>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2"/>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row>
    <row r="8" spans="1:80" ht="30" customHeight="1" x14ac:dyDescent="0.2">
      <c r="D8" s="297" t="s">
        <v>129</v>
      </c>
      <c r="E8" s="298"/>
      <c r="F8" s="298"/>
      <c r="G8" s="299"/>
      <c r="H8" s="310" t="s">
        <v>397</v>
      </c>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2"/>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row>
    <row r="9" spans="1:80" ht="24" customHeight="1" x14ac:dyDescent="0.2">
      <c r="D9" s="297" t="s">
        <v>43</v>
      </c>
      <c r="E9" s="298"/>
      <c r="F9" s="298"/>
      <c r="G9" s="299"/>
      <c r="H9" s="310" t="s">
        <v>398</v>
      </c>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2"/>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row>
    <row r="10" spans="1:80" s="184" customFormat="1" ht="24" customHeight="1" x14ac:dyDescent="0.2">
      <c r="D10" s="185"/>
      <c r="E10" s="186"/>
      <c r="F10" s="187"/>
      <c r="G10" s="187"/>
      <c r="H10" s="185"/>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9"/>
      <c r="AW10" s="189"/>
      <c r="AX10" s="189"/>
      <c r="AY10" s="189"/>
      <c r="AZ10" s="189"/>
      <c r="BA10" s="189"/>
      <c r="BB10" s="189"/>
    </row>
    <row r="11" spans="1:80" s="184" customFormat="1" ht="24" customHeight="1" x14ac:dyDescent="0.25">
      <c r="A11" s="334" t="s">
        <v>266</v>
      </c>
      <c r="B11" s="334"/>
      <c r="C11" s="335"/>
      <c r="D11" s="337" t="s">
        <v>304</v>
      </c>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9" t="s">
        <v>302</v>
      </c>
      <c r="AW11" s="340"/>
      <c r="AX11" s="340"/>
      <c r="AY11" s="341"/>
      <c r="AZ11" s="342" t="s">
        <v>303</v>
      </c>
      <c r="BA11" s="343"/>
      <c r="BB11" s="344"/>
    </row>
    <row r="12" spans="1:80" ht="15.75" x14ac:dyDescent="0.2">
      <c r="D12" s="302" t="s">
        <v>137</v>
      </c>
      <c r="E12" s="302"/>
      <c r="F12" s="302"/>
      <c r="G12" s="302"/>
      <c r="H12" s="302"/>
      <c r="I12" s="288"/>
      <c r="J12" s="288"/>
      <c r="K12" s="288"/>
      <c r="L12" s="288"/>
      <c r="M12" s="288"/>
      <c r="N12" s="288"/>
      <c r="O12" s="288"/>
      <c r="P12" s="288"/>
      <c r="Q12" s="288" t="s">
        <v>138</v>
      </c>
      <c r="R12" s="288"/>
      <c r="S12" s="288"/>
      <c r="T12" s="288"/>
      <c r="U12" s="288"/>
      <c r="V12" s="288"/>
      <c r="W12" s="288"/>
      <c r="X12" s="288" t="s">
        <v>139</v>
      </c>
      <c r="Y12" s="288"/>
      <c r="Z12" s="288"/>
      <c r="AA12" s="288"/>
      <c r="AB12" s="288"/>
      <c r="AC12" s="288"/>
      <c r="AD12" s="288"/>
      <c r="AE12" s="288"/>
      <c r="AF12" s="288"/>
      <c r="AG12" s="288"/>
      <c r="AH12" s="331" t="s">
        <v>18</v>
      </c>
      <c r="AI12" s="288" t="s">
        <v>140</v>
      </c>
      <c r="AJ12" s="288"/>
      <c r="AK12" s="288"/>
      <c r="AL12" s="288"/>
      <c r="AM12" s="288"/>
      <c r="AN12" s="288"/>
      <c r="AO12" s="288"/>
      <c r="AP12" s="322" t="s">
        <v>34</v>
      </c>
      <c r="AQ12" s="323"/>
      <c r="AR12" s="323"/>
      <c r="AS12" s="323"/>
      <c r="AT12" s="323"/>
      <c r="AU12" s="323"/>
      <c r="AV12" s="323"/>
      <c r="AW12" s="323"/>
      <c r="AX12" s="323"/>
      <c r="AY12" s="323"/>
      <c r="AZ12" s="323"/>
      <c r="BA12" s="323"/>
      <c r="BB12" s="32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row>
    <row r="13" spans="1:80" ht="16.5" customHeight="1" x14ac:dyDescent="0.2">
      <c r="D13" s="336" t="s">
        <v>0</v>
      </c>
      <c r="E13" s="290" t="s">
        <v>311</v>
      </c>
      <c r="F13" s="190"/>
      <c r="G13" s="190"/>
      <c r="H13" s="302" t="s">
        <v>224</v>
      </c>
      <c r="I13" s="290" t="s">
        <v>307</v>
      </c>
      <c r="J13" s="191"/>
      <c r="K13" s="290" t="s">
        <v>308</v>
      </c>
      <c r="L13" s="302" t="s">
        <v>1</v>
      </c>
      <c r="M13" s="313" t="s">
        <v>49</v>
      </c>
      <c r="N13" s="329" t="s">
        <v>392</v>
      </c>
      <c r="O13" s="330"/>
      <c r="P13" s="290" t="s">
        <v>133</v>
      </c>
      <c r="Q13" s="290" t="s">
        <v>33</v>
      </c>
      <c r="R13" s="302" t="s">
        <v>5</v>
      </c>
      <c r="S13" s="290" t="s">
        <v>86</v>
      </c>
      <c r="T13" s="290" t="s">
        <v>91</v>
      </c>
      <c r="U13" s="290" t="s">
        <v>44</v>
      </c>
      <c r="V13" s="302" t="s">
        <v>5</v>
      </c>
      <c r="W13" s="290" t="s">
        <v>47</v>
      </c>
      <c r="X13" s="289" t="s">
        <v>11</v>
      </c>
      <c r="Y13" s="290" t="s">
        <v>159</v>
      </c>
      <c r="Z13" s="290" t="s">
        <v>204</v>
      </c>
      <c r="AA13" s="290" t="s">
        <v>12</v>
      </c>
      <c r="AB13" s="290" t="s">
        <v>8</v>
      </c>
      <c r="AC13" s="290"/>
      <c r="AD13" s="290"/>
      <c r="AE13" s="290"/>
      <c r="AF13" s="290"/>
      <c r="AG13" s="290"/>
      <c r="AH13" s="332"/>
      <c r="AI13" s="289" t="s">
        <v>136</v>
      </c>
      <c r="AJ13" s="289" t="s">
        <v>45</v>
      </c>
      <c r="AK13" s="289" t="s">
        <v>5</v>
      </c>
      <c r="AL13" s="289" t="s">
        <v>46</v>
      </c>
      <c r="AM13" s="289" t="s">
        <v>5</v>
      </c>
      <c r="AN13" s="289" t="s">
        <v>48</v>
      </c>
      <c r="AO13" s="289" t="s">
        <v>29</v>
      </c>
      <c r="AP13" s="290" t="s">
        <v>34</v>
      </c>
      <c r="AQ13" s="290" t="s">
        <v>35</v>
      </c>
      <c r="AR13" s="290" t="s">
        <v>36</v>
      </c>
      <c r="AS13" s="290" t="s">
        <v>37</v>
      </c>
      <c r="AT13" s="290" t="s">
        <v>212</v>
      </c>
      <c r="AU13" s="290" t="s">
        <v>38</v>
      </c>
      <c r="AV13" s="325" t="s">
        <v>37</v>
      </c>
      <c r="AW13" s="315" t="s">
        <v>213</v>
      </c>
      <c r="AX13" s="315" t="s">
        <v>38</v>
      </c>
      <c r="AY13" s="320" t="s">
        <v>243</v>
      </c>
      <c r="AZ13" s="324" t="s">
        <v>37</v>
      </c>
      <c r="BA13" s="324" t="s">
        <v>214</v>
      </c>
      <c r="BB13" s="324" t="s">
        <v>38</v>
      </c>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row>
    <row r="14" spans="1:80" s="195" customFormat="1" ht="94.5" customHeight="1" x14ac:dyDescent="0.25">
      <c r="A14" s="192"/>
      <c r="B14" s="192"/>
      <c r="C14" s="192"/>
      <c r="D14" s="336"/>
      <c r="E14" s="290"/>
      <c r="F14" s="190" t="s">
        <v>2</v>
      </c>
      <c r="G14" s="191" t="s">
        <v>317</v>
      </c>
      <c r="H14" s="302"/>
      <c r="I14" s="290"/>
      <c r="J14" s="191" t="s">
        <v>367</v>
      </c>
      <c r="K14" s="290"/>
      <c r="L14" s="302"/>
      <c r="M14" s="314"/>
      <c r="N14" s="212" t="s">
        <v>240</v>
      </c>
      <c r="O14" s="212" t="s">
        <v>241</v>
      </c>
      <c r="P14" s="290"/>
      <c r="Q14" s="290"/>
      <c r="R14" s="302"/>
      <c r="S14" s="290"/>
      <c r="T14" s="290"/>
      <c r="U14" s="302"/>
      <c r="V14" s="302"/>
      <c r="W14" s="290"/>
      <c r="X14" s="289"/>
      <c r="Y14" s="290"/>
      <c r="Z14" s="290"/>
      <c r="AA14" s="290"/>
      <c r="AB14" s="193" t="s">
        <v>13</v>
      </c>
      <c r="AC14" s="193" t="s">
        <v>17</v>
      </c>
      <c r="AD14" s="193" t="s">
        <v>28</v>
      </c>
      <c r="AE14" s="193" t="s">
        <v>18</v>
      </c>
      <c r="AF14" s="193" t="s">
        <v>21</v>
      </c>
      <c r="AG14" s="193" t="s">
        <v>24</v>
      </c>
      <c r="AH14" s="333"/>
      <c r="AI14" s="289"/>
      <c r="AJ14" s="289"/>
      <c r="AK14" s="289"/>
      <c r="AL14" s="289"/>
      <c r="AM14" s="289"/>
      <c r="AN14" s="289"/>
      <c r="AO14" s="289"/>
      <c r="AP14" s="290"/>
      <c r="AQ14" s="290"/>
      <c r="AR14" s="290"/>
      <c r="AS14" s="290"/>
      <c r="AT14" s="290"/>
      <c r="AU14" s="290"/>
      <c r="AV14" s="326"/>
      <c r="AW14" s="316"/>
      <c r="AX14" s="316"/>
      <c r="AY14" s="321"/>
      <c r="AZ14" s="324"/>
      <c r="BA14" s="324"/>
      <c r="BB14" s="32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row>
    <row r="15" spans="1:80" s="196" customFormat="1" ht="147.75" customHeight="1" x14ac:dyDescent="0.25">
      <c r="D15" s="225">
        <v>1</v>
      </c>
      <c r="E15" s="225" t="s">
        <v>222</v>
      </c>
      <c r="F15" s="225" t="s">
        <v>132</v>
      </c>
      <c r="G15" s="225" t="s">
        <v>313</v>
      </c>
      <c r="H15" s="225" t="s">
        <v>226</v>
      </c>
      <c r="I15" s="235" t="s">
        <v>400</v>
      </c>
      <c r="J15" s="220"/>
      <c r="K15" s="235" t="s">
        <v>406</v>
      </c>
      <c r="L15" s="236" t="s">
        <v>407</v>
      </c>
      <c r="M15" s="226" t="s">
        <v>125</v>
      </c>
      <c r="N15" s="226" t="s">
        <v>231</v>
      </c>
      <c r="O15" s="226" t="s">
        <v>237</v>
      </c>
      <c r="P15" s="219">
        <v>1000</v>
      </c>
      <c r="Q15" s="227" t="str">
        <f>IF(P15&lt;=0,"",IF(P15&lt;=2,"Muy Baja",IF(P15&lt;=24,"Baja",IF(P15&lt;=500,"Media",IF(P15&lt;=5000,"Alta","Muy Alta")))))</f>
        <v>Alta</v>
      </c>
      <c r="R15" s="228">
        <f>IF(Q15="","",IF(Q15="Muy Baja",0.2,IF(Q15="Baja",0.4,IF(Q15="Media",0.6,IF(Q15="Alta",0.8,IF(Q15="Muy Alta",1,))))))</f>
        <v>0.8</v>
      </c>
      <c r="S15" s="229" t="s">
        <v>151</v>
      </c>
      <c r="T15" s="228" t="str">
        <f>IF(NOT(ISERROR(MATCH(S15,'[2]Tabla Impacto'!$B$221:$B$223,0))),'[2]Tabla Impacto'!$F$223&amp;"Por favor no seleccionar los criterios de impacto(Afectación Económica o presupuestal y Pérdida Reputacional)",S15)</f>
        <v xml:space="preserve">     El riesgo afecta la imagen de la entidad con algunos usuarios de relevancia frente al logro de los objetivos</v>
      </c>
      <c r="U15" s="239" t="str">
        <f>IF(OR(T15='[3]Tabla Impacto'!$C$11,T15='[3]Tabla Impacto'!$D$11),"Leve",IF(OR(T15='[3]Tabla Impacto'!$C$12,T15='[3]Tabla Impacto'!$D$12),"Menor",IF(OR(T15='[3]Tabla Impacto'!$C$13,T15='[3]Tabla Impacto'!$D$13),"Moderado",IF(OR(T15='[3]Tabla Impacto'!$C$14,T15='[3]Tabla Impacto'!$D$14),"Mayor",IF(OR(T15='[3]Tabla Impacto'!$C$15,T15='[3]Tabla Impacto'!$D$15),"Catastrófico","")))))</f>
        <v>Moderado</v>
      </c>
      <c r="V15" s="221">
        <f>IF(U15="","",IF(U15="Leve",0.2,IF(U15="Menor",0.4,IF(U15="Moderado",0.6,IF(U15="Mayor",0.8,IF(U15="Catastrófico",1,))))))</f>
        <v>0.6</v>
      </c>
      <c r="W15" s="240" t="str">
        <f>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Alto</v>
      </c>
      <c r="X15" s="238">
        <v>1</v>
      </c>
      <c r="Y15" s="223" t="s">
        <v>418</v>
      </c>
      <c r="Z15" s="223" t="s">
        <v>419</v>
      </c>
      <c r="AA15" s="231" t="str">
        <f>IF(OR(AB15="Preventivo",AB15="Detectivo"),"Probabilidad",IF(AB15="Correctivo","Impacto",""))</f>
        <v>Probabilidad</v>
      </c>
      <c r="AB15" s="232" t="s">
        <v>14</v>
      </c>
      <c r="AC15" s="232" t="s">
        <v>9</v>
      </c>
      <c r="AD15" s="221" t="str">
        <f>IF(AND(AB15="Preventivo",AC15="Automático"),"50%",IF(AND(AB15="Preventivo",AC15="Manual"),"40%",IF(AND(AB15="Detectivo",AC15="Automático"),"40%",IF(AND(AB15="Detectivo",AC15="Manual"),"30%",IF(AND(AB15="Correctivo",AC15="Automático"),"35%",IF(AND(AB15="Correctivo",AC15="Manual"),"25%",""))))))</f>
        <v>40%</v>
      </c>
      <c r="AE15" s="232" t="s">
        <v>19</v>
      </c>
      <c r="AF15" s="232" t="s">
        <v>22</v>
      </c>
      <c r="AG15" s="232" t="s">
        <v>118</v>
      </c>
      <c r="AH15" s="223" t="s">
        <v>430</v>
      </c>
      <c r="AI15" s="233">
        <f>IFERROR(IF(AA15="Probabilidad",(R15-(+R15*AD15)),IF(AA15="Impacto",R15,"")),"")</f>
        <v>0.48</v>
      </c>
      <c r="AJ15" s="234" t="str">
        <f>IFERROR(IF(AI15="","",IF(AI15&lt;=0.2,"Muy Baja",IF(AI15&lt;=0.4,"Baja",IF(AI15&lt;=0.6,"Media",IF(AI15&lt;=0.8,"Alta","Muy Alta"))))),"")</f>
        <v>Media</v>
      </c>
      <c r="AK15" s="221">
        <f t="shared" ref="AK15" si="0">+AI15</f>
        <v>0.48</v>
      </c>
      <c r="AL15" s="234" t="str">
        <f>IFERROR(IF(AM15="","",IF(AM15&lt;=0.2,"Leve",IF(AM15&lt;=0.4,"Menor",IF(AM15&lt;=0.6,"Moderado",IF(AM15&lt;=0.8,"Mayor","Catastrófico"))))),"")</f>
        <v>Moderado</v>
      </c>
      <c r="AM15" s="221">
        <f>IFERROR(IF(AA15="Impacto",(V15-(+V15*AD15)),IF(AA15="Probabilidad",V15,"")),"")</f>
        <v>0.6</v>
      </c>
      <c r="AN15" s="234" t="str">
        <f t="shared" ref="AN15"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232" t="s">
        <v>134</v>
      </c>
      <c r="AP15" s="235" t="s">
        <v>434</v>
      </c>
      <c r="AQ15" s="235" t="s">
        <v>435</v>
      </c>
      <c r="AR15" s="230">
        <v>45687</v>
      </c>
      <c r="AS15" s="224"/>
      <c r="AT15" s="220"/>
      <c r="AU15" s="220"/>
      <c r="AV15" s="224"/>
      <c r="AW15" s="220"/>
      <c r="AX15" s="220"/>
      <c r="AY15" s="220"/>
      <c r="AZ15" s="224"/>
      <c r="BA15" s="220"/>
      <c r="BB15" s="220"/>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row>
    <row r="16" spans="1:80" s="196" customFormat="1" ht="185.25" customHeight="1" x14ac:dyDescent="0.25">
      <c r="D16" s="213">
        <v>2</v>
      </c>
      <c r="E16" s="225" t="s">
        <v>220</v>
      </c>
      <c r="F16" s="225" t="s">
        <v>132</v>
      </c>
      <c r="G16" s="225" t="s">
        <v>313</v>
      </c>
      <c r="H16" s="225" t="s">
        <v>227</v>
      </c>
      <c r="I16" s="235" t="s">
        <v>401</v>
      </c>
      <c r="J16" s="198"/>
      <c r="K16" s="235" t="s">
        <v>408</v>
      </c>
      <c r="L16" s="236" t="s">
        <v>409</v>
      </c>
      <c r="M16" s="226" t="s">
        <v>127</v>
      </c>
      <c r="N16" s="226" t="s">
        <v>233</v>
      </c>
      <c r="O16" s="226" t="s">
        <v>238</v>
      </c>
      <c r="P16" s="219">
        <v>500</v>
      </c>
      <c r="Q16" s="227" t="str">
        <f>IF(P16&lt;=0,"",IF(P16&lt;=2,"Muy Baja",IF(P16&lt;=24,"Baja",IF(P16&lt;=500,"Media",IF(P16&lt;=5000,"Alta","Muy Alta")))))</f>
        <v>Media</v>
      </c>
      <c r="R16" s="228">
        <f>IF(Q16="","",IF(Q16="Muy Baja",0.2,IF(Q16="Baja",0.4,IF(Q16="Media",0.6,IF(Q16="Alta",0.8,IF(Q16="Muy Alta",1,))))))</f>
        <v>0.6</v>
      </c>
      <c r="S16" s="229" t="s">
        <v>152</v>
      </c>
      <c r="T16" s="228" t="str">
        <f>IF(NOT(ISERROR(MATCH(S16,'[2]Tabla Impacto'!$B$221:$B$223,0))),'[2]Tabla Impacto'!$F$223&amp;"Por favor no seleccionar los criterios de impacto(Afectación Económica o presupuestal y Pérdida Reputacional)",S16)</f>
        <v xml:space="preserve">     El riesgo afecta la imagen de de la entidad con efecto publicitario sostenido a nivel de sector administrativo, nivel departamental o municipal</v>
      </c>
      <c r="U16" s="239" t="str">
        <f>IF(OR(T16='[3]Tabla Impacto'!$C$11,T16='[3]Tabla Impacto'!$D$11),"Leve",IF(OR(T16='[3]Tabla Impacto'!$C$12,T16='[3]Tabla Impacto'!$D$12),"Menor",IF(OR(T16='[3]Tabla Impacto'!$C$13,T16='[3]Tabla Impacto'!$D$13),"Moderado",IF(OR(T16='[3]Tabla Impacto'!$C$14,T16='[3]Tabla Impacto'!$D$14),"Mayor",IF(OR(T16='[3]Tabla Impacto'!$C$15,T16='[3]Tabla Impacto'!$D$15),"Catastrófico","")))))</f>
        <v>Mayor</v>
      </c>
      <c r="V16" s="221">
        <f>IF(U16="","",IF(U16="Leve",0.2,IF(U16="Menor",0.4,IF(U16="Moderado",0.6,IF(U16="Mayor",0.8,IF(U16="Catastrófico",1,))))))</f>
        <v>0.8</v>
      </c>
      <c r="W16" s="240" t="str">
        <f>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Alto</v>
      </c>
      <c r="X16" s="238">
        <v>1</v>
      </c>
      <c r="Y16" s="223" t="s">
        <v>420</v>
      </c>
      <c r="Z16" s="223" t="s">
        <v>421</v>
      </c>
      <c r="AA16" s="202" t="str">
        <f t="shared" ref="AA16:AA22" si="2">IF(OR(AB16="Preventivo",AB16="Detectivo"),"Probabilidad",IF(AB16="Correctivo","Impacto",""))</f>
        <v>Probabilidad</v>
      </c>
      <c r="AB16" s="203" t="s">
        <v>14</v>
      </c>
      <c r="AC16" s="203" t="s">
        <v>9</v>
      </c>
      <c r="AD16" s="200" t="str">
        <f t="shared" ref="AD16:AD22" si="3">IF(AND(AB16="Preventivo",AC16="Automático"),"50%",IF(AND(AB16="Preventivo",AC16="Manual"),"40%",IF(AND(AB16="Detectivo",AC16="Automático"),"40%",IF(AND(AB16="Detectivo",AC16="Manual"),"30%",IF(AND(AB16="Correctivo",AC16="Automático"),"35%",IF(AND(AB16="Correctivo",AC16="Manual"),"25%",""))))))</f>
        <v>40%</v>
      </c>
      <c r="AE16" s="203" t="s">
        <v>19</v>
      </c>
      <c r="AF16" s="203" t="s">
        <v>22</v>
      </c>
      <c r="AG16" s="203" t="s">
        <v>118</v>
      </c>
      <c r="AH16" s="223" t="s">
        <v>431</v>
      </c>
      <c r="AI16" s="217">
        <f>IFERROR(IF(AND(AA15="Probabilidad",AA16="Probabilidad"),(AK15-(+AK15*AD16)),IF(AA16="Probabilidad",(S15-(+S15*AA16)),IF(AA16="Impacto",AK15,""))),"")</f>
        <v>0.28799999999999998</v>
      </c>
      <c r="AJ16" s="204" t="str">
        <f t="shared" ref="AJ16:AJ22" si="4">IFERROR(IF(AI16="","",IF(AI16&lt;=0.2,"Muy Baja",IF(AI16&lt;=0.4,"Baja",IF(AI16&lt;=0.6,"Media",IF(AI16&lt;=0.8,"Alta","Muy Alta"))))),"")</f>
        <v>Baja</v>
      </c>
      <c r="AK16" s="200">
        <f t="shared" ref="AK16:AK22" si="5">+AI16</f>
        <v>0.28799999999999998</v>
      </c>
      <c r="AL16" s="204" t="str">
        <f t="shared" ref="AL16:AL22" si="6">IFERROR(IF(AM16="","",IF(AM16&lt;=0.2,"Leve",IF(AM16&lt;=0.4,"Menor",IF(AM16&lt;=0.6,"Moderado",IF(AM16&lt;=0.8,"Mayor","Catastrófico"))))),"")</f>
        <v>Mayor</v>
      </c>
      <c r="AM16" s="200">
        <f t="shared" ref="AM16:AM22" si="7">IFERROR(IF(AA16="Impacto",(V16-(+V16*AD16)),IF(AA16="Probabilidad",V16,"")),"")</f>
        <v>0.8</v>
      </c>
      <c r="AN16" s="204" t="str">
        <f t="shared" ref="AN16:AN22" si="8">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Alto</v>
      </c>
      <c r="AO16" s="203" t="s">
        <v>134</v>
      </c>
      <c r="AP16" s="235" t="s">
        <v>436</v>
      </c>
      <c r="AQ16" s="235" t="s">
        <v>435</v>
      </c>
      <c r="AR16" s="230">
        <v>45687</v>
      </c>
      <c r="AS16" s="205"/>
      <c r="AT16" s="198"/>
      <c r="AU16" s="198"/>
      <c r="AV16" s="205"/>
      <c r="AW16" s="198"/>
      <c r="AX16" s="198"/>
      <c r="AY16" s="198"/>
      <c r="AZ16" s="205"/>
      <c r="BA16" s="198"/>
      <c r="BB16" s="198"/>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row>
    <row r="17" spans="4:80" s="196" customFormat="1" ht="173.25" customHeight="1" x14ac:dyDescent="0.25">
      <c r="D17" s="213">
        <v>3</v>
      </c>
      <c r="E17" s="225" t="s">
        <v>220</v>
      </c>
      <c r="F17" s="225" t="s">
        <v>132</v>
      </c>
      <c r="G17" s="213" t="s">
        <v>313</v>
      </c>
      <c r="H17" s="197" t="s">
        <v>226</v>
      </c>
      <c r="I17" s="235" t="s">
        <v>402</v>
      </c>
      <c r="J17" s="198"/>
      <c r="K17" s="235" t="s">
        <v>410</v>
      </c>
      <c r="L17" s="236" t="s">
        <v>411</v>
      </c>
      <c r="M17" s="215" t="s">
        <v>125</v>
      </c>
      <c r="N17" s="198" t="s">
        <v>231</v>
      </c>
      <c r="O17" s="198" t="s">
        <v>236</v>
      </c>
      <c r="P17" s="219">
        <v>365</v>
      </c>
      <c r="Q17" s="199" t="str">
        <f t="shared" ref="Q17:Q22" si="9">IF(P17&lt;=0,"",IF(P17&lt;=2,"Muy Baja",IF(P17&lt;=24,"Baja",IF(P17&lt;=500,"Media",IF(P17&lt;=5000,"Alta","Muy Alta")))))</f>
        <v>Media</v>
      </c>
      <c r="R17" s="200">
        <f t="shared" ref="R17:R22" si="10">IF(Q17="","",IF(Q17="Muy Baja",0.2,IF(Q17="Baja",0.4,IF(Q17="Media",0.6,IF(Q17="Alta",0.8,IF(Q17="Muy Alta",1,))))))</f>
        <v>0.6</v>
      </c>
      <c r="S17" s="201" t="s">
        <v>153</v>
      </c>
      <c r="T17" s="200" t="str">
        <f>IF(NOT(ISERROR(MATCH(S17,'[2]Tabla Impacto'!$B$221:$B$223,0))),'[2]Tabla Impacto'!$F$223&amp;"Por favor no seleccionar los criterios de impacto(Afectación Económica o presupuestal y Pérdida Reputacional)",S17)</f>
        <v xml:space="preserve">     El riesgo afecta la imagen de la entidad a nivel nacional, con efecto publicitarios sostenible a nivel país</v>
      </c>
      <c r="U17" s="222" t="str">
        <f>IF(OR(T17='[3]Tabla Impacto'!$C$11,T17='[3]Tabla Impacto'!$D$11),"Leve",IF(OR(T17='[3]Tabla Impacto'!$C$12,T17='[3]Tabla Impacto'!$D$12),"Menor",IF(OR(T17='[3]Tabla Impacto'!$C$13,T17='[3]Tabla Impacto'!$D$13),"Moderado",IF(OR(T17='[3]Tabla Impacto'!$C$14,T17='[3]Tabla Impacto'!$D$14),"Mayor",IF(OR(T17='[3]Tabla Impacto'!$C$15,T17='[3]Tabla Impacto'!$D$15),"Catastrófico","")))))</f>
        <v>Catastrófico</v>
      </c>
      <c r="V17" s="200">
        <f t="shared" ref="V17:V22" si="11">IF(U17="","",IF(U17="Leve",0.2,IF(U17="Menor",0.4,IF(U17="Moderado",0.6,IF(U17="Mayor",0.8,IF(U17="Catastrófico",1,))))))</f>
        <v>1</v>
      </c>
      <c r="W17" s="199" t="str">
        <f t="shared" ref="W17:W22" si="12">IF(OR(AND(Q17="Muy Baja",U17="Leve"),AND(Q17="Muy Baja",U17="Menor"),AND(Q17="Baja",U17="Leve")),"Bajo",IF(OR(AND(Q17="Muy baja",U17="Moderado"),AND(Q17="Baja",U17="Menor"),AND(Q17="Baja",U17="Moderado"),AND(Q17="Media",U17="Leve"),AND(Q17="Media",U17="Menor"),AND(Q17="Media",U17="Moderado"),AND(Q17="Alta",U17="Leve"),AND(Q17="Alta",U17="Menor")),"Moderado",IF(OR(AND(Q17="Muy Baja",U17="Mayor"),AND(Q17="Baja",U17="Mayor"),AND(Q17="Media",U17="Mayor"),AND(Q17="Alta",U17="Moderado"),AND(Q17="Alta",U17="Mayor"),AND(Q17="Muy Alta",U17="Leve"),AND(Q17="Muy Alta",U17="Menor"),AND(Q17="Muy Alta",U17="Moderado"),AND(Q17="Muy Alta",U17="Mayor")),"Alto",IF(OR(AND(Q17="Muy Baja",U17="Catastrófico"),AND(Q17="Baja",U17="Catastrófico"),AND(Q17="Media",U17="Catastrófico"),AND(Q17="Alta",U17="Catastrófico"),AND(Q17="Muy Alta",U17="Catastrófico")),"Extremo",""))))</f>
        <v>Extremo</v>
      </c>
      <c r="X17" s="238">
        <v>1</v>
      </c>
      <c r="Y17" s="223" t="s">
        <v>422</v>
      </c>
      <c r="Z17" s="223" t="s">
        <v>423</v>
      </c>
      <c r="AA17" s="202" t="str">
        <f t="shared" si="2"/>
        <v>Probabilidad</v>
      </c>
      <c r="AB17" s="203" t="s">
        <v>14</v>
      </c>
      <c r="AC17" s="203" t="s">
        <v>9</v>
      </c>
      <c r="AD17" s="200" t="str">
        <f t="shared" si="3"/>
        <v>40%</v>
      </c>
      <c r="AE17" s="203" t="s">
        <v>19</v>
      </c>
      <c r="AF17" s="203" t="s">
        <v>22</v>
      </c>
      <c r="AG17" s="203" t="s">
        <v>118</v>
      </c>
      <c r="AH17" s="223" t="s">
        <v>430</v>
      </c>
      <c r="AI17" s="218">
        <f>IFERROR(IF(AA17="Probabilidad",(R17-(+R17*AD17)),IF(AA17="Impacto",R17,"")),"")</f>
        <v>0.36</v>
      </c>
      <c r="AJ17" s="204" t="str">
        <f t="shared" si="4"/>
        <v>Baja</v>
      </c>
      <c r="AK17" s="200">
        <f t="shared" si="5"/>
        <v>0.36</v>
      </c>
      <c r="AL17" s="204" t="str">
        <f t="shared" ref="AL17" si="13">IFERROR(IF(AM17="","",IF(AM17&lt;=0.2,"Leve",IF(AM17&lt;=0.4,"Menor",IF(AM17&lt;=0.6,"Moderado",IF(AM17&lt;=0.8,"Mayor","Catastrófico"))))),"")</f>
        <v>Catastrófico</v>
      </c>
      <c r="AM17" s="200">
        <f t="shared" ref="AM17" si="14">IFERROR(IF(AA17="Impacto",(V17-(+V17*AD17)),IF(AA17="Probabilidad",V17,"")),"")</f>
        <v>1</v>
      </c>
      <c r="AN17" s="204" t="str">
        <f t="shared" ref="AN17" si="15">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Extremo</v>
      </c>
      <c r="AO17" s="203" t="s">
        <v>134</v>
      </c>
      <c r="AP17" s="235" t="s">
        <v>437</v>
      </c>
      <c r="AQ17" s="235" t="s">
        <v>435</v>
      </c>
      <c r="AR17" s="205">
        <v>45687</v>
      </c>
      <c r="AS17" s="205"/>
      <c r="AT17" s="198"/>
      <c r="AU17" s="198"/>
      <c r="AV17" s="205"/>
      <c r="AW17" s="198"/>
      <c r="AX17" s="198"/>
      <c r="AY17" s="198"/>
      <c r="AZ17" s="205"/>
      <c r="BA17" s="198"/>
      <c r="BB17" s="198"/>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row>
    <row r="18" spans="4:80" s="196" customFormat="1" ht="155.25" customHeight="1" x14ac:dyDescent="0.25">
      <c r="D18" s="213">
        <v>4</v>
      </c>
      <c r="E18" s="213" t="s">
        <v>222</v>
      </c>
      <c r="F18" s="225" t="s">
        <v>132</v>
      </c>
      <c r="G18" s="213" t="s">
        <v>313</v>
      </c>
      <c r="H18" s="197" t="s">
        <v>226</v>
      </c>
      <c r="I18" s="235" t="s">
        <v>403</v>
      </c>
      <c r="J18" s="198"/>
      <c r="K18" s="235" t="s">
        <v>412</v>
      </c>
      <c r="L18" s="236" t="s">
        <v>413</v>
      </c>
      <c r="M18" s="215" t="s">
        <v>125</v>
      </c>
      <c r="N18" s="198" t="s">
        <v>231</v>
      </c>
      <c r="O18" s="198" t="s">
        <v>236</v>
      </c>
      <c r="P18" s="219">
        <v>365</v>
      </c>
      <c r="Q18" s="199" t="str">
        <f t="shared" si="9"/>
        <v>Media</v>
      </c>
      <c r="R18" s="200">
        <f t="shared" si="10"/>
        <v>0.6</v>
      </c>
      <c r="S18" s="201" t="s">
        <v>151</v>
      </c>
      <c r="T18" s="200" t="str">
        <f>IF(NOT(ISERROR(MATCH(S18,'[2]Tabla Impacto'!$B$221:$B$223,0))),'[2]Tabla Impacto'!$F$223&amp;"Por favor no seleccionar los criterios de impacto(Afectación Económica o presupuestal y Pérdida Reputacional)",S18)</f>
        <v xml:space="preserve">     El riesgo afecta la imagen de la entidad con algunos usuarios de relevancia frente al logro de los objetivos</v>
      </c>
      <c r="U18" s="222" t="str">
        <f>IF(OR(T18='[3]Tabla Impacto'!$C$11,T18='[3]Tabla Impacto'!$D$11),"Leve",IF(OR(T18='[3]Tabla Impacto'!$C$12,T18='[3]Tabla Impacto'!$D$12),"Menor",IF(OR(T18='[3]Tabla Impacto'!$C$13,T18='[3]Tabla Impacto'!$D$13),"Moderado",IF(OR(T18='[3]Tabla Impacto'!$C$14,T18='[3]Tabla Impacto'!$D$14),"Mayor",IF(OR(T18='[3]Tabla Impacto'!$C$15,T18='[3]Tabla Impacto'!$D$15),"Catastrófico","")))))</f>
        <v>Moderado</v>
      </c>
      <c r="V18" s="200">
        <f t="shared" si="11"/>
        <v>0.6</v>
      </c>
      <c r="W18" s="199" t="str">
        <f t="shared" si="12"/>
        <v>Moderado</v>
      </c>
      <c r="X18" s="238">
        <v>1</v>
      </c>
      <c r="Y18" s="223" t="s">
        <v>424</v>
      </c>
      <c r="Z18" s="223" t="s">
        <v>425</v>
      </c>
      <c r="AA18" s="202" t="str">
        <f t="shared" si="2"/>
        <v>Probabilidad</v>
      </c>
      <c r="AB18" s="203" t="s">
        <v>14</v>
      </c>
      <c r="AC18" s="203" t="s">
        <v>9</v>
      </c>
      <c r="AD18" s="200" t="str">
        <f t="shared" si="3"/>
        <v>40%</v>
      </c>
      <c r="AE18" s="203" t="s">
        <v>19</v>
      </c>
      <c r="AF18" s="203" t="s">
        <v>22</v>
      </c>
      <c r="AG18" s="203" t="s">
        <v>118</v>
      </c>
      <c r="AH18" s="223" t="s">
        <v>430</v>
      </c>
      <c r="AI18" s="218">
        <f>IFERROR(IF(AA18="Probabilidad",(R18-(+R18*AD18)),IF(AA18="Impacto",R18,"")),"")</f>
        <v>0.36</v>
      </c>
      <c r="AJ18" s="204" t="str">
        <f t="shared" si="4"/>
        <v>Baja</v>
      </c>
      <c r="AK18" s="200">
        <f t="shared" si="5"/>
        <v>0.36</v>
      </c>
      <c r="AL18" s="204" t="str">
        <f t="shared" si="6"/>
        <v>Moderado</v>
      </c>
      <c r="AM18" s="200">
        <f t="shared" si="7"/>
        <v>0.6</v>
      </c>
      <c r="AN18" s="204" t="str">
        <f t="shared" si="8"/>
        <v>Moderado</v>
      </c>
      <c r="AO18" s="203" t="s">
        <v>134</v>
      </c>
      <c r="AP18" s="235" t="s">
        <v>438</v>
      </c>
      <c r="AQ18" s="235" t="s">
        <v>435</v>
      </c>
      <c r="AR18" s="230">
        <v>45687</v>
      </c>
      <c r="AS18" s="205"/>
      <c r="AT18" s="198"/>
      <c r="AU18" s="198"/>
      <c r="AV18" s="205"/>
      <c r="AW18" s="198"/>
      <c r="AX18" s="198"/>
      <c r="AY18" s="198"/>
      <c r="AZ18" s="205"/>
      <c r="BA18" s="198"/>
      <c r="BB18" s="198"/>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row>
    <row r="19" spans="4:80" s="196" customFormat="1" ht="134.25" customHeight="1" x14ac:dyDescent="0.25">
      <c r="D19" s="197">
        <v>5</v>
      </c>
      <c r="E19" s="213" t="s">
        <v>379</v>
      </c>
      <c r="F19" s="213" t="s">
        <v>130</v>
      </c>
      <c r="G19" s="213" t="s">
        <v>313</v>
      </c>
      <c r="H19" s="197" t="s">
        <v>227</v>
      </c>
      <c r="I19" s="235" t="s">
        <v>404</v>
      </c>
      <c r="J19" s="198"/>
      <c r="K19" s="235" t="s">
        <v>414</v>
      </c>
      <c r="L19" s="237" t="s">
        <v>415</v>
      </c>
      <c r="M19" s="215" t="s">
        <v>127</v>
      </c>
      <c r="N19" s="198" t="s">
        <v>233</v>
      </c>
      <c r="O19" s="198" t="s">
        <v>235</v>
      </c>
      <c r="P19" s="219">
        <v>365</v>
      </c>
      <c r="Q19" s="199" t="str">
        <f t="shared" si="9"/>
        <v>Media</v>
      </c>
      <c r="R19" s="200">
        <f t="shared" si="10"/>
        <v>0.6</v>
      </c>
      <c r="S19" s="201" t="s">
        <v>151</v>
      </c>
      <c r="T19" s="200" t="str">
        <f>IF(NOT(ISERROR(MATCH(S19,'[2]Tabla Impacto'!$B$221:$B$223,0))),'[2]Tabla Impacto'!$F$223&amp;"Por favor no seleccionar los criterios de impacto(Afectación Económica o presupuestal y Pérdida Reputacional)",S19)</f>
        <v xml:space="preserve">     El riesgo afecta la imagen de la entidad con algunos usuarios de relevancia frente al logro de los objetivos</v>
      </c>
      <c r="U19" s="222" t="str">
        <f>IF(OR(T19='[3]Tabla Impacto'!$C$11,T19='[3]Tabla Impacto'!$D$11),"Leve",IF(OR(T19='[3]Tabla Impacto'!$C$12,T19='[3]Tabla Impacto'!$D$12),"Menor",IF(OR(T19='[3]Tabla Impacto'!$C$13,T19='[3]Tabla Impacto'!$D$13),"Moderado",IF(OR(T19='[3]Tabla Impacto'!$C$14,T19='[3]Tabla Impacto'!$D$14),"Mayor",IF(OR(T19='[3]Tabla Impacto'!$C$15,T19='[3]Tabla Impacto'!$D$15),"Catastrófico","")))))</f>
        <v>Moderado</v>
      </c>
      <c r="V19" s="200">
        <f t="shared" si="11"/>
        <v>0.6</v>
      </c>
      <c r="W19" s="199" t="str">
        <f t="shared" si="12"/>
        <v>Moderado</v>
      </c>
      <c r="X19" s="238">
        <v>1</v>
      </c>
      <c r="Y19" s="223" t="s">
        <v>426</v>
      </c>
      <c r="Z19" s="223" t="s">
        <v>427</v>
      </c>
      <c r="AA19" s="202" t="str">
        <f t="shared" si="2"/>
        <v>Probabilidad</v>
      </c>
      <c r="AB19" s="203" t="s">
        <v>14</v>
      </c>
      <c r="AC19" s="203" t="s">
        <v>9</v>
      </c>
      <c r="AD19" s="200" t="str">
        <f t="shared" si="3"/>
        <v>40%</v>
      </c>
      <c r="AE19" s="203" t="s">
        <v>19</v>
      </c>
      <c r="AF19" s="203" t="s">
        <v>22</v>
      </c>
      <c r="AG19" s="203" t="s">
        <v>118</v>
      </c>
      <c r="AH19" s="223" t="s">
        <v>432</v>
      </c>
      <c r="AI19" s="218">
        <f>IFERROR(IF(AA19="Probabilidad",(R19-(+R19*AD19)),IF(AA19="Impacto",R19,"")),"")</f>
        <v>0.36</v>
      </c>
      <c r="AJ19" s="204" t="str">
        <f t="shared" si="4"/>
        <v>Baja</v>
      </c>
      <c r="AK19" s="200">
        <f t="shared" si="5"/>
        <v>0.36</v>
      </c>
      <c r="AL19" s="204" t="str">
        <f t="shared" si="6"/>
        <v>Moderado</v>
      </c>
      <c r="AM19" s="200">
        <f t="shared" si="7"/>
        <v>0.6</v>
      </c>
      <c r="AN19" s="204" t="str">
        <f t="shared" si="8"/>
        <v>Moderado</v>
      </c>
      <c r="AO19" s="203" t="s">
        <v>134</v>
      </c>
      <c r="AP19" s="235" t="s">
        <v>439</v>
      </c>
      <c r="AQ19" s="235" t="s">
        <v>440</v>
      </c>
      <c r="AR19" s="230">
        <v>45687</v>
      </c>
      <c r="AS19" s="205"/>
      <c r="AT19" s="198"/>
      <c r="AU19" s="198"/>
      <c r="AV19" s="205"/>
      <c r="AW19" s="198"/>
      <c r="AX19" s="198"/>
      <c r="AY19" s="198"/>
      <c r="AZ19" s="205"/>
      <c r="BA19" s="198"/>
      <c r="BB19" s="198"/>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row>
    <row r="20" spans="4:80" s="196" customFormat="1" ht="185.25" customHeight="1" x14ac:dyDescent="0.25">
      <c r="D20" s="197">
        <v>6</v>
      </c>
      <c r="E20" s="213" t="s">
        <v>223</v>
      </c>
      <c r="F20" s="213" t="s">
        <v>130</v>
      </c>
      <c r="G20" s="213" t="s">
        <v>313</v>
      </c>
      <c r="H20" s="197" t="s">
        <v>227</v>
      </c>
      <c r="I20" s="235" t="s">
        <v>405</v>
      </c>
      <c r="J20" s="198"/>
      <c r="K20" s="235" t="s">
        <v>416</v>
      </c>
      <c r="L20" s="236" t="s">
        <v>417</v>
      </c>
      <c r="M20" s="215" t="s">
        <v>122</v>
      </c>
      <c r="N20" s="198" t="s">
        <v>233</v>
      </c>
      <c r="O20" s="198" t="s">
        <v>235</v>
      </c>
      <c r="P20" s="219">
        <v>365</v>
      </c>
      <c r="Q20" s="199" t="str">
        <f t="shared" si="9"/>
        <v>Media</v>
      </c>
      <c r="R20" s="200">
        <f t="shared" si="10"/>
        <v>0.6</v>
      </c>
      <c r="S20" s="201" t="s">
        <v>153</v>
      </c>
      <c r="T20" s="200" t="str">
        <f>IF(NOT(ISERROR(MATCH(S20,'[2]Tabla Impacto'!$B$221:$B$223,0))),'[2]Tabla Impacto'!$F$223&amp;"Por favor no seleccionar los criterios de impacto(Afectación Económica o presupuestal y Pérdida Reputacional)",S20)</f>
        <v xml:space="preserve">     El riesgo afecta la imagen de la entidad a nivel nacional, con efecto publicitarios sostenible a nivel país</v>
      </c>
      <c r="U20" s="222" t="str">
        <f>IF(OR(T20='[3]Tabla Impacto'!$C$11,T20='[3]Tabla Impacto'!$D$11),"Leve",IF(OR(T20='[3]Tabla Impacto'!$C$12,T20='[3]Tabla Impacto'!$D$12),"Menor",IF(OR(T20='[3]Tabla Impacto'!$C$13,T20='[3]Tabla Impacto'!$D$13),"Moderado",IF(OR(T20='[3]Tabla Impacto'!$C$14,T20='[3]Tabla Impacto'!$D$14),"Mayor",IF(OR(T20='[3]Tabla Impacto'!$C$15,T20='[3]Tabla Impacto'!$D$15),"Catastrófico","")))))</f>
        <v>Catastrófico</v>
      </c>
      <c r="V20" s="200">
        <f t="shared" si="11"/>
        <v>1</v>
      </c>
      <c r="W20" s="199" t="str">
        <f t="shared" si="12"/>
        <v>Extremo</v>
      </c>
      <c r="X20" s="238">
        <v>1</v>
      </c>
      <c r="Y20" s="223" t="s">
        <v>428</v>
      </c>
      <c r="Z20" s="223" t="s">
        <v>429</v>
      </c>
      <c r="AA20" s="202" t="str">
        <f t="shared" si="2"/>
        <v>Probabilidad</v>
      </c>
      <c r="AB20" s="203" t="s">
        <v>14</v>
      </c>
      <c r="AC20" s="203" t="s">
        <v>9</v>
      </c>
      <c r="AD20" s="200" t="str">
        <f t="shared" si="3"/>
        <v>40%</v>
      </c>
      <c r="AE20" s="203" t="s">
        <v>19</v>
      </c>
      <c r="AF20" s="203" t="s">
        <v>22</v>
      </c>
      <c r="AG20" s="203" t="s">
        <v>118</v>
      </c>
      <c r="AH20" s="223" t="s">
        <v>433</v>
      </c>
      <c r="AI20" s="218">
        <f>IFERROR(IF(AA20="Probabilidad",(R20-(+R20*AD20)),IF(AA20="Impacto",R20,"")),"")</f>
        <v>0.36</v>
      </c>
      <c r="AJ20" s="204" t="str">
        <f t="shared" si="4"/>
        <v>Baja</v>
      </c>
      <c r="AK20" s="200">
        <f t="shared" si="5"/>
        <v>0.36</v>
      </c>
      <c r="AL20" s="204" t="str">
        <f t="shared" si="6"/>
        <v>Catastrófico</v>
      </c>
      <c r="AM20" s="200">
        <f t="shared" si="7"/>
        <v>1</v>
      </c>
      <c r="AN20" s="204" t="str">
        <f t="shared" si="8"/>
        <v>Extremo</v>
      </c>
      <c r="AO20" s="203" t="s">
        <v>134</v>
      </c>
      <c r="AP20" s="235" t="s">
        <v>441</v>
      </c>
      <c r="AQ20" s="235" t="s">
        <v>440</v>
      </c>
      <c r="AR20" s="230">
        <v>45687</v>
      </c>
      <c r="AS20" s="205"/>
      <c r="AT20" s="198"/>
      <c r="AU20" s="198"/>
      <c r="AV20" s="205"/>
      <c r="AW20" s="198"/>
      <c r="AX20" s="198"/>
      <c r="AY20" s="198"/>
      <c r="AZ20" s="205"/>
      <c r="BA20" s="198"/>
      <c r="BB20" s="198"/>
      <c r="BC20" s="206"/>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row>
    <row r="21" spans="4:80" s="196" customFormat="1" ht="172.9" hidden="1" customHeight="1" x14ac:dyDescent="0.25">
      <c r="D21" s="197">
        <v>7</v>
      </c>
      <c r="E21" s="213"/>
      <c r="F21" s="213"/>
      <c r="G21" s="213"/>
      <c r="H21" s="197"/>
      <c r="I21" s="198"/>
      <c r="J21" s="198"/>
      <c r="K21" s="198"/>
      <c r="L21" s="214"/>
      <c r="M21" s="215"/>
      <c r="N21" s="198"/>
      <c r="O21" s="198"/>
      <c r="P21" s="198"/>
      <c r="Q21" s="199" t="str">
        <f t="shared" si="9"/>
        <v/>
      </c>
      <c r="R21" s="200" t="str">
        <f t="shared" si="10"/>
        <v/>
      </c>
      <c r="S21" s="201"/>
      <c r="T21" s="200">
        <f>IF(NOT(ISERROR(MATCH(S21,'[2]Tabla Impacto'!$B$221:$B$223,0))),'[2]Tabla Impacto'!$F$223&amp;"Por favor no seleccionar los criterios de impacto(Afectación Económica o presupuestal y Pérdida Reputacional)",S21)</f>
        <v>0</v>
      </c>
      <c r="U21" s="222" t="str">
        <f>IF(OR(T21='[3]Tabla Impacto'!$C$11,T21='[3]Tabla Impacto'!$D$11),"Leve",IF(OR(T21='[3]Tabla Impacto'!$C$12,T21='[3]Tabla Impacto'!$D$12),"Menor",IF(OR(T21='[3]Tabla Impacto'!$C$13,T21='[3]Tabla Impacto'!$D$13),"Moderado",IF(OR(T21='[3]Tabla Impacto'!$C$14,T21='[3]Tabla Impacto'!$D$14),"Mayor",IF(OR(T21='[3]Tabla Impacto'!$C$15,T21='[3]Tabla Impacto'!$D$15),"Catastrófico","")))))</f>
        <v/>
      </c>
      <c r="V21" s="200" t="str">
        <f t="shared" si="11"/>
        <v/>
      </c>
      <c r="W21" s="199" t="str">
        <f t="shared" si="12"/>
        <v/>
      </c>
      <c r="X21" s="197"/>
      <c r="Y21" s="163"/>
      <c r="Z21" s="163"/>
      <c r="AA21" s="202" t="str">
        <f t="shared" si="2"/>
        <v/>
      </c>
      <c r="AB21" s="203"/>
      <c r="AC21" s="203"/>
      <c r="AD21" s="200" t="str">
        <f t="shared" si="3"/>
        <v/>
      </c>
      <c r="AE21" s="203"/>
      <c r="AF21" s="203"/>
      <c r="AG21" s="203"/>
      <c r="AH21" s="198"/>
      <c r="AI21" s="216" t="str">
        <f t="shared" ref="AI21" si="16">IFERROR(IF(AB21="Probabilidad",(S21-(+S21*AE21)),IF(AB21="Impacto",S21,"")),"")</f>
        <v/>
      </c>
      <c r="AJ21" s="204" t="str">
        <f t="shared" si="4"/>
        <v/>
      </c>
      <c r="AK21" s="200" t="str">
        <f t="shared" si="5"/>
        <v/>
      </c>
      <c r="AL21" s="204" t="str">
        <f t="shared" si="6"/>
        <v/>
      </c>
      <c r="AM21" s="200" t="str">
        <f t="shared" si="7"/>
        <v/>
      </c>
      <c r="AN21" s="204" t="str">
        <f t="shared" si="8"/>
        <v/>
      </c>
      <c r="AO21" s="203"/>
      <c r="AP21" s="198"/>
      <c r="AQ21" s="198"/>
      <c r="AR21" s="205"/>
      <c r="AS21" s="205"/>
      <c r="AT21" s="198"/>
      <c r="AU21" s="198"/>
      <c r="AV21" s="205"/>
      <c r="AW21" s="198"/>
      <c r="AX21" s="198"/>
      <c r="AY21" s="198"/>
      <c r="AZ21" s="205"/>
      <c r="BA21" s="198"/>
      <c r="BB21" s="198"/>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row>
    <row r="22" spans="4:80" s="196" customFormat="1" ht="172.9" hidden="1" customHeight="1" x14ac:dyDescent="0.25">
      <c r="D22" s="197">
        <v>8</v>
      </c>
      <c r="E22" s="213"/>
      <c r="F22" s="213"/>
      <c r="G22" s="213"/>
      <c r="H22" s="197"/>
      <c r="I22" s="198"/>
      <c r="J22" s="198"/>
      <c r="K22" s="198"/>
      <c r="L22" s="214"/>
      <c r="M22" s="215"/>
      <c r="N22" s="198"/>
      <c r="O22" s="198"/>
      <c r="P22" s="198"/>
      <c r="Q22" s="199" t="str">
        <f t="shared" si="9"/>
        <v/>
      </c>
      <c r="R22" s="200" t="str">
        <f t="shared" si="10"/>
        <v/>
      </c>
      <c r="S22" s="201"/>
      <c r="T22" s="200">
        <f>IF(NOT(ISERROR(MATCH(S22,'[2]Tabla Impacto'!$B$221:$B$223,0))),'[2]Tabla Impacto'!$F$223&amp;"Por favor no seleccionar los criterios de impacto(Afectación Económica o presupuestal y Pérdida Reputacional)",S22)</f>
        <v>0</v>
      </c>
      <c r="U22" s="222" t="str">
        <f>IF(OR(T22='[3]Tabla Impacto'!$C$11,T22='[3]Tabla Impacto'!$D$11),"Leve",IF(OR(T22='[3]Tabla Impacto'!$C$12,T22='[3]Tabla Impacto'!$D$12),"Menor",IF(OR(T22='[3]Tabla Impacto'!$C$13,T22='[3]Tabla Impacto'!$D$13),"Moderado",IF(OR(T22='[3]Tabla Impacto'!$C$14,T22='[3]Tabla Impacto'!$D$14),"Mayor",IF(OR(T22='[3]Tabla Impacto'!$C$15,T22='[3]Tabla Impacto'!$D$15),"Catastrófico","")))))</f>
        <v/>
      </c>
      <c r="V22" s="200" t="str">
        <f t="shared" si="11"/>
        <v/>
      </c>
      <c r="W22" s="199" t="str">
        <f t="shared" si="12"/>
        <v/>
      </c>
      <c r="X22" s="197"/>
      <c r="Y22" s="163"/>
      <c r="Z22" s="163"/>
      <c r="AA22" s="202" t="str">
        <f t="shared" si="2"/>
        <v/>
      </c>
      <c r="AB22" s="203"/>
      <c r="AC22" s="203"/>
      <c r="AD22" s="200" t="str">
        <f t="shared" si="3"/>
        <v/>
      </c>
      <c r="AE22" s="203"/>
      <c r="AF22" s="203"/>
      <c r="AG22" s="203"/>
      <c r="AH22" s="198"/>
      <c r="AI22" s="217" t="str">
        <f>IFERROR(IF(AND(AB21="Probabilidad",AB22="Probabilidad"),(AK21-(+AK21*AE22)),IF(AB22="Probabilidad",(T21-(+T21*AE22)),IF(AB22="Impacto",AK21,""))),"")</f>
        <v/>
      </c>
      <c r="AJ22" s="204" t="str">
        <f t="shared" si="4"/>
        <v/>
      </c>
      <c r="AK22" s="200" t="str">
        <f t="shared" si="5"/>
        <v/>
      </c>
      <c r="AL22" s="204" t="str">
        <f t="shared" si="6"/>
        <v/>
      </c>
      <c r="AM22" s="200" t="str">
        <f t="shared" si="7"/>
        <v/>
      </c>
      <c r="AN22" s="204" t="str">
        <f t="shared" si="8"/>
        <v/>
      </c>
      <c r="AO22" s="203"/>
      <c r="AP22" s="198"/>
      <c r="AQ22" s="198"/>
      <c r="AR22" s="205"/>
      <c r="AS22" s="205"/>
      <c r="AT22" s="198"/>
      <c r="AU22" s="198"/>
      <c r="AV22" s="205"/>
      <c r="AW22" s="198"/>
      <c r="AX22" s="198"/>
      <c r="AY22" s="198"/>
      <c r="AZ22" s="205"/>
      <c r="BA22" s="198"/>
      <c r="BB22" s="198"/>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row>
    <row r="23" spans="4:80" ht="49.5" customHeight="1" x14ac:dyDescent="0.2">
      <c r="D23" s="207"/>
      <c r="E23" s="208"/>
      <c r="F23" s="208"/>
      <c r="G23" s="208"/>
      <c r="H23" s="208"/>
      <c r="I23" s="300" t="s">
        <v>393</v>
      </c>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1"/>
    </row>
    <row r="25" spans="4:80" ht="15.75" x14ac:dyDescent="0.2">
      <c r="D25" s="109"/>
      <c r="E25" s="110"/>
      <c r="F25" s="110"/>
      <c r="G25" s="110"/>
      <c r="H25" s="110"/>
      <c r="I25" s="110"/>
      <c r="J25" s="110"/>
      <c r="K25" s="110"/>
      <c r="L25" s="110"/>
      <c r="M25" s="179"/>
      <c r="N25" s="179"/>
      <c r="O25" s="179"/>
      <c r="Q25" s="111"/>
      <c r="R25" s="110"/>
      <c r="S25" s="110"/>
      <c r="T25" s="110"/>
      <c r="U25" s="110"/>
      <c r="V25" s="110"/>
      <c r="W25" s="110"/>
      <c r="X25" s="110"/>
      <c r="Y25" s="110"/>
      <c r="Z25" s="110"/>
      <c r="AA25" s="112"/>
      <c r="AB25" s="112"/>
      <c r="AC25" s="110"/>
      <c r="AD25" s="110"/>
      <c r="AE25" s="110"/>
      <c r="AF25" s="110"/>
      <c r="AG25" s="110"/>
      <c r="AH25" s="110"/>
      <c r="AI25" s="110"/>
      <c r="AJ25" s="110"/>
      <c r="AK25" s="110"/>
      <c r="AL25" s="110"/>
      <c r="AM25" s="110"/>
      <c r="AN25" s="110"/>
      <c r="AO25" s="113"/>
      <c r="AP25" s="113"/>
      <c r="AQ25" s="110"/>
      <c r="AR25" s="110"/>
      <c r="AS25" s="110"/>
      <c r="AT25" s="110"/>
      <c r="AU25" s="110"/>
      <c r="AV25" s="110"/>
      <c r="AW25" s="110"/>
    </row>
    <row r="26" spans="4:80" ht="18" x14ac:dyDescent="0.2">
      <c r="D26" s="296" t="s">
        <v>399</v>
      </c>
      <c r="E26" s="296"/>
      <c r="F26" s="296"/>
      <c r="G26" s="296"/>
      <c r="H26" s="296"/>
      <c r="I26" s="296"/>
      <c r="J26" s="296"/>
      <c r="K26" s="296"/>
      <c r="L26" s="296"/>
      <c r="M26" s="179"/>
      <c r="N26" s="179"/>
      <c r="O26" s="179"/>
      <c r="P26" s="293" t="s">
        <v>391</v>
      </c>
      <c r="Q26" s="294"/>
      <c r="R26" s="294"/>
      <c r="S26" s="295"/>
      <c r="T26" s="110"/>
      <c r="U26" s="110"/>
      <c r="V26" s="110"/>
      <c r="W26" s="110"/>
      <c r="X26" s="110"/>
      <c r="Y26" s="110"/>
      <c r="Z26" s="113"/>
      <c r="AA26" s="112"/>
      <c r="AB26" s="112"/>
      <c r="AC26" s="110"/>
      <c r="AD26" s="112"/>
      <c r="AE26" s="112"/>
      <c r="AF26" s="110"/>
      <c r="AG26" s="110"/>
      <c r="AH26" s="110"/>
      <c r="AI26" s="110"/>
      <c r="AJ26" s="110"/>
      <c r="AK26" s="110"/>
      <c r="AL26" s="110"/>
      <c r="AM26" s="110"/>
      <c r="AN26" s="110"/>
      <c r="AO26" s="110"/>
      <c r="AP26" s="110"/>
      <c r="AQ26" s="110"/>
      <c r="AR26" s="110"/>
      <c r="AS26" s="110"/>
      <c r="AT26" s="110"/>
      <c r="AU26" s="110"/>
      <c r="AV26" s="110"/>
      <c r="AW26" s="110"/>
    </row>
    <row r="27" spans="4:80" ht="15" thickBot="1" x14ac:dyDescent="0.25">
      <c r="D27" s="179"/>
      <c r="E27" s="179"/>
      <c r="F27" s="179"/>
      <c r="G27" s="179"/>
      <c r="H27" s="179"/>
      <c r="I27" s="179"/>
      <c r="J27" s="179"/>
      <c r="K27" s="179"/>
      <c r="M27" s="179"/>
      <c r="N27" s="179"/>
      <c r="O27" s="179"/>
      <c r="Q27" s="181" t="str">
        <f>+IFERROR(VLOOKUP(M27,$M$182:$Q$186,3,FALSE)*VLOOKUP(P27,$P$182:$Q$186,3,FALSE),"")</f>
        <v/>
      </c>
      <c r="AA27" s="181"/>
      <c r="AB27" s="209"/>
      <c r="AD27" s="209"/>
      <c r="AE27" s="209"/>
      <c r="AF27" s="210"/>
      <c r="AG27" s="210"/>
      <c r="AH27" s="210"/>
      <c r="AI27" s="210"/>
      <c r="AJ27" s="210"/>
      <c r="AK27" s="114"/>
      <c r="AL27" s="114"/>
      <c r="AM27" s="210"/>
      <c r="AN27" s="211"/>
      <c r="AR27" s="210"/>
      <c r="AT27" s="210"/>
      <c r="AV27" s="210"/>
    </row>
    <row r="28" spans="4:80" ht="17.45" customHeight="1" thickTop="1" thickBot="1" x14ac:dyDescent="0.25">
      <c r="D28" s="291" t="s">
        <v>207</v>
      </c>
      <c r="E28" s="291"/>
      <c r="F28" s="291"/>
      <c r="G28" s="291"/>
      <c r="H28" s="291"/>
      <c r="I28" s="291"/>
      <c r="J28" s="291"/>
      <c r="K28" s="291"/>
      <c r="L28" s="178" t="s">
        <v>208</v>
      </c>
      <c r="M28" s="291" t="s">
        <v>209</v>
      </c>
      <c r="N28" s="291"/>
      <c r="O28" s="291"/>
      <c r="P28" s="291"/>
      <c r="Q28" s="291"/>
      <c r="R28" s="291"/>
      <c r="S28" s="291"/>
      <c r="T28" s="118"/>
      <c r="U28" s="292" t="s">
        <v>210</v>
      </c>
      <c r="V28" s="292"/>
      <c r="W28" s="292"/>
      <c r="X28" s="291" t="s">
        <v>211</v>
      </c>
      <c r="Y28" s="291"/>
      <c r="Z28" s="291"/>
      <c r="AA28" s="291"/>
      <c r="AB28" s="292">
        <v>1</v>
      </c>
      <c r="AC28" s="292"/>
      <c r="AD28" s="292"/>
      <c r="AE28" s="292"/>
      <c r="AF28" s="117"/>
      <c r="AG28" s="117"/>
      <c r="AH28" s="117"/>
      <c r="AI28" s="117"/>
      <c r="AJ28" s="117"/>
      <c r="AK28" s="117"/>
      <c r="AL28" s="117"/>
      <c r="AM28" s="117"/>
      <c r="AN28" s="117"/>
      <c r="AO28" s="117"/>
      <c r="AP28" s="117"/>
      <c r="AQ28" s="117"/>
      <c r="AR28" s="117"/>
      <c r="AS28" s="117"/>
      <c r="AT28" s="117"/>
      <c r="AU28" s="117"/>
      <c r="AV28" s="117"/>
      <c r="AW28" s="115"/>
    </row>
    <row r="29" spans="4:80" ht="36.75" customHeight="1" thickTop="1" x14ac:dyDescent="0.25">
      <c r="D29" s="327" t="s">
        <v>394</v>
      </c>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row>
  </sheetData>
  <dataConsolidate/>
  <mergeCells count="72">
    <mergeCell ref="D29:AE29"/>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28:AA28"/>
    <mergeCell ref="AB28:AE28"/>
    <mergeCell ref="D28:K28"/>
    <mergeCell ref="P26:S26"/>
    <mergeCell ref="M28:S28"/>
    <mergeCell ref="U28:W28"/>
    <mergeCell ref="D26:L26"/>
    <mergeCell ref="X12:AG12"/>
    <mergeCell ref="X13:X14"/>
    <mergeCell ref="Y13:Y14"/>
    <mergeCell ref="AP13:AP14"/>
    <mergeCell ref="AI12:AO12"/>
    <mergeCell ref="AB13:AG13"/>
  </mergeCells>
  <conditionalFormatting sqref="Q15:Q22 AJ15:AJ22">
    <cfRule type="cellIs" dxfId="24" priority="57" operator="equal">
      <formula>"Muy Alta"</formula>
    </cfRule>
    <cfRule type="cellIs" dxfId="23" priority="58" operator="equal">
      <formula>"Alta"</formula>
    </cfRule>
    <cfRule type="cellIs" dxfId="22" priority="59" operator="equal">
      <formula>"Media"</formula>
    </cfRule>
    <cfRule type="cellIs" dxfId="21" priority="60" operator="equal">
      <formula>"Baja"</formula>
    </cfRule>
    <cfRule type="cellIs" dxfId="20" priority="61" operator="equal">
      <formula>"Muy Baja"</formula>
    </cfRule>
  </conditionalFormatting>
  <conditionalFormatting sqref="T15:T22">
    <cfRule type="containsText" dxfId="19" priority="33" operator="containsText" text="❌">
      <formula>NOT(ISERROR(SEARCH("❌",T15)))</formula>
    </cfRule>
  </conditionalFormatting>
  <conditionalFormatting sqref="U15:U22">
    <cfRule type="cellIs" dxfId="18" priority="1" operator="equal">
      <formula>"Catastrófico"</formula>
    </cfRule>
    <cfRule type="cellIs" dxfId="17" priority="2" operator="equal">
      <formula>"Mayor"</formula>
    </cfRule>
    <cfRule type="cellIs" dxfId="16" priority="3" operator="equal">
      <formula>"Moderado"</formula>
    </cfRule>
    <cfRule type="cellIs" dxfId="15" priority="4" operator="equal">
      <formula>"Menor"</formula>
    </cfRule>
    <cfRule type="cellIs" dxfId="14" priority="5" operator="equal">
      <formula>"Leve"</formula>
    </cfRule>
  </conditionalFormatting>
  <conditionalFormatting sqref="W15:W22 AN15:AN22">
    <cfRule type="cellIs" dxfId="13" priority="48" operator="equal">
      <formula>"Extremo"</formula>
    </cfRule>
    <cfRule type="cellIs" dxfId="12" priority="49" operator="equal">
      <formula>"Alto"</formula>
    </cfRule>
    <cfRule type="cellIs" dxfId="11" priority="50" operator="equal">
      <formula>"Moderado"</formula>
    </cfRule>
    <cfRule type="cellIs" dxfId="10" priority="51" operator="equal">
      <formula>"Bajo"</formula>
    </cfRule>
  </conditionalFormatting>
  <conditionalFormatting sqref="AK25:AK27">
    <cfRule type="cellIs" dxfId="9" priority="22" operator="equal">
      <formula>#REF!</formula>
    </cfRule>
    <cfRule type="cellIs" dxfId="8" priority="23" operator="equal">
      <formula>#REF!</formula>
    </cfRule>
  </conditionalFormatting>
  <conditionalFormatting sqref="AK25:AL27">
    <cfRule type="cellIs" dxfId="7" priority="21" stopIfTrue="1" operator="equal">
      <formula>#REF!</formula>
    </cfRule>
  </conditionalFormatting>
  <conditionalFormatting sqref="AL15:AL22">
    <cfRule type="cellIs" dxfId="6" priority="38" operator="equal">
      <formula>"Catastrófico"</formula>
    </cfRule>
    <cfRule type="cellIs" dxfId="5" priority="39" operator="equal">
      <formula>"Mayor"</formula>
    </cfRule>
    <cfRule type="cellIs" dxfId="4" priority="40" operator="equal">
      <formula>"Moderado"</formula>
    </cfRule>
    <cfRule type="cellIs" dxfId="3" priority="41" operator="equal">
      <formula>"Menor"</formula>
    </cfRule>
    <cfRule type="cellIs" dxfId="2" priority="42" operator="equal">
      <formula>"Leve"</formula>
    </cfRule>
  </conditionalFormatting>
  <conditionalFormatting sqref="AL25:AL27">
    <cfRule type="cellIs" dxfId="1" priority="25" stopIfTrue="1" operator="equal">
      <formula>#REF!</formula>
    </cfRule>
    <cfRule type="cellIs" dxfId="0" priority="26" stopIfTrue="1" operator="equal">
      <formula>#REF!</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5E056D49-2A01-4844-9657-EAFD8E3B5A80}">
          <x14:formula1>
            <xm:f>'Opciones Tratamiento'!$B$13:$B$19</xm:f>
          </x14:formula1>
          <xm:sqref>M15:M22</xm:sqref>
        </x14:dataValidation>
        <x14:dataValidation type="list" allowBlank="1" showInputMessage="1" showErrorMessage="1" xr:uid="{EF0C0067-1765-4F11-A967-1A801D325D81}">
          <x14:formula1>
            <xm:f>'Tabla Impacto'!$F$210:$F$221</xm:f>
          </x14:formula1>
          <xm:sqref>S15:S22</xm:sqref>
        </x14:dataValidation>
        <x14:dataValidation type="custom" allowBlank="1" showInputMessage="1" showErrorMessage="1" error="Recuerde que las acciones se generan bajo la medida de mitigar el riesgo" xr:uid="{7ED48018-4235-4B97-8418-73E7BBDB0232}">
          <x14:formula1>
            <xm:f>IF(OR(AO21='Opciones Tratamiento'!$B$2,AO21='Opciones Tratamiento'!$B$3,AO21='Opciones Tratamiento'!$B$4),ISBLANK(AO21),ISTEXT(AO21))</xm:f>
          </x14:formula1>
          <xm:sqref>AP21:AP22</xm:sqref>
        </x14:dataValidation>
        <x14:dataValidation type="custom" allowBlank="1" showInputMessage="1" showErrorMessage="1" error="Recuerde que las acciones se generan bajo la medida de mitigar el riesgo" xr:uid="{B9F9F086-C384-4D55-BBDC-46D063DF530B}">
          <x14:formula1>
            <xm:f>IF(OR(AO21='Opciones Tratamiento'!$B$2,AO21='Opciones Tratamiento'!$B$3,AO21='Opciones Tratamiento'!$B$4),ISBLANK(AO21),ISTEXT(AO21))</xm:f>
          </x14:formula1>
          <xm:sqref>AQ21:AQ22</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AR15:AR22</xm:sqref>
        </x14:dataValidation>
        <x14:dataValidation type="list" allowBlank="1" showInputMessage="1" showErrorMessage="1" xr:uid="{9E41A0A5-9033-48F4-A523-E78EEE31291B}">
          <x14:formula1>
            <xm:f>Listas!$B$2:$B$7</xm:f>
          </x14:formula1>
          <xm:sqref>H15:H22</xm:sqref>
        </x14:dataValidation>
        <x14:dataValidation type="list" allowBlank="1" showInputMessage="1" showErrorMessage="1" xr:uid="{E1211B7A-6A4E-4A48-9C6D-50DFE53A34CF}">
          <x14:formula1>
            <xm:f>Listas!$C$2:$C$6</xm:f>
          </x14:formula1>
          <xm:sqref>N15:N22</xm:sqref>
        </x14:dataValidation>
        <x14:dataValidation type="list" allowBlank="1" showInputMessage="1" showErrorMessage="1" xr:uid="{B88BA28A-2600-4BF8-8D1C-1591DFA3694A}">
          <x14:formula1>
            <xm:f>Listas!$D$2:$D$5</xm:f>
          </x14:formula1>
          <xm:sqref>O15:O22</xm:sqref>
        </x14:dataValidation>
        <x14:dataValidation type="list" allowBlank="1" showInputMessage="1" showErrorMessage="1" xr:uid="{C1C18457-6497-4468-A0EC-5756D2A505AB}">
          <x14:formula1>
            <xm:f>Hoja2!$B$3:$B$18</xm:f>
          </x14:formula1>
          <xm:sqref>E15:E22</xm:sqref>
        </x14:dataValidation>
        <x14:dataValidation type="list" allowBlank="1" showInputMessage="1" showErrorMessage="1" xr:uid="{30B1B799-4F7E-4DF0-8163-3420DCED9D9B}">
          <x14:formula1>
            <xm:f>Hoja2!$D$3:$D$21</xm:f>
          </x14:formula1>
          <xm:sqref>F15:F22</xm:sqref>
        </x14:dataValidation>
        <x14:dataValidation type="list" allowBlank="1" showInputMessage="1" showErrorMessage="1" xr:uid="{4543C4BE-F1CB-4CCC-8B32-CEE48E0F43C3}">
          <x14:formula1>
            <xm:f>Hoja2!$E$3:$E$23</xm:f>
          </x14:formula1>
          <xm:sqref>G15:G22</xm:sqref>
        </x14:dataValidation>
        <x14:dataValidation type="list" allowBlank="1" showInputMessage="1" showErrorMessage="1" xr:uid="{FFA9F3EB-8AAC-4371-8BA9-EA5BFF31F870}">
          <x14:formula1>
            <xm:f>'Opciones Tratamiento'!$B$9:$B$10</xm:f>
          </x14:formula1>
          <xm:sqref>AU15:AU22 BB15:BB22 AX15:AY22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BCC5CE02-71F3-4D30-B2B6-0BC8D084AB56}">
          <x14:formula1>
            <xm:f>'Opciones Tratamiento'!$B$2:$B$5</xm:f>
          </x14:formula1>
          <xm:sqref>AO15:AO22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AS15:AS22 AV15:AV22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AT15:AT22 AZ15:AZ22 AW15:AW22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 type="custom" allowBlank="1" showInputMessage="1" showErrorMessage="1" error="Recuerde que las acciones se generan bajo la medida de mitigar el riesgo" xr:uid="{EF393CB8-4FED-49A7-8E94-298807EE99E1}">
          <x14:formula1>
            <xm:f>IF(OR(AO15='C:\Users\anay\Downloads\[mapaderiesgoinformatica24.xlsx]Opciones Tratamiento'!#REF!,AO15='C:\Users\anay\Downloads\[mapaderiesgoinformatica24.xlsx]Opciones Tratamiento'!#REF!,AO15='C:\Users\anay\Downloads\[mapaderiesgoinformatica24.xlsx]Opciones Tratamiento'!#REF!),ISBLANK(AO15),ISTEXT(AO15))</xm:f>
          </x14:formula1>
          <xm:sqref>AQ15:AQ20</xm:sqref>
        </x14:dataValidation>
        <x14:dataValidation type="custom" allowBlank="1" showInputMessage="1" showErrorMessage="1" error="Recuerde que las acciones se generan bajo la medida de mitigar el riesgo" xr:uid="{E29320C1-13B8-467D-BA74-3E08F5287689}">
          <x14:formula1>
            <xm:f>IF(OR(AO16='C:\Users\anay\Downloads\[mapaderiesgoinformatica24.xlsx]Opciones Tratamiento'!#REF!,AO16='C:\Users\anay\Downloads\[mapaderiesgoinformatica24.xlsx]Opciones Tratamiento'!#REF!,AO16='C:\Users\anay\Downloads\[mapaderiesgoinformatica24.xlsx]Opciones Tratamiento'!#REF!),ISBLANK(AO16),ISTEXT(AO16))</xm:f>
          </x14:formula1>
          <xm:sqref>AP16:AP20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45" t="s">
        <v>137</v>
      </c>
      <c r="C1" s="345"/>
      <c r="D1" s="345"/>
      <c r="E1" s="345"/>
      <c r="F1" s="345"/>
      <c r="G1" s="345"/>
      <c r="H1" s="345"/>
      <c r="I1" s="345"/>
      <c r="J1" s="345"/>
      <c r="L1" s="345" t="s">
        <v>139</v>
      </c>
      <c r="M1" s="345"/>
      <c r="N1" s="345"/>
      <c r="O1" s="345"/>
      <c r="P1" s="345"/>
      <c r="Q1" s="345"/>
      <c r="R1" s="345"/>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46" t="s">
        <v>318</v>
      </c>
      <c r="D2" s="347"/>
    </row>
    <row r="3" spans="3:4" x14ac:dyDescent="0.25">
      <c r="C3" s="348"/>
      <c r="D3" s="349"/>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20" activePane="bottomLeft" state="frozen"/>
      <selection pane="bottomLeft" activeCell="AY45" sqref="AY45"/>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62" t="s">
        <v>251</v>
      </c>
      <c r="E2" s="363"/>
      <c r="F2" s="363"/>
      <c r="G2" s="363"/>
      <c r="H2" s="363"/>
      <c r="I2" s="363"/>
      <c r="J2" s="363"/>
      <c r="K2" s="364"/>
      <c r="L2" s="353" t="s">
        <v>205</v>
      </c>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5"/>
      <c r="AP2" s="285" t="s">
        <v>250</v>
      </c>
      <c r="AQ2" s="350"/>
      <c r="AR2" s="350"/>
      <c r="AS2" s="350"/>
      <c r="AT2" s="350"/>
      <c r="AU2" s="350"/>
      <c r="AV2" s="258"/>
    </row>
    <row r="3" spans="1:101" x14ac:dyDescent="0.25">
      <c r="D3" s="365"/>
      <c r="E3" s="366"/>
      <c r="F3" s="366"/>
      <c r="G3" s="366"/>
      <c r="H3" s="366"/>
      <c r="I3" s="366"/>
      <c r="J3" s="366"/>
      <c r="K3" s="367"/>
      <c r="L3" s="356"/>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8"/>
      <c r="AP3" s="286" t="s">
        <v>264</v>
      </c>
      <c r="AQ3" s="351"/>
      <c r="AR3" s="351"/>
      <c r="AS3" s="351"/>
      <c r="AT3" s="351"/>
      <c r="AU3" s="351"/>
      <c r="AV3" s="260"/>
    </row>
    <row r="4" spans="1:101" x14ac:dyDescent="0.25">
      <c r="D4" s="365"/>
      <c r="E4" s="366"/>
      <c r="F4" s="366"/>
      <c r="G4" s="366"/>
      <c r="H4" s="366"/>
      <c r="I4" s="366"/>
      <c r="J4" s="366"/>
      <c r="K4" s="367"/>
      <c r="L4" s="356"/>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8"/>
      <c r="AP4" s="286" t="s">
        <v>389</v>
      </c>
      <c r="AQ4" s="351" t="s">
        <v>263</v>
      </c>
      <c r="AR4" s="351"/>
      <c r="AS4" s="351"/>
      <c r="AT4" s="351"/>
      <c r="AU4" s="351"/>
      <c r="AV4" s="260"/>
    </row>
    <row r="5" spans="1:101" ht="15.75" thickBot="1" x14ac:dyDescent="0.3">
      <c r="D5" s="368"/>
      <c r="E5" s="369"/>
      <c r="F5" s="369"/>
      <c r="G5" s="369"/>
      <c r="H5" s="369"/>
      <c r="I5" s="369"/>
      <c r="J5" s="369"/>
      <c r="K5" s="370"/>
      <c r="L5" s="359"/>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1"/>
      <c r="AP5" s="287" t="s">
        <v>245</v>
      </c>
      <c r="AQ5" s="352" t="s">
        <v>245</v>
      </c>
      <c r="AR5" s="352"/>
      <c r="AS5" s="352"/>
      <c r="AT5" s="352"/>
      <c r="AU5" s="352"/>
      <c r="AV5" s="262"/>
    </row>
    <row r="7" spans="1:101" ht="18" customHeight="1" x14ac:dyDescent="0.25">
      <c r="C7" s="69"/>
      <c r="D7" s="457" t="s">
        <v>157</v>
      </c>
      <c r="E7" s="457"/>
      <c r="F7" s="457"/>
      <c r="G7" s="457"/>
      <c r="H7" s="457"/>
      <c r="I7" s="457"/>
      <c r="J7" s="457"/>
      <c r="K7" s="457"/>
      <c r="L7" s="415" t="s">
        <v>2</v>
      </c>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34" t="s">
        <v>266</v>
      </c>
      <c r="B8" s="334"/>
      <c r="C8" s="335"/>
      <c r="D8" s="457"/>
      <c r="E8" s="457"/>
      <c r="F8" s="457"/>
      <c r="G8" s="457"/>
      <c r="H8" s="457"/>
      <c r="I8" s="457"/>
      <c r="J8" s="457"/>
      <c r="K8" s="457"/>
      <c r="L8" s="415"/>
      <c r="M8" s="415"/>
      <c r="N8" s="415"/>
      <c r="O8" s="415"/>
      <c r="P8" s="415"/>
      <c r="Q8" s="415"/>
      <c r="R8" s="415"/>
      <c r="S8" s="415"/>
      <c r="T8" s="415"/>
      <c r="U8" s="415"/>
      <c r="V8" s="415"/>
      <c r="W8" s="415"/>
      <c r="X8" s="415"/>
      <c r="Y8" s="415"/>
      <c r="Z8" s="415"/>
      <c r="AA8" s="415"/>
      <c r="AB8" s="415"/>
      <c r="AC8" s="415"/>
      <c r="AD8" s="415"/>
      <c r="AE8" s="415"/>
      <c r="AF8" s="415"/>
      <c r="AG8" s="415"/>
      <c r="AH8" s="415"/>
      <c r="AI8" s="415"/>
      <c r="AJ8" s="415"/>
      <c r="AK8" s="415"/>
      <c r="AL8" s="415"/>
      <c r="AM8" s="415"/>
      <c r="AN8" s="415"/>
      <c r="AO8" s="415"/>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57"/>
      <c r="E9" s="457"/>
      <c r="F9" s="457"/>
      <c r="G9" s="457"/>
      <c r="H9" s="457"/>
      <c r="I9" s="457"/>
      <c r="J9" s="457"/>
      <c r="K9" s="457"/>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71" t="s">
        <v>4</v>
      </c>
      <c r="E11" s="371"/>
      <c r="F11" s="372"/>
      <c r="G11" s="409" t="s">
        <v>115</v>
      </c>
      <c r="H11" s="410"/>
      <c r="I11" s="410"/>
      <c r="J11" s="410"/>
      <c r="K11" s="410"/>
      <c r="L11" s="417" t="str">
        <f>IF(AND('Mapa final'!$Q$15="Muy Alta",'Mapa final'!$U$15="Leve"),CONCATENATE("R",'Mapa final'!$A$15),"")</f>
        <v/>
      </c>
      <c r="M11" s="418"/>
      <c r="N11" s="418" t="str">
        <f>IF(AND('Mapa final'!$L$16="Muy Alta",'Mapa final'!$P$16="Leve"),CONCATENATE("R",'Mapa final'!$A$16),"")</f>
        <v/>
      </c>
      <c r="O11" s="418"/>
      <c r="P11" s="418" t="str">
        <f>IF(AND('Mapa final'!$L$17="Muy Alta",'Mapa final'!$P$17="Leve"),CONCATENATE("R",'Mapa final'!$A$17),"")</f>
        <v/>
      </c>
      <c r="Q11" s="431"/>
      <c r="R11" s="417" t="str">
        <f>IF(AND('Mapa final'!$Q$15="Muy Alta",'Mapa final'!$U$15="Menor"),CONCATENATE("R",'Mapa final'!$A$15),"")</f>
        <v/>
      </c>
      <c r="S11" s="418"/>
      <c r="T11" s="418" t="str">
        <f>IF(AND('Mapa final'!$Q$16="Muy Alta",'Mapa final'!$U$16="Menor"),CONCATENATE("R",'Mapa final'!$A$16),"")</f>
        <v/>
      </c>
      <c r="U11" s="418"/>
      <c r="V11" s="418" t="str">
        <f>IF(AND('Mapa final'!$Q$17="Muy Alta",'Mapa final'!$U$17="Menor"),CONCATENATE("R",'Mapa final'!$A$17),"")</f>
        <v/>
      </c>
      <c r="W11" s="418"/>
      <c r="X11" s="417" t="str">
        <f>IF(AND('Mapa final'!$Q$15="Muy Alta",'Mapa final'!$U$15="Moderado"),CONCATENATE("R",'Mapa final'!$A$15),"")</f>
        <v/>
      </c>
      <c r="Y11" s="418"/>
      <c r="Z11" s="418" t="str">
        <f>IF(AND('Mapa final'!Q$16="Muy Alta",'Mapa final'!$U$16="Moderado"),CONCATENATE("R",'Mapa final'!$A$16),"")</f>
        <v/>
      </c>
      <c r="AA11" s="418"/>
      <c r="AB11" s="418" t="str">
        <f>IF(AND('Mapa final'!$Q$17="Muy Alta",'Mapa final'!$U$17="Moderado"),CONCATENATE("R",'Mapa final'!$A$17),"")</f>
        <v/>
      </c>
      <c r="AC11" s="418"/>
      <c r="AD11" s="417" t="str">
        <f>IF(AND('Mapa final'!$Q$15="Muy Alta",'Mapa final'!$U$15="Mayor"),CONCATENATE("R",'Mapa final'!$A$15),"")</f>
        <v/>
      </c>
      <c r="AE11" s="418"/>
      <c r="AF11" s="418" t="str">
        <f>IF(AND('Mapa final'!$Q$16="Muy Alta",'Mapa final'!$U$16="Mayor"),CONCATENATE("R",'Mapa final'!$A$16),"")</f>
        <v/>
      </c>
      <c r="AG11" s="418"/>
      <c r="AH11" s="418" t="str">
        <f>IF(AND('Mapa final'!$Q$17="Muy Alta",'Mapa final'!$U$17="Mayor"),CONCATENATE("R",'Mapa final'!$A$17),"")</f>
        <v/>
      </c>
      <c r="AI11" s="418"/>
      <c r="AJ11" s="435" t="str">
        <f>IF(AND('Mapa final'!$Q$15="Muy Alta",'Mapa final'!$U$15="Catastrófico"),CONCATENATE("R",'Mapa final'!$A$15),"")</f>
        <v/>
      </c>
      <c r="AK11" s="436"/>
      <c r="AL11" s="436" t="str">
        <f>IF(AND('Mapa final'!$Q$16="Muy Alta",'Mapa final'!$U$16="Catastrófico"),CONCATENATE("R",'Mapa final'!$A$16),"")</f>
        <v/>
      </c>
      <c r="AM11" s="436"/>
      <c r="AN11" s="436" t="str">
        <f>IF(AND('Mapa final'!$Q$17="Muy Alta",'Mapa final'!$U$17="Catastrófico"),CONCATENATE("R",'Mapa final'!$A$17),"")</f>
        <v/>
      </c>
      <c r="AO11" s="437"/>
      <c r="AQ11" s="373" t="s">
        <v>78</v>
      </c>
      <c r="AR11" s="374"/>
      <c r="AS11" s="374"/>
      <c r="AT11" s="374"/>
      <c r="AU11" s="374"/>
      <c r="AV11" s="375"/>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71"/>
      <c r="E12" s="371"/>
      <c r="F12" s="372"/>
      <c r="G12" s="411"/>
      <c r="H12" s="412"/>
      <c r="I12" s="412"/>
      <c r="J12" s="412"/>
      <c r="K12" s="412"/>
      <c r="L12" s="419"/>
      <c r="M12" s="416"/>
      <c r="N12" s="416"/>
      <c r="O12" s="416"/>
      <c r="P12" s="416"/>
      <c r="Q12" s="424"/>
      <c r="R12" s="419"/>
      <c r="S12" s="416"/>
      <c r="T12" s="416"/>
      <c r="U12" s="416"/>
      <c r="V12" s="416"/>
      <c r="W12" s="416"/>
      <c r="X12" s="419"/>
      <c r="Y12" s="416"/>
      <c r="Z12" s="416"/>
      <c r="AA12" s="416"/>
      <c r="AB12" s="416"/>
      <c r="AC12" s="416"/>
      <c r="AD12" s="419"/>
      <c r="AE12" s="416"/>
      <c r="AF12" s="416"/>
      <c r="AG12" s="416"/>
      <c r="AH12" s="416"/>
      <c r="AI12" s="416"/>
      <c r="AJ12" s="432"/>
      <c r="AK12" s="433"/>
      <c r="AL12" s="433"/>
      <c r="AM12" s="433"/>
      <c r="AN12" s="433"/>
      <c r="AO12" s="434"/>
      <c r="AP12" s="69"/>
      <c r="AQ12" s="376"/>
      <c r="AR12" s="377"/>
      <c r="AS12" s="377"/>
      <c r="AT12" s="377"/>
      <c r="AU12" s="377"/>
      <c r="AV12" s="378"/>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71"/>
      <c r="E13" s="371"/>
      <c r="F13" s="372"/>
      <c r="G13" s="411"/>
      <c r="H13" s="412"/>
      <c r="I13" s="412"/>
      <c r="J13" s="412"/>
      <c r="K13" s="412"/>
      <c r="L13" s="419" t="str">
        <f>IF(AND('Mapa final'!$Q$18="Muy Alta",'Mapa final'!$U$18="Leve"),CONCATENATE("R",'Mapa final'!$A$18),"")</f>
        <v/>
      </c>
      <c r="M13" s="416"/>
      <c r="N13" s="416" t="str">
        <f>IF(AND('Mapa final'!$L$19="Muy Alta",'Mapa final'!$P$19="Leve"),CONCATENATE("R",'Mapa final'!$A$19),"")</f>
        <v/>
      </c>
      <c r="O13" s="416"/>
      <c r="P13" s="416" t="str">
        <f>IF(AND('Mapa final'!$L$20="Muy Alta",'Mapa final'!$P$20="Leve"),CONCATENATE("R",'Mapa final'!$A$20),"")</f>
        <v/>
      </c>
      <c r="Q13" s="424"/>
      <c r="R13" s="419" t="str">
        <f>IF(AND('Mapa final'!$Q$18="Muy Alta",'Mapa final'!$U$18="Menor"),CONCATENATE("R",'Mapa final'!$A$18),"")</f>
        <v/>
      </c>
      <c r="S13" s="416"/>
      <c r="T13" s="416" t="str">
        <f>IF(AND('Mapa final'!$Q$19="Muy Alta",'Mapa final'!$U$19="Menor"),CONCATENATE("R",'Mapa final'!$A$19),"")</f>
        <v/>
      </c>
      <c r="U13" s="416"/>
      <c r="V13" s="416" t="str">
        <f>IF(AND('Mapa final'!$Q$20="Muy Alta",'Mapa final'!$U$20="Menor"),CONCATENATE("R",'Mapa final'!$A$20),"")</f>
        <v/>
      </c>
      <c r="W13" s="416"/>
      <c r="X13" s="419" t="str">
        <f>IF(AND('Mapa final'!$Q$18="Muy Alta",'Mapa final'!$U$18="Moderado"),CONCATENATE("R",'Mapa final'!$A$18),"")</f>
        <v/>
      </c>
      <c r="Y13" s="416"/>
      <c r="Z13" s="416" t="str">
        <f>IF(AND('Mapa final'!$Q$19="Muy Alta",'Mapa final'!$U$19="Moderado"),CONCATENATE("R",'Mapa final'!$A$19),"")</f>
        <v/>
      </c>
      <c r="AA13" s="416"/>
      <c r="AB13" s="416" t="str">
        <f>IF(AND('Mapa final'!$Q$20="Muy Alta",'Mapa final'!$U$20="Moderado"),CONCATENATE("R",'Mapa final'!$A$20),"")</f>
        <v/>
      </c>
      <c r="AC13" s="416"/>
      <c r="AD13" s="419" t="str">
        <f>IF(AND('Mapa final'!$Q$18="Muy Alta",'Mapa final'!$U$18="Mayor"),CONCATENATE("R",'Mapa final'!$A$18),"")</f>
        <v/>
      </c>
      <c r="AE13" s="416"/>
      <c r="AF13" s="416" t="str">
        <f>IF(AND('Mapa final'!$Q$19="Muy Alta",'Mapa final'!$U$19="Mayor"),CONCATENATE("R",'Mapa final'!$A$19),"")</f>
        <v/>
      </c>
      <c r="AG13" s="416"/>
      <c r="AH13" s="416" t="str">
        <f>IF(AND('Mapa final'!$Q$20="Muy Alta",'Mapa final'!$U$20="Mayor"),CONCATENATE("R",'Mapa final'!$A$20),"")</f>
        <v/>
      </c>
      <c r="AI13" s="416"/>
      <c r="AJ13" s="432" t="str">
        <f>IF(AND('Mapa final'!$Q$18="Muy Alta",'Mapa final'!$U$18="Catastrófico"),CONCATENATE("R",'Mapa final'!$A$18),"")</f>
        <v/>
      </c>
      <c r="AK13" s="433"/>
      <c r="AL13" s="433" t="str">
        <f>IF(AND('Mapa final'!$Q$19="Muy Alta",'Mapa final'!$U$19="Catastrófico"),CONCATENATE("R",'Mapa final'!$A$19),"")</f>
        <v/>
      </c>
      <c r="AM13" s="433"/>
      <c r="AN13" s="433" t="str">
        <f>IF(AND('Mapa final'!$Q$20="Muy Alta",'Mapa final'!$L$20="Catastrófico"),CONCATENATE("R",'Mapa final'!$A$20),"")</f>
        <v/>
      </c>
      <c r="AO13" s="434"/>
      <c r="AP13" s="69"/>
      <c r="AQ13" s="376"/>
      <c r="AR13" s="377"/>
      <c r="AS13" s="377"/>
      <c r="AT13" s="377"/>
      <c r="AU13" s="377"/>
      <c r="AV13" s="378"/>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71"/>
      <c r="E14" s="371"/>
      <c r="F14" s="372"/>
      <c r="G14" s="411"/>
      <c r="H14" s="412"/>
      <c r="I14" s="412"/>
      <c r="J14" s="412"/>
      <c r="K14" s="412"/>
      <c r="L14" s="419"/>
      <c r="M14" s="416"/>
      <c r="N14" s="416"/>
      <c r="O14" s="416"/>
      <c r="P14" s="416"/>
      <c r="Q14" s="424"/>
      <c r="R14" s="419"/>
      <c r="S14" s="416"/>
      <c r="T14" s="416"/>
      <c r="U14" s="416"/>
      <c r="V14" s="416"/>
      <c r="W14" s="416"/>
      <c r="X14" s="419"/>
      <c r="Y14" s="416"/>
      <c r="Z14" s="416"/>
      <c r="AA14" s="416"/>
      <c r="AB14" s="416"/>
      <c r="AC14" s="416"/>
      <c r="AD14" s="419"/>
      <c r="AE14" s="416"/>
      <c r="AF14" s="416"/>
      <c r="AG14" s="416"/>
      <c r="AH14" s="416"/>
      <c r="AI14" s="416"/>
      <c r="AJ14" s="432"/>
      <c r="AK14" s="433"/>
      <c r="AL14" s="433"/>
      <c r="AM14" s="433"/>
      <c r="AN14" s="433"/>
      <c r="AO14" s="434"/>
      <c r="AP14" s="69"/>
      <c r="AQ14" s="376"/>
      <c r="AR14" s="377"/>
      <c r="AS14" s="377"/>
      <c r="AT14" s="377"/>
      <c r="AU14" s="377"/>
      <c r="AV14" s="378"/>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71"/>
      <c r="E15" s="371"/>
      <c r="F15" s="372"/>
      <c r="G15" s="411"/>
      <c r="H15" s="412"/>
      <c r="I15" s="412"/>
      <c r="J15" s="412"/>
      <c r="K15" s="412"/>
      <c r="L15" s="419" t="str">
        <f>IF(AND('Mapa final'!$Q$21="Muy Alta",'Mapa final'!$U$21="Leve"),CONCATENATE("R",'Mapa final'!$A$21),"")</f>
        <v/>
      </c>
      <c r="M15" s="416"/>
      <c r="N15" s="416" t="str">
        <f>IF(AND('Mapa final'!$L$22="Muy Alta",'Mapa final'!$P$22="Leve"),CONCATENATE("R",'Mapa final'!$A$22),"")</f>
        <v/>
      </c>
      <c r="O15" s="416"/>
      <c r="P15" s="416" t="str">
        <f>IF(AND('Mapa final'!$L$23="Muy Alta",'Mapa final'!$P$23="Leve"),CONCATENATE("R",'Mapa final'!$A$23),"")</f>
        <v/>
      </c>
      <c r="Q15" s="424"/>
      <c r="R15" s="419" t="str">
        <f>IF(AND('Mapa final'!$Q$21="Muy Alta",'Mapa final'!$U$21="Menor"),CONCATENATE("R",'Mapa final'!$A$21),"")</f>
        <v/>
      </c>
      <c r="S15" s="416"/>
      <c r="T15" s="416" t="str">
        <f>IF(AND('Mapa final'!$LR$22="Muy Alta",'Mapa final'!$U$22="Menor"),CONCATENATE("R",'Mapa final'!$A$22),"")</f>
        <v/>
      </c>
      <c r="U15" s="416"/>
      <c r="V15" s="416" t="str">
        <f>IF(AND('Mapa final'!$Q$23="Muy Alta",'Mapa final'!$U$23="Menor"),CONCATENATE("R",'Mapa final'!$A$23),"")</f>
        <v/>
      </c>
      <c r="W15" s="416"/>
      <c r="X15" s="419" t="str">
        <f>IF(AND('Mapa final'!$Q$21="Muy Alta",'Mapa final'!$U$21="Moderado"),CONCATENATE("R",'Mapa final'!$A$21),"")</f>
        <v/>
      </c>
      <c r="Y15" s="416"/>
      <c r="Z15" s="416" t="str">
        <f>IF(AND('Mapa final'!$Q$22="Muy Alta",'Mapa final'!$U$22="Moderado"),CONCATENATE("R",'Mapa final'!$A$22),"")</f>
        <v/>
      </c>
      <c r="AA15" s="416"/>
      <c r="AB15" s="416" t="str">
        <f>IF(AND('Mapa final'!$Q$23="Muy Alta",'Mapa final'!$U$23="Moderado"),CONCATENATE("R",'Mapa final'!$A$23),"")</f>
        <v/>
      </c>
      <c r="AC15" s="416"/>
      <c r="AD15" s="419" t="str">
        <f>IF(AND('Mapa final'!$Q$21="Muy Alta",'Mapa final'!$U$21="Mayor"),CONCATENATE("R",'Mapa final'!$A$21),"")</f>
        <v/>
      </c>
      <c r="AE15" s="416"/>
      <c r="AF15" s="416" t="str">
        <f>IF(AND('Mapa final'!$Q$22="Muy Alta",'Mapa final'!$U$22="Mayor"),CONCATENATE("R",'Mapa final'!$A$22),"")</f>
        <v/>
      </c>
      <c r="AG15" s="416"/>
      <c r="AH15" s="416" t="str">
        <f>IF(AND('Mapa final'!$Q$23="Muy Alta",'Mapa final'!$U$23="Mayor"),CONCATENATE("R",'Mapa final'!$A$23),"")</f>
        <v/>
      </c>
      <c r="AI15" s="416"/>
      <c r="AJ15" s="432" t="str">
        <f>IF(AND('Mapa final'!$Q$21="Muy Alta",'Mapa final'!$U$21="Catastrófico"),CONCATENATE("R",'Mapa final'!$A$21),"")</f>
        <v/>
      </c>
      <c r="AK15" s="433"/>
      <c r="AL15" s="433" t="str">
        <f>IF(AND('Mapa final'!$Q$22="Muy Alta",'Mapa final'!$U$22="Catastrófico"),CONCATENATE("R",'Mapa final'!$A$22),"")</f>
        <v/>
      </c>
      <c r="AM15" s="433"/>
      <c r="AN15" s="433" t="str">
        <f>IF(AND('Mapa final'!$Q$23="Muy Alta",'Mapa final'!$U$23="Catastrófico"),CONCATENATE("R",'Mapa final'!$A$23),"")</f>
        <v/>
      </c>
      <c r="AO15" s="434"/>
      <c r="AP15" s="69"/>
      <c r="AQ15" s="376"/>
      <c r="AR15" s="377"/>
      <c r="AS15" s="377"/>
      <c r="AT15" s="377"/>
      <c r="AU15" s="377"/>
      <c r="AV15" s="378"/>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71"/>
      <c r="E16" s="371"/>
      <c r="F16" s="372"/>
      <c r="G16" s="411"/>
      <c r="H16" s="412"/>
      <c r="I16" s="412"/>
      <c r="J16" s="412"/>
      <c r="K16" s="412"/>
      <c r="L16" s="419"/>
      <c r="M16" s="416"/>
      <c r="N16" s="416"/>
      <c r="O16" s="416"/>
      <c r="P16" s="416"/>
      <c r="Q16" s="424"/>
      <c r="R16" s="419"/>
      <c r="S16" s="416"/>
      <c r="T16" s="416"/>
      <c r="U16" s="416"/>
      <c r="V16" s="416"/>
      <c r="W16" s="416"/>
      <c r="X16" s="419"/>
      <c r="Y16" s="416"/>
      <c r="Z16" s="416"/>
      <c r="AA16" s="416"/>
      <c r="AB16" s="416"/>
      <c r="AC16" s="416"/>
      <c r="AD16" s="419"/>
      <c r="AE16" s="416"/>
      <c r="AF16" s="416"/>
      <c r="AG16" s="416"/>
      <c r="AH16" s="416"/>
      <c r="AI16" s="416"/>
      <c r="AJ16" s="432"/>
      <c r="AK16" s="433"/>
      <c r="AL16" s="433"/>
      <c r="AM16" s="433"/>
      <c r="AN16" s="433"/>
      <c r="AO16" s="434"/>
      <c r="AP16" s="69"/>
      <c r="AQ16" s="376"/>
      <c r="AR16" s="377"/>
      <c r="AS16" s="377"/>
      <c r="AT16" s="377"/>
      <c r="AU16" s="377"/>
      <c r="AV16" s="378"/>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71"/>
      <c r="E17" s="371"/>
      <c r="F17" s="372"/>
      <c r="G17" s="411"/>
      <c r="H17" s="412"/>
      <c r="I17" s="412"/>
      <c r="J17" s="412"/>
      <c r="K17" s="412"/>
      <c r="L17" s="419" t="str">
        <f>IF(AND('Mapa final'!$Q$24="Muy Alta",'Mapa final'!$U$24="Leve"),CONCATENATE("R",'Mapa final'!$A$24),"")</f>
        <v/>
      </c>
      <c r="M17" s="416"/>
      <c r="N17" s="416" t="str">
        <f>IF(AND('Mapa final'!$L$25="Muy Alta",'Mapa final'!$P$25="Leve"),CONCATENATE("R",'Mapa final'!$A$25),"")</f>
        <v/>
      </c>
      <c r="O17" s="416"/>
      <c r="P17" s="416" t="str">
        <f>IF(AND('Mapa final'!$L$26="Muy Alta",'Mapa final'!$P$26="Leve"),CONCATENATE("R",'Mapa final'!$A$26),"")</f>
        <v/>
      </c>
      <c r="Q17" s="424"/>
      <c r="R17" s="419" t="str">
        <f>IF(AND('Mapa final'!$Q$24="Muy Alta",'Mapa final'!$U$24="Menor"),CONCATENATE("R",'Mapa final'!$A$24),"")</f>
        <v/>
      </c>
      <c r="S17" s="416"/>
      <c r="T17" s="416" t="str">
        <f>IF(AND('Mapa final'!$Q$25="Muy Alta",'Mapa final'!$U$25="Menor"),CONCATENATE("R",'Mapa final'!$A$25),"")</f>
        <v/>
      </c>
      <c r="U17" s="416"/>
      <c r="V17" s="416" t="str">
        <f>IF(AND('Mapa final'!$Q$26="Muy Alta",'Mapa final'!$U$26="Menor"),CONCATENATE("R",'Mapa final'!$A$26),"")</f>
        <v/>
      </c>
      <c r="W17" s="416"/>
      <c r="X17" s="419" t="str">
        <f>IF(AND('Mapa final'!$Q$24="Muy Alta",'Mapa final'!$U$24="Moderado"),CONCATENATE("R",'Mapa final'!$A$24),"")</f>
        <v/>
      </c>
      <c r="Y17" s="416"/>
      <c r="Z17" s="416" t="str">
        <f>IF(AND('Mapa final'!$Q$25="Muy Alta",'Mapa final'!$U$25="Moderado"),CONCATENATE("R",'Mapa final'!$A$25),"")</f>
        <v/>
      </c>
      <c r="AA17" s="416"/>
      <c r="AB17" s="416" t="str">
        <f>IF(AND('Mapa final'!$Q$26="Muy Alta",'Mapa final'!$U$26="Moderado"),CONCATENATE("R",'Mapa final'!$A$26),"")</f>
        <v/>
      </c>
      <c r="AC17" s="416"/>
      <c r="AD17" s="419" t="str">
        <f>IF(AND('Mapa final'!$Q$24="Muy Alta",'Mapa final'!$U$24="Mayor"),CONCATENATE("R",'Mapa final'!$A$24),"")</f>
        <v/>
      </c>
      <c r="AE17" s="416"/>
      <c r="AF17" s="416" t="str">
        <f>IF(AND('Mapa final'!$Q$25="Muy Alta",'Mapa final'!$U$25="Mayor"),CONCATENATE("R",'Mapa final'!$A$25),"")</f>
        <v/>
      </c>
      <c r="AG17" s="416"/>
      <c r="AH17" s="416" t="str">
        <f>IF(AND('Mapa final'!$Q$26="Muy Alta",'Mapa final'!$U$26="Mayor"),CONCATENATE("R",'Mapa final'!$A$26),"")</f>
        <v/>
      </c>
      <c r="AI17" s="416"/>
      <c r="AJ17" s="432" t="str">
        <f>IF(AND('Mapa final'!$Q$24="Muy Alta",'Mapa final'!$U$24="Catastrófico"),CONCATENATE("R",'Mapa final'!$A$24),"")</f>
        <v/>
      </c>
      <c r="AK17" s="433"/>
      <c r="AL17" s="433" t="str">
        <f>IF(AND('Mapa final'!$Q$25="Muy Alta",'Mapa final'!$U$25="Catastrófico"),CONCATENATE("R",'Mapa final'!$A$25),"")</f>
        <v/>
      </c>
      <c r="AM17" s="433"/>
      <c r="AN17" s="433" t="str">
        <f>IF(AND('Mapa final'!$Q$26="Muy Alta",'Mapa final'!$U$26="Catastrófico"),CONCATENATE("R",'Mapa final'!$A$26),"")</f>
        <v/>
      </c>
      <c r="AO17" s="434"/>
      <c r="AP17" s="69"/>
      <c r="AQ17" s="376"/>
      <c r="AR17" s="377"/>
      <c r="AS17" s="377"/>
      <c r="AT17" s="377"/>
      <c r="AU17" s="377"/>
      <c r="AV17" s="378"/>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71"/>
      <c r="E18" s="371"/>
      <c r="F18" s="372"/>
      <c r="G18" s="413"/>
      <c r="H18" s="414"/>
      <c r="I18" s="414"/>
      <c r="J18" s="414"/>
      <c r="K18" s="414"/>
      <c r="L18" s="430"/>
      <c r="M18" s="425"/>
      <c r="N18" s="425"/>
      <c r="O18" s="425"/>
      <c r="P18" s="425"/>
      <c r="Q18" s="426"/>
      <c r="R18" s="430"/>
      <c r="S18" s="425"/>
      <c r="T18" s="425"/>
      <c r="U18" s="425"/>
      <c r="V18" s="425"/>
      <c r="W18" s="425"/>
      <c r="X18" s="419"/>
      <c r="Y18" s="416"/>
      <c r="Z18" s="416"/>
      <c r="AA18" s="416"/>
      <c r="AB18" s="416"/>
      <c r="AC18" s="416"/>
      <c r="AD18" s="419"/>
      <c r="AE18" s="416"/>
      <c r="AF18" s="416"/>
      <c r="AG18" s="416"/>
      <c r="AH18" s="416"/>
      <c r="AI18" s="416"/>
      <c r="AJ18" s="432"/>
      <c r="AK18" s="433"/>
      <c r="AL18" s="433"/>
      <c r="AM18" s="433"/>
      <c r="AN18" s="433"/>
      <c r="AO18" s="434"/>
      <c r="AP18" s="69"/>
      <c r="AQ18" s="379"/>
      <c r="AR18" s="380"/>
      <c r="AS18" s="380"/>
      <c r="AT18" s="380"/>
      <c r="AU18" s="380"/>
      <c r="AV18" s="381"/>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71"/>
      <c r="E19" s="371"/>
      <c r="F19" s="372"/>
      <c r="G19" s="409" t="s">
        <v>114</v>
      </c>
      <c r="H19" s="410"/>
      <c r="I19" s="410"/>
      <c r="J19" s="410"/>
      <c r="K19" s="410"/>
      <c r="L19" s="445" t="str">
        <f>IF(AND('Mapa final'!$Q$15="Alta",'Mapa final'!$U$15="Leve"),CONCATENATE("R",'Mapa final'!$A$15),"")</f>
        <v/>
      </c>
      <c r="M19" s="446"/>
      <c r="N19" s="446" t="str">
        <f>IF(AND('Mapa final'!$L$16="Alta",'Mapa final'!$P$16="Leve"),CONCATENATE("R",'Mapa final'!$A$16),"")</f>
        <v/>
      </c>
      <c r="O19" s="446"/>
      <c r="P19" s="446" t="str">
        <f>IF(AND('Mapa final'!$L$17="Alta",'Mapa final'!$P$17="Leve"),CONCATENATE("R",'Mapa final'!$A$17),"")</f>
        <v/>
      </c>
      <c r="Q19" s="447"/>
      <c r="R19" s="445" t="str">
        <f>IF(AND('Mapa final'!$Q$15="Alta",'Mapa final'!$U$15="Menor"),CONCATENATE("R",'Mapa final'!$A$15),"")</f>
        <v/>
      </c>
      <c r="S19" s="446"/>
      <c r="T19" s="428" t="str">
        <f>IF(AND('Mapa final'!$Q$16="Alta",'Mapa final'!$U$16="Menor"),CONCATENATE("R",'Mapa final'!$A$16),"")</f>
        <v/>
      </c>
      <c r="U19" s="428"/>
      <c r="V19" s="428" t="str">
        <f>IF(AND('Mapa final'!$Q$17="Alta",'Mapa final'!$U$17="Menor"),CONCATENATE("R",'Mapa final'!$A$17),"")</f>
        <v/>
      </c>
      <c r="W19" s="428"/>
      <c r="X19" s="417" t="str">
        <f>IF(AND('Mapa final'!$Q$15="Alta",'Mapa final'!$U$15="Moderado"),CONCATENATE("R",'Mapa final'!$D$15),"")</f>
        <v>R1</v>
      </c>
      <c r="Y19" s="418"/>
      <c r="Z19" s="418" t="str">
        <f>IF(AND('Mapa final'!Q$16="Alta",'Mapa final'!$U$16="Moderado"),CONCATENATE("R",'Mapa final'!$A$16),"")</f>
        <v/>
      </c>
      <c r="AA19" s="418"/>
      <c r="AB19" s="418" t="str">
        <f>IF(AND('Mapa final'!$Q$17="Alta",'Mapa final'!$U$17="Moderado"),CONCATENATE("R",'Mapa final'!$A$17),"")</f>
        <v/>
      </c>
      <c r="AC19" s="418"/>
      <c r="AD19" s="417" t="str">
        <f>IF(AND('Mapa final'!$Q$15="Alta",'Mapa final'!$U$15="Mayor"),CONCATENATE("R",'Mapa final'!$A$15),"")</f>
        <v/>
      </c>
      <c r="AE19" s="418"/>
      <c r="AF19" s="418" t="str">
        <f>IF(AND('Mapa final'!$Q$16="Alta",'Mapa final'!$U$16="Mayor"),CONCATENATE("R",'Mapa final'!$A$16),"")</f>
        <v/>
      </c>
      <c r="AG19" s="418"/>
      <c r="AH19" s="418" t="str">
        <f>IF(AND('Mapa final'!$Q$17="Alta",'Mapa final'!$U$17="Mayor"),CONCATENATE("R",'Mapa final'!$A$17),"")</f>
        <v/>
      </c>
      <c r="AI19" s="418"/>
      <c r="AJ19" s="435" t="str">
        <f>IF(AND('Mapa final'!$Q$15="Alta",'Mapa final'!$U$15="Catastrófico"),CONCATENATE("R",'Mapa final'!$A$15),"")</f>
        <v/>
      </c>
      <c r="AK19" s="436"/>
      <c r="AL19" s="436" t="str">
        <f>IF(AND('Mapa final'!$Q$16="Alta",'Mapa final'!$U$16="Catastrófico"),CONCATENATE("R",'Mapa final'!$A$16),"")</f>
        <v/>
      </c>
      <c r="AM19" s="436"/>
      <c r="AN19" s="436" t="str">
        <f>IF(AND('Mapa final'!$Q$17="Alta",'Mapa final'!$U$17="Catastrófico"),CONCATENATE("R",'Mapa final'!$A$17),"")</f>
        <v/>
      </c>
      <c r="AO19" s="437"/>
      <c r="AP19" s="69"/>
      <c r="AQ19" s="382" t="s">
        <v>79</v>
      </c>
      <c r="AR19" s="383"/>
      <c r="AS19" s="383"/>
      <c r="AT19" s="383"/>
      <c r="AU19" s="383"/>
      <c r="AV19" s="384"/>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71"/>
      <c r="E20" s="371"/>
      <c r="F20" s="372"/>
      <c r="G20" s="411"/>
      <c r="H20" s="412"/>
      <c r="I20" s="412"/>
      <c r="J20" s="412"/>
      <c r="K20" s="412"/>
      <c r="L20" s="427"/>
      <c r="M20" s="428"/>
      <c r="N20" s="428"/>
      <c r="O20" s="428"/>
      <c r="P20" s="428"/>
      <c r="Q20" s="441"/>
      <c r="R20" s="427"/>
      <c r="S20" s="428"/>
      <c r="T20" s="428"/>
      <c r="U20" s="428"/>
      <c r="V20" s="428"/>
      <c r="W20" s="428"/>
      <c r="X20" s="419"/>
      <c r="Y20" s="416"/>
      <c r="Z20" s="416"/>
      <c r="AA20" s="416"/>
      <c r="AB20" s="416"/>
      <c r="AC20" s="416"/>
      <c r="AD20" s="419"/>
      <c r="AE20" s="416"/>
      <c r="AF20" s="416"/>
      <c r="AG20" s="416"/>
      <c r="AH20" s="416"/>
      <c r="AI20" s="416"/>
      <c r="AJ20" s="432"/>
      <c r="AK20" s="433"/>
      <c r="AL20" s="433"/>
      <c r="AM20" s="433"/>
      <c r="AN20" s="433"/>
      <c r="AO20" s="434"/>
      <c r="AP20" s="69"/>
      <c r="AQ20" s="385"/>
      <c r="AR20" s="386"/>
      <c r="AS20" s="386"/>
      <c r="AT20" s="386"/>
      <c r="AU20" s="386"/>
      <c r="AV20" s="387"/>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71"/>
      <c r="E21" s="371"/>
      <c r="F21" s="372"/>
      <c r="G21" s="411"/>
      <c r="H21" s="412"/>
      <c r="I21" s="412"/>
      <c r="J21" s="412"/>
      <c r="K21" s="412"/>
      <c r="L21" s="427" t="str">
        <f>IF(AND('Mapa final'!$Q$18="Alta",'Mapa final'!$U$18="Leve"),CONCATENATE("R",'Mapa final'!$A$18),"")</f>
        <v/>
      </c>
      <c r="M21" s="428"/>
      <c r="N21" s="428" t="str">
        <f>IF(AND('Mapa final'!$L$19="Alta",'Mapa final'!$P$19="Leve"),CONCATENATE("R",'Mapa final'!$A$19),"")</f>
        <v/>
      </c>
      <c r="O21" s="428"/>
      <c r="P21" s="428" t="str">
        <f>IF(AND('Mapa final'!$L$20="Alta",'Mapa final'!$P$20="Leve"),CONCATENATE("R",'Mapa final'!$A$20),"")</f>
        <v/>
      </c>
      <c r="Q21" s="441"/>
      <c r="R21" s="427" t="str">
        <f>IF(AND('Mapa final'!$Q$18="Alta",'Mapa final'!$U$18="Menor"),CONCATENATE("R",'Mapa final'!$A$18),"")</f>
        <v/>
      </c>
      <c r="S21" s="428"/>
      <c r="T21" s="428" t="str">
        <f>IF(AND('Mapa final'!$Q$19="Alta",'Mapa final'!$U$19="Menor"),CONCATENATE("R",'Mapa final'!$A$19),"")</f>
        <v/>
      </c>
      <c r="U21" s="428"/>
      <c r="V21" s="428" t="str">
        <f>IF(AND('Mapa final'!$Q$20="Alta",'Mapa final'!$U$20="Menor"),CONCATENATE("R",'Mapa final'!$A$20),"")</f>
        <v/>
      </c>
      <c r="W21" s="428"/>
      <c r="X21" s="419" t="str">
        <f>IF(AND('Mapa final'!$Q$18="Alta",'Mapa final'!$U$18="Moderado"),CONCATENATE("R",'Mapa final'!$A$18),"")</f>
        <v/>
      </c>
      <c r="Y21" s="416"/>
      <c r="Z21" s="416" t="str">
        <f>IF(AND('Mapa final'!$Q$19="Alta",'Mapa final'!$U$19="Moderado"),CONCATENATE("R",'Mapa final'!$A$19),"")</f>
        <v/>
      </c>
      <c r="AA21" s="416"/>
      <c r="AB21" s="416" t="str">
        <f>IF(AND('Mapa final'!$Q$20="Alta",'Mapa final'!$U$20="Moderado"),CONCATENATE("R",'Mapa final'!$A$20),"")</f>
        <v/>
      </c>
      <c r="AC21" s="416"/>
      <c r="AD21" s="419" t="str">
        <f>IF(AND('Mapa final'!$Q$18="Alta",'Mapa final'!$U$18="Mayor"),CONCATENATE("R",'Mapa final'!$A$18),"")</f>
        <v/>
      </c>
      <c r="AE21" s="416"/>
      <c r="AF21" s="416" t="str">
        <f>IF(AND('Mapa final'!$Q$19="Alta",'Mapa final'!$U$19="Mayor"),CONCATENATE("R",'Mapa final'!$A$19),"")</f>
        <v/>
      </c>
      <c r="AG21" s="416"/>
      <c r="AH21" s="416" t="str">
        <f>IF(AND('Mapa final'!$Q$20="Alta",'Mapa final'!$U$20="Mayor"),CONCATENATE("R",'Mapa final'!$A$20),"")</f>
        <v/>
      </c>
      <c r="AI21" s="416"/>
      <c r="AJ21" s="432" t="str">
        <f>IF(AND('Mapa final'!$Q$18="Alta",'Mapa final'!$U$18="Catastrófico"),CONCATENATE("R",'Mapa final'!$A$18),"")</f>
        <v/>
      </c>
      <c r="AK21" s="433"/>
      <c r="AL21" s="433" t="str">
        <f>IF(AND('Mapa final'!$Q$19="Alta",'Mapa final'!$U$19="Catastrófico"),CONCATENATE("R",'Mapa final'!$A$19),"")</f>
        <v/>
      </c>
      <c r="AM21" s="433"/>
      <c r="AN21" s="433" t="str">
        <f>IF(AND('Mapa final'!$Q$20="Alta",'Mapa final'!$L$20="Catastrófico"),CONCATENATE("R",'Mapa final'!$A$20),"")</f>
        <v/>
      </c>
      <c r="AO21" s="434"/>
      <c r="AP21" s="69"/>
      <c r="AQ21" s="385"/>
      <c r="AR21" s="386"/>
      <c r="AS21" s="386"/>
      <c r="AT21" s="386"/>
      <c r="AU21" s="386"/>
      <c r="AV21" s="387"/>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71"/>
      <c r="E22" s="371"/>
      <c r="F22" s="372"/>
      <c r="G22" s="411"/>
      <c r="H22" s="412"/>
      <c r="I22" s="412"/>
      <c r="J22" s="412"/>
      <c r="K22" s="412"/>
      <c r="L22" s="427"/>
      <c r="M22" s="428"/>
      <c r="N22" s="428"/>
      <c r="O22" s="428"/>
      <c r="P22" s="428"/>
      <c r="Q22" s="441"/>
      <c r="R22" s="427"/>
      <c r="S22" s="428"/>
      <c r="T22" s="428"/>
      <c r="U22" s="428"/>
      <c r="V22" s="428"/>
      <c r="W22" s="428"/>
      <c r="X22" s="419"/>
      <c r="Y22" s="416"/>
      <c r="Z22" s="416"/>
      <c r="AA22" s="416"/>
      <c r="AB22" s="416"/>
      <c r="AC22" s="416"/>
      <c r="AD22" s="419"/>
      <c r="AE22" s="416"/>
      <c r="AF22" s="416"/>
      <c r="AG22" s="416"/>
      <c r="AH22" s="416"/>
      <c r="AI22" s="416"/>
      <c r="AJ22" s="432"/>
      <c r="AK22" s="433"/>
      <c r="AL22" s="433"/>
      <c r="AM22" s="433"/>
      <c r="AN22" s="433"/>
      <c r="AO22" s="434"/>
      <c r="AP22" s="69"/>
      <c r="AQ22" s="385"/>
      <c r="AR22" s="386"/>
      <c r="AS22" s="386"/>
      <c r="AT22" s="386"/>
      <c r="AU22" s="386"/>
      <c r="AV22" s="387"/>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71"/>
      <c r="E23" s="371"/>
      <c r="F23" s="372"/>
      <c r="G23" s="411"/>
      <c r="H23" s="412"/>
      <c r="I23" s="412"/>
      <c r="J23" s="412"/>
      <c r="K23" s="412"/>
      <c r="L23" s="427" t="str">
        <f>IF(AND('Mapa final'!$Q$21="Alta",'Mapa final'!$U$21="Leve"),CONCATENATE("R",'Mapa final'!$A$21),"")</f>
        <v/>
      </c>
      <c r="M23" s="428"/>
      <c r="N23" s="428" t="str">
        <f>IF(AND('Mapa final'!$L$22="Alta",'Mapa final'!$P$22="Leve"),CONCATENATE("R",'Mapa final'!$A$22),"")</f>
        <v/>
      </c>
      <c r="O23" s="428"/>
      <c r="P23" s="428" t="str">
        <f>IF(AND('Mapa final'!$L$23="Alta",'Mapa final'!$P$23="Leve"),CONCATENATE("R",'Mapa final'!$A$23),"")</f>
        <v/>
      </c>
      <c r="Q23" s="441"/>
      <c r="R23" s="427" t="str">
        <f>IF(AND('Mapa final'!$Q$21="Alta",'Mapa final'!$U$21="Menor"),CONCATENATE("R",'Mapa final'!$A$21),"")</f>
        <v/>
      </c>
      <c r="S23" s="428"/>
      <c r="T23" s="428" t="str">
        <f>IF(AND('Mapa final'!$LR$22="Alta",'Mapa final'!$U$22="Menor"),CONCATENATE("R",'Mapa final'!$A$22),"")</f>
        <v/>
      </c>
      <c r="U23" s="428"/>
      <c r="V23" s="428" t="str">
        <f>IF(AND('Mapa final'!$Q$23="Alta",'Mapa final'!$U$23="Menor"),CONCATENATE("R",'Mapa final'!$A$23),"")</f>
        <v/>
      </c>
      <c r="W23" s="428"/>
      <c r="X23" s="419" t="str">
        <f>IF(AND('Mapa final'!$Q$21="Alta",'Mapa final'!$U$21="Moderado"),CONCATENATE("R",'Mapa final'!$A$21),"")</f>
        <v/>
      </c>
      <c r="Y23" s="416"/>
      <c r="Z23" s="416" t="str">
        <f>IF(AND('Mapa final'!$Q$22="Alta",'Mapa final'!$U$22="Moderado"),CONCATENATE("R",'Mapa final'!$A$22),"")</f>
        <v/>
      </c>
      <c r="AA23" s="416"/>
      <c r="AB23" s="416" t="str">
        <f>IF(AND('Mapa final'!$Q$23="Alta",'Mapa final'!$U$23="Moderado"),CONCATENATE("R",'Mapa final'!$A$23),"")</f>
        <v/>
      </c>
      <c r="AC23" s="416"/>
      <c r="AD23" s="419" t="str">
        <f>IF(AND('Mapa final'!$Q$21="Alta",'Mapa final'!$U$21="Mayor"),CONCATENATE("R",'Mapa final'!$A$21),"")</f>
        <v/>
      </c>
      <c r="AE23" s="416"/>
      <c r="AF23" s="416" t="str">
        <f>IF(AND('Mapa final'!$Q$22="Alta",'Mapa final'!$U$22="Mayor"),CONCATENATE("R",'Mapa final'!$A$22),"")</f>
        <v/>
      </c>
      <c r="AG23" s="416"/>
      <c r="AH23" s="416" t="str">
        <f>IF(AND('Mapa final'!$Q$23="Alta",'Mapa final'!$U$23="Mayor"),CONCATENATE("R",'Mapa final'!$A$23),"")</f>
        <v/>
      </c>
      <c r="AI23" s="416"/>
      <c r="AJ23" s="432" t="str">
        <f>IF(AND('Mapa final'!$Q$21="Alta",'Mapa final'!$U$21="Catastrófico"),CONCATENATE("R",'Mapa final'!$A$21),"")</f>
        <v/>
      </c>
      <c r="AK23" s="433"/>
      <c r="AL23" s="433" t="str">
        <f>IF(AND('Mapa final'!$Q$22="Alta",'Mapa final'!$U$22="Catastrófico"),CONCATENATE("R",'Mapa final'!$A$22),"")</f>
        <v/>
      </c>
      <c r="AM23" s="433"/>
      <c r="AN23" s="433" t="str">
        <f>IF(AND('Mapa final'!$Q$23="Alta",'Mapa final'!$U$23="Catastrófico"),CONCATENATE("R",'Mapa final'!$A$23),"")</f>
        <v/>
      </c>
      <c r="AO23" s="434"/>
      <c r="AP23" s="69"/>
      <c r="AQ23" s="385"/>
      <c r="AR23" s="386"/>
      <c r="AS23" s="386"/>
      <c r="AT23" s="386"/>
      <c r="AU23" s="386"/>
      <c r="AV23" s="387"/>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71"/>
      <c r="E24" s="371"/>
      <c r="F24" s="372"/>
      <c r="G24" s="411"/>
      <c r="H24" s="412"/>
      <c r="I24" s="412"/>
      <c r="J24" s="412"/>
      <c r="K24" s="412"/>
      <c r="L24" s="427"/>
      <c r="M24" s="428"/>
      <c r="N24" s="428"/>
      <c r="O24" s="428"/>
      <c r="P24" s="428"/>
      <c r="Q24" s="441"/>
      <c r="R24" s="427"/>
      <c r="S24" s="428"/>
      <c r="T24" s="428"/>
      <c r="U24" s="428"/>
      <c r="V24" s="428"/>
      <c r="W24" s="428"/>
      <c r="X24" s="419"/>
      <c r="Y24" s="416"/>
      <c r="Z24" s="416"/>
      <c r="AA24" s="416"/>
      <c r="AB24" s="416"/>
      <c r="AC24" s="416"/>
      <c r="AD24" s="419"/>
      <c r="AE24" s="416"/>
      <c r="AF24" s="416"/>
      <c r="AG24" s="416"/>
      <c r="AH24" s="416"/>
      <c r="AI24" s="416"/>
      <c r="AJ24" s="432"/>
      <c r="AK24" s="433"/>
      <c r="AL24" s="433"/>
      <c r="AM24" s="433"/>
      <c r="AN24" s="433"/>
      <c r="AO24" s="434"/>
      <c r="AP24" s="69"/>
      <c r="AQ24" s="385"/>
      <c r="AR24" s="386"/>
      <c r="AS24" s="386"/>
      <c r="AT24" s="386"/>
      <c r="AU24" s="386"/>
      <c r="AV24" s="387"/>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71"/>
      <c r="E25" s="371"/>
      <c r="F25" s="372"/>
      <c r="G25" s="411"/>
      <c r="H25" s="412"/>
      <c r="I25" s="412"/>
      <c r="J25" s="412"/>
      <c r="K25" s="412"/>
      <c r="L25" s="427" t="str">
        <f>IF(AND('Mapa final'!$Q$24="Alta",'Mapa final'!$U$24="Leve"),CONCATENATE("R",'Mapa final'!$A$24),"")</f>
        <v/>
      </c>
      <c r="M25" s="428"/>
      <c r="N25" s="428" t="str">
        <f>IF(AND('Mapa final'!$L$25="Alta",'Mapa final'!$P$25="Leve"),CONCATENATE("R",'Mapa final'!$A$25),"")</f>
        <v/>
      </c>
      <c r="O25" s="428"/>
      <c r="P25" s="428" t="str">
        <f>IF(AND('Mapa final'!$L$26="Alta",'Mapa final'!$P$26="Leve"),CONCATENATE("R",'Mapa final'!$A$26),"")</f>
        <v/>
      </c>
      <c r="Q25" s="441"/>
      <c r="R25" s="427" t="str">
        <f>IF(AND('Mapa final'!$Q$24="Alta",'Mapa final'!$U$24="Menor"),CONCATENATE("R",'Mapa final'!$A$24),"")</f>
        <v/>
      </c>
      <c r="S25" s="428"/>
      <c r="T25" s="428" t="str">
        <f>IF(AND('Mapa final'!$Q$25="Alta",'Mapa final'!$U$25="Menor"),CONCATENATE("R",'Mapa final'!$A$25),"")</f>
        <v/>
      </c>
      <c r="U25" s="428"/>
      <c r="V25" s="428" t="str">
        <f>IF(AND('Mapa final'!$Q$26="Alta",'Mapa final'!$U$26="Menor"),CONCATENATE("R",'Mapa final'!$A$26),"")</f>
        <v/>
      </c>
      <c r="W25" s="428"/>
      <c r="X25" s="419" t="str">
        <f>IF(AND('Mapa final'!$Q$24="Alta",'Mapa final'!$U$24="Moderado"),CONCATENATE("R",'Mapa final'!$A$24),"")</f>
        <v/>
      </c>
      <c r="Y25" s="416"/>
      <c r="Z25" s="416" t="str">
        <f>IF(AND('Mapa final'!$Q$25="Alta",'Mapa final'!$U$25="Moderado"),CONCATENATE("R",'Mapa final'!$A$25),"")</f>
        <v/>
      </c>
      <c r="AA25" s="416"/>
      <c r="AB25" s="416" t="str">
        <f>IF(AND('Mapa final'!$Q$26="Alta",'Mapa final'!$U$26="Moderado"),CONCATENATE("R",'Mapa final'!$A$26),"")</f>
        <v/>
      </c>
      <c r="AC25" s="416"/>
      <c r="AD25" s="419" t="str">
        <f>IF(AND('Mapa final'!$Q$24="Alta",'Mapa final'!$U$24="Mayor"),CONCATENATE("R",'Mapa final'!$A$24),"")</f>
        <v/>
      </c>
      <c r="AE25" s="416"/>
      <c r="AF25" s="416" t="str">
        <f>IF(AND('Mapa final'!$Q$25="Alta",'Mapa final'!$U$25="Mayor"),CONCATENATE("R",'Mapa final'!$A$25),"")</f>
        <v/>
      </c>
      <c r="AG25" s="416"/>
      <c r="AH25" s="416" t="str">
        <f>IF(AND('Mapa final'!$Q$26="Alta",'Mapa final'!$U$26="Mayor"),CONCATENATE("R",'Mapa final'!$A$26),"")</f>
        <v/>
      </c>
      <c r="AI25" s="416"/>
      <c r="AJ25" s="432" t="str">
        <f>IF(AND('Mapa final'!$Q$24="Alta",'Mapa final'!$U$24="Catastrófico"),CONCATENATE("R",'Mapa final'!$A$24),"")</f>
        <v/>
      </c>
      <c r="AK25" s="433"/>
      <c r="AL25" s="433" t="str">
        <f>IF(AND('Mapa final'!$Q$25="Alta",'Mapa final'!$U$25="Catastrófico"),CONCATENATE("R",'Mapa final'!$A$25),"")</f>
        <v/>
      </c>
      <c r="AM25" s="433"/>
      <c r="AN25" s="433" t="str">
        <f>IF(AND('Mapa final'!$Q$26="Alta",'Mapa final'!$U$26="Catastrófico"),CONCATENATE("R",'Mapa final'!$A$26),"")</f>
        <v/>
      </c>
      <c r="AO25" s="434"/>
      <c r="AP25" s="69"/>
      <c r="AQ25" s="385"/>
      <c r="AR25" s="386"/>
      <c r="AS25" s="386"/>
      <c r="AT25" s="386"/>
      <c r="AU25" s="386"/>
      <c r="AV25" s="387"/>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71"/>
      <c r="E26" s="371"/>
      <c r="F26" s="372"/>
      <c r="G26" s="413"/>
      <c r="H26" s="414"/>
      <c r="I26" s="414"/>
      <c r="J26" s="414"/>
      <c r="K26" s="414"/>
      <c r="L26" s="442"/>
      <c r="M26" s="443"/>
      <c r="N26" s="443"/>
      <c r="O26" s="443"/>
      <c r="P26" s="443"/>
      <c r="Q26" s="444"/>
      <c r="R26" s="442"/>
      <c r="S26" s="443"/>
      <c r="T26" s="428"/>
      <c r="U26" s="428"/>
      <c r="V26" s="428"/>
      <c r="W26" s="428"/>
      <c r="X26" s="419"/>
      <c r="Y26" s="416"/>
      <c r="Z26" s="416"/>
      <c r="AA26" s="416"/>
      <c r="AB26" s="416"/>
      <c r="AC26" s="416"/>
      <c r="AD26" s="419"/>
      <c r="AE26" s="416"/>
      <c r="AF26" s="416"/>
      <c r="AG26" s="416"/>
      <c r="AH26" s="416"/>
      <c r="AI26" s="416"/>
      <c r="AJ26" s="432"/>
      <c r="AK26" s="433"/>
      <c r="AL26" s="433"/>
      <c r="AM26" s="433"/>
      <c r="AN26" s="433"/>
      <c r="AO26" s="434"/>
      <c r="AP26" s="69"/>
      <c r="AQ26" s="388"/>
      <c r="AR26" s="389"/>
      <c r="AS26" s="389"/>
      <c r="AT26" s="389"/>
      <c r="AU26" s="389"/>
      <c r="AV26" s="390"/>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71"/>
      <c r="E27" s="371"/>
      <c r="F27" s="372"/>
      <c r="G27" s="409" t="s">
        <v>116</v>
      </c>
      <c r="H27" s="410"/>
      <c r="I27" s="410"/>
      <c r="J27" s="410"/>
      <c r="K27" s="410"/>
      <c r="L27" s="445" t="str">
        <f>IF(AND('Mapa final'!$Q$15="Media",'Mapa final'!$U$15="Leve"),CONCATENATE("R",'Mapa final'!$A$15),"")</f>
        <v/>
      </c>
      <c r="M27" s="446"/>
      <c r="N27" s="446" t="str">
        <f>IF(AND('Mapa final'!$L$16="Media",'Mapa final'!$P$16="Leve"),CONCATENATE("R",'Mapa final'!$A$16),"")</f>
        <v/>
      </c>
      <c r="O27" s="446"/>
      <c r="P27" s="446" t="str">
        <f>IF(AND('Mapa final'!$Q$17="Media",'Mapa final'!$U$17="leve"),CONCATENATE("R",'Mapa final'!$D$17),"")</f>
        <v/>
      </c>
      <c r="Q27" s="447"/>
      <c r="R27" s="445" t="str">
        <f>IF(AND('Mapa final'!$Q$15="Media",'Mapa final'!$U$15="Menor"),CONCATENATE("R",'Mapa final'!$A$15),"")</f>
        <v/>
      </c>
      <c r="S27" s="446"/>
      <c r="T27" s="446" t="str">
        <f>IF(AND('Mapa final'!$Q$16="Media",'Mapa final'!$U$16="Menor"),CONCATENATE("R",'Mapa final'!$A$16),"")</f>
        <v/>
      </c>
      <c r="U27" s="446"/>
      <c r="V27" s="446" t="str">
        <f>IF(AND('Mapa final'!$Q$17="Media",'Mapa final'!$U$17="Menor"),CONCATENATE("R",'Mapa final'!$A$17),"")</f>
        <v/>
      </c>
      <c r="W27" s="446"/>
      <c r="X27" s="445" t="str">
        <f>IF(AND('Mapa final'!$Q$15="Media",'Mapa final'!$U$15="Moderado"),CONCATENATE("R",'Mapa final'!$A$15),"")</f>
        <v/>
      </c>
      <c r="Y27" s="446"/>
      <c r="Z27" s="446" t="str">
        <f>IF(AND('Mapa final'!Q$16="Media",'Mapa final'!$U$16="Moderado"),CONCATENATE("R",'Mapa final'!$A$16),"")</f>
        <v/>
      </c>
      <c r="AA27" s="446"/>
      <c r="AB27" s="446" t="str">
        <f>IF(AND('Mapa final'!$Q$17="Media",'Mapa final'!$U$17="Moderado"),CONCATENATE("R",'Mapa final'!$A$17),"")</f>
        <v/>
      </c>
      <c r="AC27" s="446"/>
      <c r="AD27" s="417" t="str">
        <f>IF(AND('Mapa final'!$Q$15="Media",'Mapa final'!$U$15="Mayor"),CONCATENATE("R",'Mapa final'!$D$15),"")</f>
        <v/>
      </c>
      <c r="AE27" s="418"/>
      <c r="AF27" s="418" t="str">
        <f>IF(AND('Mapa final'!$Q$16="Media",'Mapa final'!$U$16="Mayor"),CONCATENATE("R",'Mapa final'!$D$16),"")</f>
        <v>R2</v>
      </c>
      <c r="AG27" s="418"/>
      <c r="AH27" s="418" t="str">
        <f>IF(AND('Mapa final'!$Q$17="Media",'Mapa final'!$U$17="Mayor"),CONCATENATE("R",'Mapa final'!$A$17),"")</f>
        <v/>
      </c>
      <c r="AI27" s="418"/>
      <c r="AJ27" s="435" t="str">
        <f>IF(AND('Mapa final'!$Q$15="Media",'Mapa final'!$U$15="Catastrófico"),CONCATENATE("R",'Mapa final'!$A$15),"")</f>
        <v/>
      </c>
      <c r="AK27" s="436"/>
      <c r="AL27" s="436" t="str">
        <f>IF(AND('Mapa final'!$Q$16="Media",'Mapa final'!$U$16="Catastrófico"),CONCATENATE("R",'Mapa final'!$A$16),"")</f>
        <v/>
      </c>
      <c r="AM27" s="436"/>
      <c r="AN27" s="436" t="str">
        <f>IF(AND('Mapa final'!$Q$17="Media",'Mapa final'!$U$17="Catastrófico"),CONCATENATE("R",'Mapa final'!$D$17),"")</f>
        <v>R3</v>
      </c>
      <c r="AO27" s="437"/>
      <c r="AP27" s="69"/>
      <c r="AQ27" s="391" t="s">
        <v>80</v>
      </c>
      <c r="AR27" s="392"/>
      <c r="AS27" s="392"/>
      <c r="AT27" s="392"/>
      <c r="AU27" s="392"/>
      <c r="AV27" s="393"/>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71"/>
      <c r="E28" s="371"/>
      <c r="F28" s="372"/>
      <c r="G28" s="411"/>
      <c r="H28" s="412"/>
      <c r="I28" s="412"/>
      <c r="J28" s="412"/>
      <c r="K28" s="412"/>
      <c r="L28" s="427"/>
      <c r="M28" s="428"/>
      <c r="N28" s="428"/>
      <c r="O28" s="428"/>
      <c r="P28" s="428"/>
      <c r="Q28" s="441"/>
      <c r="R28" s="427"/>
      <c r="S28" s="428"/>
      <c r="T28" s="428"/>
      <c r="U28" s="428"/>
      <c r="V28" s="428"/>
      <c r="W28" s="428"/>
      <c r="X28" s="427"/>
      <c r="Y28" s="428"/>
      <c r="Z28" s="428"/>
      <c r="AA28" s="428"/>
      <c r="AB28" s="428"/>
      <c r="AC28" s="428"/>
      <c r="AD28" s="419"/>
      <c r="AE28" s="416"/>
      <c r="AF28" s="416"/>
      <c r="AG28" s="416"/>
      <c r="AH28" s="416"/>
      <c r="AI28" s="416"/>
      <c r="AJ28" s="432"/>
      <c r="AK28" s="433"/>
      <c r="AL28" s="433"/>
      <c r="AM28" s="433"/>
      <c r="AN28" s="433"/>
      <c r="AO28" s="434"/>
      <c r="AP28" s="69"/>
      <c r="AQ28" s="394"/>
      <c r="AR28" s="395"/>
      <c r="AS28" s="395"/>
      <c r="AT28" s="395"/>
      <c r="AU28" s="395"/>
      <c r="AV28" s="396"/>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71"/>
      <c r="E29" s="371"/>
      <c r="F29" s="372"/>
      <c r="G29" s="411"/>
      <c r="H29" s="412"/>
      <c r="I29" s="412"/>
      <c r="J29" s="412"/>
      <c r="K29" s="412"/>
      <c r="L29" s="427" t="str">
        <f>IF(AND('Mapa final'!$Q$18="Media",'Mapa final'!$U$18="Leve"),CONCATENATE("R",'Mapa final'!$A$18),"")</f>
        <v/>
      </c>
      <c r="M29" s="428"/>
      <c r="N29" s="428" t="str">
        <f>IF(AND('Mapa final'!$L$19="Media",'Mapa final'!$P$19="Leve"),CONCATENATE("R",'Mapa final'!$A$19),"")</f>
        <v/>
      </c>
      <c r="O29" s="428"/>
      <c r="P29" s="428" t="str">
        <f>IF(AND('Mapa final'!$L$20="Media",'Mapa final'!$P$20="Leve"),CONCATENATE("R",'Mapa final'!$A$20),"")</f>
        <v/>
      </c>
      <c r="Q29" s="441"/>
      <c r="R29" s="427" t="str">
        <f>IF(AND('Mapa final'!$Q$18="Media",'Mapa final'!$U$18="Menor"),CONCATENATE("R",'Mapa final'!$A$18),"")</f>
        <v/>
      </c>
      <c r="S29" s="428"/>
      <c r="T29" s="428" t="str">
        <f>IF(AND('Mapa final'!$Q$19="Media",'Mapa final'!$U$19="Menor"),CONCATENATE("R",'Mapa final'!$A$19),"")</f>
        <v/>
      </c>
      <c r="U29" s="428"/>
      <c r="V29" s="428" t="str">
        <f>IF(AND('Mapa final'!$Q$20="Media",'Mapa final'!$U$20="Menor"),CONCATENATE("R",'Mapa final'!$A$20),"")</f>
        <v/>
      </c>
      <c r="W29" s="428"/>
      <c r="X29" s="427" t="str">
        <f>IF(AND('Mapa final'!$Q$18="Media",'Mapa final'!$U$18="Moderado"),CONCATENATE("R",'Mapa final'!$D$18),"")</f>
        <v>R4</v>
      </c>
      <c r="Y29" s="428"/>
      <c r="Z29" s="428" t="str">
        <f>IF(AND('Mapa final'!$Q$19="Media",'Mapa final'!$U$19="Moderado"),CONCATENATE("R",'Mapa final'!$D$19),"")</f>
        <v>R5</v>
      </c>
      <c r="AA29" s="428"/>
      <c r="AB29" s="428" t="str">
        <f>IF(AND('Mapa final'!$Q$20="Media",'Mapa final'!$U$20="Moderado"),CONCATENATE("R",'Mapa final'!$A$20),"")</f>
        <v/>
      </c>
      <c r="AC29" s="428"/>
      <c r="AD29" s="419" t="str">
        <f>IF(AND('Mapa final'!$Q$18="Media",'Mapa final'!$U$18="Mayor"),CONCATENATE("R",'Mapa final'!$A$18),"")</f>
        <v/>
      </c>
      <c r="AE29" s="416"/>
      <c r="AF29" s="416" t="str">
        <f>IF(AND('Mapa final'!$Q$19="Media",'Mapa final'!$U$19="Mayor"),CONCATENATE("R",'Mapa final'!$A$19),"")</f>
        <v/>
      </c>
      <c r="AG29" s="416"/>
      <c r="AH29" s="416" t="str">
        <f>IF(AND('Mapa final'!$Q$20="Media",'Mapa final'!$U$20="Mayor"),CONCATENATE("R",'Mapa final'!$A$20),"")</f>
        <v/>
      </c>
      <c r="AI29" s="416"/>
      <c r="AJ29" s="432" t="str">
        <f>IF(AND('Mapa final'!$Q$18="Media",'Mapa final'!$U$18="Catastrófico"),CONCATENATE("R",'Mapa final'!$A$18),"")</f>
        <v/>
      </c>
      <c r="AK29" s="433"/>
      <c r="AL29" s="433" t="str">
        <f>IF(AND('Mapa final'!$Q$19="Media",'Mapa final'!$U$19="Catastrófico"),CONCATENATE("R",'Mapa final'!$A$19),"")</f>
        <v/>
      </c>
      <c r="AM29" s="433"/>
      <c r="AN29" s="433" t="str">
        <f>IF(AND('Mapa final'!$Q$20="Media",'Mapa final'!$U$20="Catastrófico"),CONCATENATE("R",'Mapa final'!$D$20),"")</f>
        <v>R6</v>
      </c>
      <c r="AO29" s="434"/>
      <c r="AP29" s="69"/>
      <c r="AQ29" s="394"/>
      <c r="AR29" s="395"/>
      <c r="AS29" s="395"/>
      <c r="AT29" s="395"/>
      <c r="AU29" s="395"/>
      <c r="AV29" s="396"/>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71"/>
      <c r="E30" s="371"/>
      <c r="F30" s="372"/>
      <c r="G30" s="411"/>
      <c r="H30" s="412"/>
      <c r="I30" s="412"/>
      <c r="J30" s="412"/>
      <c r="K30" s="412"/>
      <c r="L30" s="427"/>
      <c r="M30" s="428"/>
      <c r="N30" s="428"/>
      <c r="O30" s="428"/>
      <c r="P30" s="428"/>
      <c r="Q30" s="441"/>
      <c r="R30" s="427"/>
      <c r="S30" s="428"/>
      <c r="T30" s="428"/>
      <c r="U30" s="428"/>
      <c r="V30" s="428"/>
      <c r="W30" s="428"/>
      <c r="X30" s="427"/>
      <c r="Y30" s="428"/>
      <c r="Z30" s="428"/>
      <c r="AA30" s="428"/>
      <c r="AB30" s="428"/>
      <c r="AC30" s="428"/>
      <c r="AD30" s="419"/>
      <c r="AE30" s="416"/>
      <c r="AF30" s="416"/>
      <c r="AG30" s="416"/>
      <c r="AH30" s="416"/>
      <c r="AI30" s="416"/>
      <c r="AJ30" s="432"/>
      <c r="AK30" s="433"/>
      <c r="AL30" s="433"/>
      <c r="AM30" s="433"/>
      <c r="AN30" s="433"/>
      <c r="AO30" s="434"/>
      <c r="AP30" s="69"/>
      <c r="AQ30" s="394"/>
      <c r="AR30" s="395"/>
      <c r="AS30" s="395"/>
      <c r="AT30" s="395"/>
      <c r="AU30" s="395"/>
      <c r="AV30" s="396"/>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71"/>
      <c r="E31" s="371"/>
      <c r="F31" s="372"/>
      <c r="G31" s="411"/>
      <c r="H31" s="412"/>
      <c r="I31" s="412"/>
      <c r="J31" s="412"/>
      <c r="K31" s="412"/>
      <c r="L31" s="427" t="str">
        <f>IF(AND('Mapa final'!$Q$21="Media",'Mapa final'!$U$21="Leve"),CONCATENATE("R",'Mapa final'!$A$21),"")</f>
        <v/>
      </c>
      <c r="M31" s="428"/>
      <c r="N31" s="428" t="str">
        <f>IF(AND('Mapa final'!$L$22="Media",'Mapa final'!$P$22="Leve"),CONCATENATE("R",'Mapa final'!$A$22),"")</f>
        <v/>
      </c>
      <c r="O31" s="428"/>
      <c r="P31" s="428" t="str">
        <f>IF(AND('Mapa final'!$L$23="Media",'Mapa final'!$P$23="Leve"),CONCATENATE("R",'Mapa final'!$A$23),"")</f>
        <v/>
      </c>
      <c r="Q31" s="441"/>
      <c r="R31" s="427" t="str">
        <f>IF(AND('Mapa final'!$Q$21="Media",'Mapa final'!$U$21="Menor"),CONCATENATE("R",'Mapa final'!$A$21),"")</f>
        <v/>
      </c>
      <c r="S31" s="428"/>
      <c r="T31" s="428" t="str">
        <f>IF(AND('Mapa final'!$LR$22="Media",'Mapa final'!$U$22="Menor"),CONCATENATE("R",'Mapa final'!$A$22),"")</f>
        <v/>
      </c>
      <c r="U31" s="428"/>
      <c r="V31" s="428" t="str">
        <f>IF(AND('Mapa final'!$Q$23="Media",'Mapa final'!$U$23="Menor"),CONCATENATE("R",'Mapa final'!$A$23),"")</f>
        <v/>
      </c>
      <c r="W31" s="428"/>
      <c r="X31" s="427" t="str">
        <f>IF(AND('Mapa final'!$Q$21="Media",'Mapa final'!$U$21="Moderado"),CONCATENATE("R",'Mapa final'!$A$21),"")</f>
        <v/>
      </c>
      <c r="Y31" s="428"/>
      <c r="Z31" s="428" t="str">
        <f>IF(AND('Mapa final'!$Q$22="Media",'Mapa final'!$U$22="Moderado"),CONCATENATE("R",'Mapa final'!$A$22),"")</f>
        <v/>
      </c>
      <c r="AA31" s="428"/>
      <c r="AB31" s="428" t="str">
        <f>IF(AND('Mapa final'!$Q$23="Media",'Mapa final'!$U$23="Moderado"),CONCATENATE("R",'Mapa final'!$A$23),"")</f>
        <v/>
      </c>
      <c r="AC31" s="428"/>
      <c r="AD31" s="419" t="str">
        <f>IF(AND('Mapa final'!$Q$21="Media",'Mapa final'!$U$21="Mayor"),CONCATENATE("R",'Mapa final'!$A$21),"")</f>
        <v/>
      </c>
      <c r="AE31" s="416"/>
      <c r="AF31" s="416" t="str">
        <f>IF(AND('Mapa final'!$Q$22="Media",'Mapa final'!$U$22="Mayor"),CONCATENATE("R",'Mapa final'!$A$22),"")</f>
        <v/>
      </c>
      <c r="AG31" s="416"/>
      <c r="AH31" s="416" t="str">
        <f>IF(AND('Mapa final'!$Q$23="Media",'Mapa final'!$U$23="Mayor"),CONCATENATE("R",'Mapa final'!$A$23),"")</f>
        <v/>
      </c>
      <c r="AI31" s="416"/>
      <c r="AJ31" s="432" t="str">
        <f>IF(AND('Mapa final'!$Q$21="Media",'Mapa final'!$U$21="Catastrófico"),CONCATENATE("R",'Mapa final'!$A$21),"")</f>
        <v/>
      </c>
      <c r="AK31" s="433"/>
      <c r="AL31" s="433" t="str">
        <f>IF(AND('Mapa final'!$Q$22="Media",'Mapa final'!$U$22="Catastrófico"),CONCATENATE("R",'Mapa final'!$A$22),"")</f>
        <v/>
      </c>
      <c r="AM31" s="433"/>
      <c r="AN31" s="433" t="str">
        <f>IF(AND('Mapa final'!$Q$23="Media",'Mapa final'!$U$23="Catastrófico"),CONCATENATE("R",'Mapa final'!$A$23),"")</f>
        <v/>
      </c>
      <c r="AO31" s="434"/>
      <c r="AP31" s="69"/>
      <c r="AQ31" s="394"/>
      <c r="AR31" s="395"/>
      <c r="AS31" s="395"/>
      <c r="AT31" s="395"/>
      <c r="AU31" s="395"/>
      <c r="AV31" s="396"/>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71"/>
      <c r="E32" s="371"/>
      <c r="F32" s="372"/>
      <c r="G32" s="411"/>
      <c r="H32" s="412"/>
      <c r="I32" s="412"/>
      <c r="J32" s="412"/>
      <c r="K32" s="412"/>
      <c r="L32" s="427"/>
      <c r="M32" s="428"/>
      <c r="N32" s="428"/>
      <c r="O32" s="428"/>
      <c r="P32" s="428"/>
      <c r="Q32" s="441"/>
      <c r="R32" s="427"/>
      <c r="S32" s="428"/>
      <c r="T32" s="428"/>
      <c r="U32" s="428"/>
      <c r="V32" s="428"/>
      <c r="W32" s="428"/>
      <c r="X32" s="427"/>
      <c r="Y32" s="428"/>
      <c r="Z32" s="428"/>
      <c r="AA32" s="428"/>
      <c r="AB32" s="428"/>
      <c r="AC32" s="428"/>
      <c r="AD32" s="419"/>
      <c r="AE32" s="416"/>
      <c r="AF32" s="416"/>
      <c r="AG32" s="416"/>
      <c r="AH32" s="416"/>
      <c r="AI32" s="416"/>
      <c r="AJ32" s="432"/>
      <c r="AK32" s="433"/>
      <c r="AL32" s="433"/>
      <c r="AM32" s="433"/>
      <c r="AN32" s="433"/>
      <c r="AO32" s="434"/>
      <c r="AP32" s="69"/>
      <c r="AQ32" s="394"/>
      <c r="AR32" s="395"/>
      <c r="AS32" s="395"/>
      <c r="AT32" s="395"/>
      <c r="AU32" s="395"/>
      <c r="AV32" s="396"/>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71"/>
      <c r="E33" s="371"/>
      <c r="F33" s="372"/>
      <c r="G33" s="411"/>
      <c r="H33" s="412"/>
      <c r="I33" s="412"/>
      <c r="J33" s="412"/>
      <c r="K33" s="412"/>
      <c r="L33" s="427" t="str">
        <f>IF(AND('Mapa final'!$Q$24="Mediaa",'Mapa final'!$U$24="Leve"),CONCATENATE("R",'Mapa final'!$A$24),"")</f>
        <v/>
      </c>
      <c r="M33" s="428"/>
      <c r="N33" s="428" t="str">
        <f>IF(AND('Mapa final'!$L$25="Media",'Mapa final'!$P$25="Leve"),CONCATENATE("R",'Mapa final'!$A$25),"")</f>
        <v/>
      </c>
      <c r="O33" s="428"/>
      <c r="P33" s="428" t="str">
        <f>IF(AND('Mapa final'!$L$26="Media",'Mapa final'!$P$26="Leve"),CONCATENATE("R",'Mapa final'!$A$26),"")</f>
        <v/>
      </c>
      <c r="Q33" s="441"/>
      <c r="R33" s="427" t="str">
        <f>IF(AND('Mapa final'!$Q$24="Media",'Mapa final'!$U$24="Menor"),CONCATENATE("R",'Mapa final'!$A$24),"")</f>
        <v/>
      </c>
      <c r="S33" s="428"/>
      <c r="T33" s="428" t="str">
        <f>IF(AND('Mapa final'!$Q$25="Media",'Mapa final'!$U$25="Menor"),CONCATENATE("R",'Mapa final'!$A$25),"")</f>
        <v/>
      </c>
      <c r="U33" s="428"/>
      <c r="V33" s="428" t="str">
        <f>IF(AND('Mapa final'!$Q$26="Media",'Mapa final'!$U$26="Menor"),CONCATENATE("R",'Mapa final'!$A$26),"")</f>
        <v/>
      </c>
      <c r="W33" s="428"/>
      <c r="X33" s="427" t="str">
        <f>IF(AND('Mapa final'!$Q$24="Media",'Mapa final'!$U$24="Moderado"),CONCATENATE("R",'Mapa final'!$A$24),"")</f>
        <v/>
      </c>
      <c r="Y33" s="428"/>
      <c r="Z33" s="428" t="str">
        <f>IF(AND('Mapa final'!$Q$25="Media",'Mapa final'!$U$25="Moderado"),CONCATENATE("R",'Mapa final'!$A$25),"")</f>
        <v/>
      </c>
      <c r="AA33" s="428"/>
      <c r="AB33" s="428" t="str">
        <f>IF(AND('Mapa final'!$Q$26="Media",'Mapa final'!$U$26="Moderado"),CONCATENATE("R",'Mapa final'!$A$26),"")</f>
        <v/>
      </c>
      <c r="AC33" s="428"/>
      <c r="AD33" s="419" t="str">
        <f>IF(AND('Mapa final'!$Q$24="Media",'Mapa final'!$U$24="Mayor"),CONCATENATE("R",'Mapa final'!$A$24),"")</f>
        <v/>
      </c>
      <c r="AE33" s="416"/>
      <c r="AF33" s="416" t="str">
        <f>IF(AND('Mapa final'!$Q$25="Media",'Mapa final'!$U$25="Mayor"),CONCATENATE("R",'Mapa final'!$A$25),"")</f>
        <v/>
      </c>
      <c r="AG33" s="416"/>
      <c r="AH33" s="416" t="str">
        <f>IF(AND('Mapa final'!$Q$26="Media",'Mapa final'!$U$26="Mayor"),CONCATENATE("R",'Mapa final'!$A$26),"")</f>
        <v/>
      </c>
      <c r="AI33" s="416"/>
      <c r="AJ33" s="432" t="str">
        <f>IF(AND('Mapa final'!$Q$24="Media",'Mapa final'!$U$24="Catastrófico"),CONCATENATE("R",'Mapa final'!$A$24),"")</f>
        <v/>
      </c>
      <c r="AK33" s="433"/>
      <c r="AL33" s="433" t="str">
        <f>IF(AND('Mapa final'!$Q$25="Media",'Mapa final'!$U$25="Catastrófico"),CONCATENATE("R",'Mapa final'!$A$25),"")</f>
        <v/>
      </c>
      <c r="AM33" s="433"/>
      <c r="AN33" s="433" t="str">
        <f>IF(AND('Mapa final'!$Q$26="Media",'Mapa final'!$U$26="Catastrófico"),CONCATENATE("R",'Mapa final'!$A$26),"")</f>
        <v/>
      </c>
      <c r="AO33" s="434"/>
      <c r="AP33" s="69"/>
      <c r="AQ33" s="394"/>
      <c r="AR33" s="395"/>
      <c r="AS33" s="395"/>
      <c r="AT33" s="395"/>
      <c r="AU33" s="395"/>
      <c r="AV33" s="396"/>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71"/>
      <c r="E34" s="371"/>
      <c r="F34" s="372"/>
      <c r="G34" s="413"/>
      <c r="H34" s="414"/>
      <c r="I34" s="414"/>
      <c r="J34" s="414"/>
      <c r="K34" s="414"/>
      <c r="L34" s="442"/>
      <c r="M34" s="443"/>
      <c r="N34" s="443"/>
      <c r="O34" s="443"/>
      <c r="P34" s="443"/>
      <c r="Q34" s="444"/>
      <c r="R34" s="442"/>
      <c r="S34" s="443"/>
      <c r="T34" s="443"/>
      <c r="U34" s="443"/>
      <c r="V34" s="443"/>
      <c r="W34" s="443"/>
      <c r="X34" s="442"/>
      <c r="Y34" s="443"/>
      <c r="Z34" s="443"/>
      <c r="AA34" s="443"/>
      <c r="AB34" s="443"/>
      <c r="AC34" s="443"/>
      <c r="AD34" s="430"/>
      <c r="AE34" s="425"/>
      <c r="AF34" s="425"/>
      <c r="AG34" s="425"/>
      <c r="AH34" s="425"/>
      <c r="AI34" s="425"/>
      <c r="AJ34" s="438"/>
      <c r="AK34" s="439"/>
      <c r="AL34" s="439"/>
      <c r="AM34" s="439"/>
      <c r="AN34" s="439"/>
      <c r="AO34" s="440"/>
      <c r="AP34" s="69"/>
      <c r="AQ34" s="397"/>
      <c r="AR34" s="398"/>
      <c r="AS34" s="398"/>
      <c r="AT34" s="398"/>
      <c r="AU34" s="398"/>
      <c r="AV34" s="39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71"/>
      <c r="E35" s="371"/>
      <c r="F35" s="372"/>
      <c r="G35" s="409" t="s">
        <v>113</v>
      </c>
      <c r="H35" s="410"/>
      <c r="I35" s="410"/>
      <c r="J35" s="410"/>
      <c r="K35" s="410"/>
      <c r="L35" s="454" t="str">
        <f>IF(AND('Mapa final'!$Q$15="Baja",'Mapa final'!$U$15="Leve"),CONCATENATE("R",'Mapa final'!$A$15),"")</f>
        <v/>
      </c>
      <c r="M35" s="455"/>
      <c r="N35" s="455" t="str">
        <f>IF(AND('Mapa final'!$L$16="Baja",'Mapa final'!$P$16="Leve"),CONCATENATE("R",'Mapa final'!$A$16),"")</f>
        <v/>
      </c>
      <c r="O35" s="455"/>
      <c r="P35" s="455" t="str">
        <f>IF(AND('Mapa final'!$L$17="Baja",'Mapa final'!$P$17="Leve"),CONCATENATE("R",'Mapa final'!$A$17),"")</f>
        <v/>
      </c>
      <c r="Q35" s="456"/>
      <c r="R35" s="445" t="str">
        <f>IF(AND('Mapa final'!$Q$15="Baja",'Mapa final'!$U$15="Menor"),CONCATENATE("R",'Mapa final'!$A$15),"")</f>
        <v/>
      </c>
      <c r="S35" s="446"/>
      <c r="T35" s="428" t="str">
        <f>IF(AND('Mapa final'!$Q$16="Baja",'Mapa final'!$U$16="Menor"),CONCATENATE("R",'Mapa final'!$A$16),"")</f>
        <v/>
      </c>
      <c r="U35" s="428"/>
      <c r="V35" s="428" t="str">
        <f>IF(AND('Mapa final'!$Q$17="Baja",'Mapa final'!$U$17="Menor"),CONCATENATE("R",'Mapa final'!$A$17),"")</f>
        <v/>
      </c>
      <c r="W35" s="441"/>
      <c r="X35" s="427" t="str">
        <f>IF(AND('Mapa final'!$Q$15="Baja",'Mapa final'!$U$15="Moderado"),CONCATENATE("R",'Mapa final'!$A$15),"")</f>
        <v/>
      </c>
      <c r="Y35" s="428"/>
      <c r="Z35" s="428" t="str">
        <f>IF(AND('Mapa final'!Q$16="Baja",'Mapa final'!$U$16="Moderado"),CONCATENATE("R",'Mapa final'!$A$16),"")</f>
        <v/>
      </c>
      <c r="AA35" s="428"/>
      <c r="AB35" s="428" t="str">
        <f>IF(AND('Mapa final'!$Q$17="Baja",'Mapa final'!$U$17="Moderado"),CONCATENATE("R",'Mapa final'!$A$17),"")</f>
        <v/>
      </c>
      <c r="AC35" s="441"/>
      <c r="AD35" s="419" t="str">
        <f>IF(AND('Mapa final'!$Q$15="Baja",'Mapa final'!$U$15="Mayor"),CONCATENATE("R",'Mapa final'!$A$15),"")</f>
        <v/>
      </c>
      <c r="AE35" s="416"/>
      <c r="AF35" s="416" t="str">
        <f>IF(AND('Mapa final'!$Q$16="Baja",'Mapa final'!$U$16="Mayor"),CONCATENATE("R",'Mapa final'!$A$16),"")</f>
        <v/>
      </c>
      <c r="AG35" s="416"/>
      <c r="AH35" s="416" t="str">
        <f>IF(AND('Mapa final'!$Q$17="Baja",'Mapa final'!$U$17="Mayor"),CONCATENATE("R",'Mapa final'!$A$17),"")</f>
        <v/>
      </c>
      <c r="AI35" s="416"/>
      <c r="AJ35" s="435" t="str">
        <f>IF(AND('Mapa final'!$Q$15="Baja",'Mapa final'!$U$15="Catastrófico"),CONCATENATE("R",'Mapa final'!$A$15),"")</f>
        <v/>
      </c>
      <c r="AK35" s="436"/>
      <c r="AL35" s="436" t="str">
        <f>IF(AND('Mapa final'!$Q$16="Baja",'Mapa final'!$U$16="Catastrófico"),CONCATENATE("R",'Mapa final'!$A$16),"")</f>
        <v/>
      </c>
      <c r="AM35" s="436"/>
      <c r="AN35" s="436" t="str">
        <f>IF(AND('Mapa final'!$Q$17="Baja",'Mapa final'!$U$17="Catastrófico"),CONCATENATE("R",'Mapa final'!$A$17),"")</f>
        <v/>
      </c>
      <c r="AO35" s="437"/>
      <c r="AP35" s="69"/>
      <c r="AQ35" s="400" t="s">
        <v>81</v>
      </c>
      <c r="AR35" s="401"/>
      <c r="AS35" s="401"/>
      <c r="AT35" s="401"/>
      <c r="AU35" s="401"/>
      <c r="AV35" s="402"/>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71"/>
      <c r="E36" s="371"/>
      <c r="F36" s="372"/>
      <c r="G36" s="411"/>
      <c r="H36" s="412"/>
      <c r="I36" s="412"/>
      <c r="J36" s="412"/>
      <c r="K36" s="412"/>
      <c r="L36" s="450"/>
      <c r="M36" s="448"/>
      <c r="N36" s="448"/>
      <c r="O36" s="448"/>
      <c r="P36" s="448"/>
      <c r="Q36" s="449"/>
      <c r="R36" s="427"/>
      <c r="S36" s="428"/>
      <c r="T36" s="428"/>
      <c r="U36" s="428"/>
      <c r="V36" s="428"/>
      <c r="W36" s="441"/>
      <c r="X36" s="427"/>
      <c r="Y36" s="428"/>
      <c r="Z36" s="428"/>
      <c r="AA36" s="428"/>
      <c r="AB36" s="428"/>
      <c r="AC36" s="441"/>
      <c r="AD36" s="419"/>
      <c r="AE36" s="416"/>
      <c r="AF36" s="416"/>
      <c r="AG36" s="416"/>
      <c r="AH36" s="416"/>
      <c r="AI36" s="416"/>
      <c r="AJ36" s="432"/>
      <c r="AK36" s="433"/>
      <c r="AL36" s="433"/>
      <c r="AM36" s="433"/>
      <c r="AN36" s="433"/>
      <c r="AO36" s="434"/>
      <c r="AP36" s="69"/>
      <c r="AQ36" s="403"/>
      <c r="AR36" s="404"/>
      <c r="AS36" s="404"/>
      <c r="AT36" s="404"/>
      <c r="AU36" s="404"/>
      <c r="AV36" s="405"/>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71"/>
      <c r="E37" s="371"/>
      <c r="F37" s="372"/>
      <c r="G37" s="411"/>
      <c r="H37" s="412"/>
      <c r="I37" s="412"/>
      <c r="J37" s="412"/>
      <c r="K37" s="412"/>
      <c r="L37" s="450" t="str">
        <f>IF(AND('Mapa final'!$Q$18="Baja",'Mapa final'!$U$18="Leve"),CONCATENATE("R",'Mapa final'!$A$18),"")</f>
        <v/>
      </c>
      <c r="M37" s="448"/>
      <c r="N37" s="448" t="str">
        <f>IF(AND('Mapa final'!$L$19="Baja",'Mapa final'!$P$19="Leve"),CONCATENATE("R",'Mapa final'!$A$19),"")</f>
        <v/>
      </c>
      <c r="O37" s="448"/>
      <c r="P37" s="448" t="str">
        <f>IF(AND('Mapa final'!$L$20="Baja",'Mapa final'!$P$20="Leve"),CONCATENATE("R",'Mapa final'!$A$20),"")</f>
        <v/>
      </c>
      <c r="Q37" s="449"/>
      <c r="R37" s="427" t="str">
        <f>IF(AND('Mapa final'!$Q$18="Baja",'Mapa final'!$U$18="Menor"),CONCATENATE("R",'Mapa final'!$A$18),"")</f>
        <v/>
      </c>
      <c r="S37" s="428"/>
      <c r="T37" s="428" t="str">
        <f>IF(AND('Mapa final'!$Q$19="Baja",'Mapa final'!$U$19="Menor"),CONCATENATE("R",'Mapa final'!$A$19),"")</f>
        <v/>
      </c>
      <c r="U37" s="428"/>
      <c r="V37" s="428" t="str">
        <f>IF(AND('Mapa final'!$Q$20="Baja",'Mapa final'!$U$20="Menor"),CONCATENATE("R",'Mapa final'!$A$20),"")</f>
        <v/>
      </c>
      <c r="W37" s="441"/>
      <c r="X37" s="427" t="str">
        <f>IF(AND('Mapa final'!$Q$18="Baja",'Mapa final'!$U$18="Moderado"),CONCATENATE("R",'Mapa final'!$A$18),"")</f>
        <v/>
      </c>
      <c r="Y37" s="428"/>
      <c r="Z37" s="428" t="str">
        <f>IF(AND('Mapa final'!$Q$19="Baja",'Mapa final'!$U$19="Moderado"),CONCATENATE("R",'Mapa final'!$A$19),"")</f>
        <v/>
      </c>
      <c r="AA37" s="428"/>
      <c r="AB37" s="428" t="str">
        <f>IF(AND('Mapa final'!$Q$20="Baja",'Mapa final'!$U$20="Moderado"),CONCATENATE("R",'Mapa final'!$A$20),"")</f>
        <v/>
      </c>
      <c r="AC37" s="441"/>
      <c r="AD37" s="419" t="str">
        <f>IF(AND('Mapa final'!$Q$18="Baja",'Mapa final'!$U$18="Mayor"),CONCATENATE("R",'Mapa final'!$A$18),"")</f>
        <v/>
      </c>
      <c r="AE37" s="416"/>
      <c r="AF37" s="416" t="str">
        <f>IF(AND('Mapa final'!$Q$19="Baja",'Mapa final'!$U$19="Mayor"),CONCATENATE("R",'Mapa final'!$A$19),"")</f>
        <v/>
      </c>
      <c r="AG37" s="416"/>
      <c r="AH37" s="416" t="str">
        <f>IF(AND('Mapa final'!$Q$20="Baja",'Mapa final'!$U$20="Mayor"),CONCATENATE("R",'Mapa final'!$A$20),"")</f>
        <v/>
      </c>
      <c r="AI37" s="416"/>
      <c r="AJ37" s="432" t="str">
        <f>IF(AND('Mapa final'!$Q$18="Baja",'Mapa final'!$U$18="Catastrófico"),CONCATENATE("R",'Mapa final'!$A$18),"")</f>
        <v/>
      </c>
      <c r="AK37" s="433"/>
      <c r="AL37" s="433" t="str">
        <f>IF(AND('Mapa final'!$Q$19="Baja",'Mapa final'!$U$19="Catastrófico"),CONCATENATE("R",'Mapa final'!$A$19),"")</f>
        <v/>
      </c>
      <c r="AM37" s="433"/>
      <c r="AN37" s="433" t="str">
        <f>IF(AND('Mapa final'!$Q$20="Baja",'Mapa final'!$L$20="Catastrófico"),CONCATENATE("R",'Mapa final'!$A$20),"")</f>
        <v/>
      </c>
      <c r="AO37" s="434"/>
      <c r="AP37" s="69"/>
      <c r="AQ37" s="403"/>
      <c r="AR37" s="404"/>
      <c r="AS37" s="404"/>
      <c r="AT37" s="404"/>
      <c r="AU37" s="404"/>
      <c r="AV37" s="405"/>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71"/>
      <c r="E38" s="371"/>
      <c r="F38" s="372"/>
      <c r="G38" s="411"/>
      <c r="H38" s="412"/>
      <c r="I38" s="412"/>
      <c r="J38" s="412"/>
      <c r="K38" s="412"/>
      <c r="L38" s="450"/>
      <c r="M38" s="448"/>
      <c r="N38" s="448"/>
      <c r="O38" s="448"/>
      <c r="P38" s="448"/>
      <c r="Q38" s="449"/>
      <c r="R38" s="427"/>
      <c r="S38" s="428"/>
      <c r="T38" s="428"/>
      <c r="U38" s="428"/>
      <c r="V38" s="428"/>
      <c r="W38" s="441"/>
      <c r="X38" s="427"/>
      <c r="Y38" s="428"/>
      <c r="Z38" s="428"/>
      <c r="AA38" s="428"/>
      <c r="AB38" s="428"/>
      <c r="AC38" s="441"/>
      <c r="AD38" s="419"/>
      <c r="AE38" s="416"/>
      <c r="AF38" s="416"/>
      <c r="AG38" s="416"/>
      <c r="AH38" s="416"/>
      <c r="AI38" s="416"/>
      <c r="AJ38" s="432"/>
      <c r="AK38" s="433"/>
      <c r="AL38" s="433"/>
      <c r="AM38" s="433"/>
      <c r="AN38" s="433"/>
      <c r="AO38" s="434"/>
      <c r="AP38" s="69"/>
      <c r="AQ38" s="403"/>
      <c r="AR38" s="404"/>
      <c r="AS38" s="404"/>
      <c r="AT38" s="404"/>
      <c r="AU38" s="404"/>
      <c r="AV38" s="405"/>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71"/>
      <c r="E39" s="371"/>
      <c r="F39" s="372"/>
      <c r="G39" s="411"/>
      <c r="H39" s="412"/>
      <c r="I39" s="412"/>
      <c r="J39" s="412"/>
      <c r="K39" s="412"/>
      <c r="L39" s="450" t="str">
        <f>IF(AND('Mapa final'!$Q$21="Baja",'Mapa final'!$U$21="Leve"),CONCATENATE("R",'Mapa final'!$A$21),"")</f>
        <v/>
      </c>
      <c r="M39" s="448"/>
      <c r="N39" s="448" t="str">
        <f>IF(AND('Mapa final'!$L$22="Baja",'Mapa final'!$P$22="Leve"),CONCATENATE("R",'Mapa final'!$A$22),"")</f>
        <v/>
      </c>
      <c r="O39" s="448"/>
      <c r="P39" s="448" t="str">
        <f>IF(AND('Mapa final'!$L$23="Baja",'Mapa final'!$P$23="Leve"),CONCATENATE("R",'Mapa final'!$A$23),"")</f>
        <v/>
      </c>
      <c r="Q39" s="449"/>
      <c r="R39" s="427" t="str">
        <f>IF(AND('Mapa final'!$Q$21="Baja",'Mapa final'!$U$21="Menor"),CONCATENATE("R",'Mapa final'!$A$21),"")</f>
        <v/>
      </c>
      <c r="S39" s="428"/>
      <c r="T39" s="428" t="str">
        <f>IF(AND('Mapa final'!$LR$22="Baja",'Mapa final'!$U$22="Menor"),CONCATENATE("R",'Mapa final'!$A$22),"")</f>
        <v/>
      </c>
      <c r="U39" s="428"/>
      <c r="V39" s="428" t="str">
        <f>IF(AND('Mapa final'!$Q$23="Baja",'Mapa final'!$U$23="Menor"),CONCATENATE("R",'Mapa final'!$A$23),"")</f>
        <v/>
      </c>
      <c r="W39" s="441"/>
      <c r="X39" s="427" t="str">
        <f>IF(AND('Mapa final'!$Q$21="Baja",'Mapa final'!$U$21="Moderado"),CONCATENATE("R",'Mapa final'!$A$21),"")</f>
        <v/>
      </c>
      <c r="Y39" s="428"/>
      <c r="Z39" s="428" t="str">
        <f>IF(AND('Mapa final'!$Q$22="Baja",'Mapa final'!$U$22="Moderado"),CONCATENATE("R",'Mapa final'!$A$22),"")</f>
        <v/>
      </c>
      <c r="AA39" s="428"/>
      <c r="AB39" s="428" t="str">
        <f>IF(AND('Mapa final'!$Q$23="Baja",'Mapa final'!$U$23="Moderado"),CONCATENATE("R",'Mapa final'!$A$23),"")</f>
        <v/>
      </c>
      <c r="AC39" s="441"/>
      <c r="AD39" s="419" t="str">
        <f>IF(AND('Mapa final'!$Q$21="Baja",'Mapa final'!$U$21="Mayor"),CONCATENATE("R",'Mapa final'!$A$21),"")</f>
        <v/>
      </c>
      <c r="AE39" s="416"/>
      <c r="AF39" s="416" t="str">
        <f>IF(AND('Mapa final'!$Q$22="Baja",'Mapa final'!$U$22="Mayor"),CONCATENATE("R",'Mapa final'!$A$22),"")</f>
        <v/>
      </c>
      <c r="AG39" s="416"/>
      <c r="AH39" s="416" t="str">
        <f>IF(AND('Mapa final'!$Q$23="Baja",'Mapa final'!$U$23="Mayor"),CONCATENATE("R",'Mapa final'!$A$23),"")</f>
        <v/>
      </c>
      <c r="AI39" s="416"/>
      <c r="AJ39" s="432" t="str">
        <f>IF(AND('Mapa final'!$Q$21="Baja",'Mapa final'!$U$21="Catastrófico"),CONCATENATE("R",'Mapa final'!$A$21),"")</f>
        <v/>
      </c>
      <c r="AK39" s="433"/>
      <c r="AL39" s="433" t="str">
        <f>IF(AND('Mapa final'!$Q$22="Baja",'Mapa final'!$U$22="Catastrófico"),CONCATENATE("R",'Mapa final'!$A$22),"")</f>
        <v/>
      </c>
      <c r="AM39" s="433"/>
      <c r="AN39" s="433" t="str">
        <f>IF(AND('Mapa final'!$Q$23="Baja",'Mapa final'!$U$23="Catastrófico"),CONCATENATE("R",'Mapa final'!$A$23),"")</f>
        <v/>
      </c>
      <c r="AO39" s="434"/>
      <c r="AP39" s="69"/>
      <c r="AQ39" s="403"/>
      <c r="AR39" s="404"/>
      <c r="AS39" s="404"/>
      <c r="AT39" s="404"/>
      <c r="AU39" s="404"/>
      <c r="AV39" s="405"/>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71"/>
      <c r="E40" s="371"/>
      <c r="F40" s="372"/>
      <c r="G40" s="411"/>
      <c r="H40" s="412"/>
      <c r="I40" s="412"/>
      <c r="J40" s="412"/>
      <c r="K40" s="412"/>
      <c r="L40" s="450"/>
      <c r="M40" s="448"/>
      <c r="N40" s="448"/>
      <c r="O40" s="448"/>
      <c r="P40" s="448"/>
      <c r="Q40" s="449"/>
      <c r="R40" s="427"/>
      <c r="S40" s="428"/>
      <c r="T40" s="428"/>
      <c r="U40" s="428"/>
      <c r="V40" s="428"/>
      <c r="W40" s="441"/>
      <c r="X40" s="427"/>
      <c r="Y40" s="428"/>
      <c r="Z40" s="428"/>
      <c r="AA40" s="428"/>
      <c r="AB40" s="428"/>
      <c r="AC40" s="441"/>
      <c r="AD40" s="419"/>
      <c r="AE40" s="416"/>
      <c r="AF40" s="416"/>
      <c r="AG40" s="416"/>
      <c r="AH40" s="416"/>
      <c r="AI40" s="416"/>
      <c r="AJ40" s="432"/>
      <c r="AK40" s="433"/>
      <c r="AL40" s="433"/>
      <c r="AM40" s="433"/>
      <c r="AN40" s="433"/>
      <c r="AO40" s="434"/>
      <c r="AP40" s="69"/>
      <c r="AQ40" s="403"/>
      <c r="AR40" s="404"/>
      <c r="AS40" s="404"/>
      <c r="AT40" s="404"/>
      <c r="AU40" s="404"/>
      <c r="AV40" s="405"/>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71"/>
      <c r="E41" s="371"/>
      <c r="F41" s="372"/>
      <c r="G41" s="411"/>
      <c r="H41" s="412"/>
      <c r="I41" s="412"/>
      <c r="J41" s="412"/>
      <c r="K41" s="412"/>
      <c r="L41" s="450" t="str">
        <f>IF(AND('Mapa final'!$Q$24="Baja",'Mapa final'!$U$24="Leve"),CONCATENATE("R",'Mapa final'!$A$24),"")</f>
        <v/>
      </c>
      <c r="M41" s="448"/>
      <c r="N41" s="448" t="str">
        <f>IF(AND('Mapa final'!$L$25="Baja",'Mapa final'!$P$25="Leve"),CONCATENATE("R",'Mapa final'!$A$25),"")</f>
        <v/>
      </c>
      <c r="O41" s="448"/>
      <c r="P41" s="448" t="str">
        <f>IF(AND('Mapa final'!$L$26="Baja",'Mapa final'!$P$26="Leve"),CONCATENATE("R",'Mapa final'!$A$26),"")</f>
        <v/>
      </c>
      <c r="Q41" s="449"/>
      <c r="R41" s="427" t="str">
        <f>IF(AND('Mapa final'!$Q$24="Baja",'Mapa final'!$U$24="Menor"),CONCATENATE("R",'Mapa final'!$A$24),"")</f>
        <v/>
      </c>
      <c r="S41" s="428"/>
      <c r="T41" s="428" t="str">
        <f>IF(AND('Mapa final'!$Q$25="Baja",'Mapa final'!$U$25="Menor"),CONCATENATE("R",'Mapa final'!$A$25),"")</f>
        <v/>
      </c>
      <c r="U41" s="428"/>
      <c r="V41" s="428" t="str">
        <f>IF(AND('Mapa final'!$Q$26="Baja",'Mapa final'!$U$26="Menor"),CONCATENATE("R",'Mapa final'!$A$26),"")</f>
        <v/>
      </c>
      <c r="W41" s="441"/>
      <c r="X41" s="427" t="str">
        <f>IF(AND('Mapa final'!$Q$24="Baja",'Mapa final'!$U$24="Moderado"),CONCATENATE("R",'Mapa final'!$A$24),"")</f>
        <v/>
      </c>
      <c r="Y41" s="428"/>
      <c r="Z41" s="428" t="str">
        <f>IF(AND('Mapa final'!$Q$25="Baja",'Mapa final'!$U$25="Moderado"),CONCATENATE("R",'Mapa final'!$A$25),"")</f>
        <v/>
      </c>
      <c r="AA41" s="428"/>
      <c r="AB41" s="428" t="str">
        <f>IF(AND('Mapa final'!$Q$26="Baja",'Mapa final'!$U$26="Moderado"),CONCATENATE("R",'Mapa final'!$A$26),"")</f>
        <v/>
      </c>
      <c r="AC41" s="441"/>
      <c r="AD41" s="419" t="str">
        <f>IF(AND('Mapa final'!$Q$24="Baja",'Mapa final'!$U$24="Mayor"),CONCATENATE("R",'Mapa final'!$A$24),"")</f>
        <v/>
      </c>
      <c r="AE41" s="416"/>
      <c r="AF41" s="416" t="str">
        <f>IF(AND('Mapa final'!$Q$25="Baja",'Mapa final'!$U$25="Mayor"),CONCATENATE("R",'Mapa final'!$A$25),"")</f>
        <v/>
      </c>
      <c r="AG41" s="416"/>
      <c r="AH41" s="416" t="str">
        <f>IF(AND('Mapa final'!$Q$26="Baja",'Mapa final'!$U$26="Mayor"),CONCATENATE("R",'Mapa final'!$A$26),"")</f>
        <v/>
      </c>
      <c r="AI41" s="416"/>
      <c r="AJ41" s="432" t="str">
        <f>IF(AND('Mapa final'!$Q$24="Baja",'Mapa final'!$U$24="Catastrófico"),CONCATENATE("R",'Mapa final'!$A$24),"")</f>
        <v/>
      </c>
      <c r="AK41" s="433"/>
      <c r="AL41" s="433" t="str">
        <f>IF(AND('Mapa final'!$Q$25="Baja",'Mapa final'!$U$25="Catastrófico"),CONCATENATE("R",'Mapa final'!$A$25),"")</f>
        <v/>
      </c>
      <c r="AM41" s="433"/>
      <c r="AN41" s="433" t="str">
        <f>IF(AND('Mapa final'!$Q$26="Baja",'Mapa final'!$U$26="Catastrófico"),CONCATENATE("R",'Mapa final'!$A$26),"")</f>
        <v/>
      </c>
      <c r="AO41" s="434"/>
      <c r="AP41" s="69"/>
      <c r="AQ41" s="403"/>
      <c r="AR41" s="404"/>
      <c r="AS41" s="404"/>
      <c r="AT41" s="404"/>
      <c r="AU41" s="404"/>
      <c r="AV41" s="405"/>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71"/>
      <c r="E42" s="371"/>
      <c r="F42" s="372"/>
      <c r="G42" s="413"/>
      <c r="H42" s="414"/>
      <c r="I42" s="414"/>
      <c r="J42" s="414"/>
      <c r="K42" s="414"/>
      <c r="L42" s="451"/>
      <c r="M42" s="452"/>
      <c r="N42" s="452"/>
      <c r="O42" s="452"/>
      <c r="P42" s="452"/>
      <c r="Q42" s="453"/>
      <c r="R42" s="442"/>
      <c r="S42" s="443"/>
      <c r="T42" s="443"/>
      <c r="U42" s="443"/>
      <c r="V42" s="443"/>
      <c r="W42" s="444"/>
      <c r="X42" s="442"/>
      <c r="Y42" s="443"/>
      <c r="Z42" s="443"/>
      <c r="AA42" s="443"/>
      <c r="AB42" s="443"/>
      <c r="AC42" s="444"/>
      <c r="AD42" s="430"/>
      <c r="AE42" s="425"/>
      <c r="AF42" s="425"/>
      <c r="AG42" s="425"/>
      <c r="AH42" s="425"/>
      <c r="AI42" s="425"/>
      <c r="AJ42" s="438"/>
      <c r="AK42" s="439"/>
      <c r="AL42" s="439"/>
      <c r="AM42" s="439"/>
      <c r="AN42" s="439"/>
      <c r="AO42" s="440"/>
      <c r="AP42" s="69"/>
      <c r="AQ42" s="406"/>
      <c r="AR42" s="407"/>
      <c r="AS42" s="407"/>
      <c r="AT42" s="407"/>
      <c r="AU42" s="407"/>
      <c r="AV42" s="408"/>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71"/>
      <c r="E43" s="371"/>
      <c r="F43" s="372"/>
      <c r="G43" s="409" t="s">
        <v>112</v>
      </c>
      <c r="H43" s="410"/>
      <c r="I43" s="410"/>
      <c r="J43" s="410"/>
      <c r="K43" s="410"/>
      <c r="L43" s="454" t="str">
        <f>IF(AND('Mapa final'!$Q$15="Muy Baja",'Mapa final'!$U$15="Leve"),CONCATENATE("R",'Mapa final'!$A$15),"")</f>
        <v/>
      </c>
      <c r="M43" s="455"/>
      <c r="N43" s="455" t="str">
        <f>IF(AND('Mapa final'!$L$16="Muy Baja",'Mapa final'!$P$16="Leve"),CONCATENATE("R",'Mapa final'!$A$16),"")</f>
        <v/>
      </c>
      <c r="O43" s="455"/>
      <c r="P43" s="455" t="str">
        <f>IF(AND('Mapa final'!$L$17="Muy Baja",'Mapa final'!$P$17="Leve"),CONCATENATE("R",'Mapa final'!$A$17),"")</f>
        <v/>
      </c>
      <c r="Q43" s="456"/>
      <c r="R43" s="454" t="str">
        <f>IF(AND('Mapa final'!$Q$15="Muy Baja",'Mapa final'!$U$15="Menor"),CONCATENATE("R",'Mapa final'!$A$15),"")</f>
        <v/>
      </c>
      <c r="S43" s="455"/>
      <c r="T43" s="455" t="str">
        <f>IF(AND('Mapa final'!$Q$16="Muy Baja",'Mapa final'!$U$16="Menor"),CONCATENATE("R",'Mapa final'!$A$16),"")</f>
        <v/>
      </c>
      <c r="U43" s="455"/>
      <c r="V43" s="455" t="str">
        <f>IF(AND('Mapa final'!$Q$17="Muy Baja",'Mapa final'!$U$17="Menor"),CONCATENATE("R",'Mapa final'!$A$17),"")</f>
        <v/>
      </c>
      <c r="W43" s="456"/>
      <c r="X43" s="445" t="str">
        <f>IF(AND('Mapa final'!$Q$15="Muy Baja",'Mapa final'!$U$15="Moderado"),CONCATENATE("R",'Mapa final'!$A$15),"")</f>
        <v/>
      </c>
      <c r="Y43" s="446"/>
      <c r="Z43" s="446" t="str">
        <f>IF(AND('Mapa final'!Q$16="Muy Baja",'Mapa final'!$U$16="Moderado"),CONCATENATE("R",'Mapa final'!$A$16),"")</f>
        <v/>
      </c>
      <c r="AA43" s="446"/>
      <c r="AB43" s="446" t="str">
        <f>IF(AND('Mapa final'!$Q$17="Muy Baja",'Mapa final'!$U$17="Moderado"),CONCATENATE("R",'Mapa final'!$A$17),"")</f>
        <v/>
      </c>
      <c r="AC43" s="447"/>
      <c r="AD43" s="417" t="str">
        <f>IF(AND('Mapa final'!$Q$15="Muy Baja",'Mapa final'!$U$15="Mayor"),CONCATENATE("R",'Mapa final'!$A$15),"")</f>
        <v/>
      </c>
      <c r="AE43" s="418"/>
      <c r="AF43" s="418" t="str">
        <f>IF(AND('Mapa final'!$Q$16="Muy Baja",'Mapa final'!$U$16="Mayor"),CONCATENATE("R",'Mapa final'!$A$16),"")</f>
        <v/>
      </c>
      <c r="AG43" s="418"/>
      <c r="AH43" s="418" t="str">
        <f>IF(AND('Mapa final'!$Q$17="Muy Baja",'Mapa final'!$U$17="Mayor"),CONCATENATE("R",'Mapa final'!$A$17),"")</f>
        <v/>
      </c>
      <c r="AI43" s="431"/>
      <c r="AJ43" s="432" t="str">
        <f>IF(AND('Mapa final'!$Q$15="Muy Baja",'Mapa final'!$U$15="Catastrófico"),CONCATENATE("R",'Mapa final'!$A$15),"")</f>
        <v/>
      </c>
      <c r="AK43" s="433"/>
      <c r="AL43" s="433" t="str">
        <f>IF(AND('Mapa final'!$Q$16="Muy Baja",'Mapa final'!$U$16="Catastrófico"),CONCATENATE("R",'Mapa final'!$A$16),"")</f>
        <v/>
      </c>
      <c r="AM43" s="433"/>
      <c r="AN43" s="433" t="str">
        <f>IF(AND('Mapa final'!$Q$17="Muy Baja",'Mapa final'!$U$17="Catastrófico"),CONCATENATE("R",'Mapa final'!$A$17),"")</f>
        <v/>
      </c>
      <c r="AO43" s="434"/>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71"/>
      <c r="E44" s="371"/>
      <c r="F44" s="372"/>
      <c r="G44" s="411"/>
      <c r="H44" s="412"/>
      <c r="I44" s="412"/>
      <c r="J44" s="412"/>
      <c r="K44" s="412"/>
      <c r="L44" s="450"/>
      <c r="M44" s="448"/>
      <c r="N44" s="448"/>
      <c r="O44" s="448"/>
      <c r="P44" s="448"/>
      <c r="Q44" s="449"/>
      <c r="R44" s="450"/>
      <c r="S44" s="448"/>
      <c r="T44" s="448"/>
      <c r="U44" s="448"/>
      <c r="V44" s="448"/>
      <c r="W44" s="449"/>
      <c r="X44" s="427"/>
      <c r="Y44" s="428"/>
      <c r="Z44" s="428"/>
      <c r="AA44" s="428"/>
      <c r="AB44" s="428"/>
      <c r="AC44" s="441"/>
      <c r="AD44" s="419"/>
      <c r="AE44" s="416"/>
      <c r="AF44" s="416"/>
      <c r="AG44" s="416"/>
      <c r="AH44" s="416"/>
      <c r="AI44" s="424"/>
      <c r="AJ44" s="432"/>
      <c r="AK44" s="433"/>
      <c r="AL44" s="433"/>
      <c r="AM44" s="433"/>
      <c r="AN44" s="433"/>
      <c r="AO44" s="434"/>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71"/>
      <c r="E45" s="371"/>
      <c r="F45" s="372"/>
      <c r="G45" s="411"/>
      <c r="H45" s="412"/>
      <c r="I45" s="412"/>
      <c r="J45" s="412"/>
      <c r="K45" s="412"/>
      <c r="L45" s="450" t="str">
        <f>IF(AND('Mapa final'!$Q$18="Muy Baja",'Mapa final'!$U$18="Leve"),CONCATENATE("R",'Mapa final'!$A$18),"")</f>
        <v/>
      </c>
      <c r="M45" s="448"/>
      <c r="N45" s="448" t="str">
        <f>IF(AND('Mapa final'!$L$19="Muy Baja",'Mapa final'!$P$19="Leve"),CONCATENATE("R",'Mapa final'!$A$19),"")</f>
        <v/>
      </c>
      <c r="O45" s="448"/>
      <c r="P45" s="448" t="str">
        <f>IF(AND('Mapa final'!$L$20="Muy Baja",'Mapa final'!$P$20="Leve"),CONCATENATE("R",'Mapa final'!$A$20),"")</f>
        <v/>
      </c>
      <c r="Q45" s="449"/>
      <c r="R45" s="450" t="str">
        <f>IF(AND('Mapa final'!$Q$18="Muy Baja",'Mapa final'!$U$18="Menor"),CONCATENATE("R",'Mapa final'!$A$18),"")</f>
        <v/>
      </c>
      <c r="S45" s="448"/>
      <c r="T45" s="448" t="str">
        <f>IF(AND('Mapa final'!$Q$19="Muy Baja",'Mapa final'!$U$19="Menor"),CONCATENATE("R",'Mapa final'!$A$19),"")</f>
        <v/>
      </c>
      <c r="U45" s="448"/>
      <c r="V45" s="448" t="str">
        <f>IF(AND('Mapa final'!$Q$20="Muy Baja",'Mapa final'!$U$20="Menor"),CONCATENATE("R",'Mapa final'!$A$20),"")</f>
        <v/>
      </c>
      <c r="W45" s="449"/>
      <c r="X45" s="427" t="str">
        <f>IF(AND('Mapa final'!$Q$18="Muy Baja",'Mapa final'!$U$18="Moderado"),CONCATENATE("R",'Mapa final'!$A$18),"")</f>
        <v/>
      </c>
      <c r="Y45" s="428"/>
      <c r="Z45" s="428" t="str">
        <f>IF(AND('Mapa final'!$Q$19="Muy Baja",'Mapa final'!$U$19="Moderado"),CONCATENATE("R",'Mapa final'!$A$19),"")</f>
        <v/>
      </c>
      <c r="AA45" s="428"/>
      <c r="AB45" s="428" t="str">
        <f>IF(AND('Mapa final'!$Q$20="Muy Baja",'Mapa final'!$U$20="Moderado"),CONCATENATE("R",'Mapa final'!$A$20),"")</f>
        <v/>
      </c>
      <c r="AC45" s="441"/>
      <c r="AD45" s="419" t="str">
        <f>IF(AND('Mapa final'!$Q$18="Muy Baja",'Mapa final'!$U$18="Mayor"),CONCATENATE("R",'Mapa final'!$A$18),"")</f>
        <v/>
      </c>
      <c r="AE45" s="416"/>
      <c r="AF45" s="416" t="str">
        <f>IF(AND('Mapa final'!$Q$19="Muy Baja",'Mapa final'!$U$19="Mayor"),CONCATENATE("R",'Mapa final'!$A$19),"")</f>
        <v/>
      </c>
      <c r="AG45" s="416"/>
      <c r="AH45" s="416" t="str">
        <f>IF(AND('Mapa final'!$Q$20="Muy Baja",'Mapa final'!$U$20="Mayor"),CONCATENATE("R",'Mapa final'!$A$20),"")</f>
        <v/>
      </c>
      <c r="AI45" s="424"/>
      <c r="AJ45" s="432" t="str">
        <f>IF(AND('Mapa final'!$Q$18="Muy Baja",'Mapa final'!$U$18="Catastrófico"),CONCATENATE("R",'Mapa final'!$A$18),"")</f>
        <v/>
      </c>
      <c r="AK45" s="433"/>
      <c r="AL45" s="433" t="str">
        <f>IF(AND('Mapa final'!$Q$19="Muy Baja",'Mapa final'!$U$19="Catastrófico"),CONCATENATE("R",'Mapa final'!$A$19),"")</f>
        <v/>
      </c>
      <c r="AM45" s="433"/>
      <c r="AN45" s="433" t="str">
        <f>IF(AND('Mapa final'!$Q$20="Muy Baja",'Mapa final'!$L$20="Catastrófico"),CONCATENATE("R",'Mapa final'!$A$20),"")</f>
        <v/>
      </c>
      <c r="AO45" s="434"/>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71"/>
      <c r="E46" s="371"/>
      <c r="F46" s="372"/>
      <c r="G46" s="411"/>
      <c r="H46" s="412"/>
      <c r="I46" s="412"/>
      <c r="J46" s="412"/>
      <c r="K46" s="412"/>
      <c r="L46" s="450"/>
      <c r="M46" s="448"/>
      <c r="N46" s="448"/>
      <c r="O46" s="448"/>
      <c r="P46" s="448"/>
      <c r="Q46" s="449"/>
      <c r="R46" s="450"/>
      <c r="S46" s="448"/>
      <c r="T46" s="448"/>
      <c r="U46" s="448"/>
      <c r="V46" s="448"/>
      <c r="W46" s="449"/>
      <c r="X46" s="427"/>
      <c r="Y46" s="428"/>
      <c r="Z46" s="428"/>
      <c r="AA46" s="428"/>
      <c r="AB46" s="428"/>
      <c r="AC46" s="441"/>
      <c r="AD46" s="419"/>
      <c r="AE46" s="416"/>
      <c r="AF46" s="416"/>
      <c r="AG46" s="416"/>
      <c r="AH46" s="416"/>
      <c r="AI46" s="424"/>
      <c r="AJ46" s="432"/>
      <c r="AK46" s="433"/>
      <c r="AL46" s="433"/>
      <c r="AM46" s="433"/>
      <c r="AN46" s="433"/>
      <c r="AO46" s="434"/>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71"/>
      <c r="E47" s="371"/>
      <c r="F47" s="372"/>
      <c r="G47" s="411"/>
      <c r="H47" s="412"/>
      <c r="I47" s="412"/>
      <c r="J47" s="412"/>
      <c r="K47" s="412"/>
      <c r="L47" s="450" t="str">
        <f>IF(AND('Mapa final'!$Q$21="Muy Baja",'Mapa final'!$U$21="Leve"),CONCATENATE("R",'Mapa final'!$A$21),"")</f>
        <v/>
      </c>
      <c r="M47" s="448"/>
      <c r="N47" s="448" t="str">
        <f>IF(AND('Mapa final'!$L$22="Muy Baja",'Mapa final'!$P$22="Leve"),CONCATENATE("R",'Mapa final'!$A$22),"")</f>
        <v/>
      </c>
      <c r="O47" s="448"/>
      <c r="P47" s="448" t="str">
        <f>IF(AND('Mapa final'!$L$23="Muy Baja",'Mapa final'!$P$23="Leve"),CONCATENATE("R",'Mapa final'!$A$23),"")</f>
        <v/>
      </c>
      <c r="Q47" s="449"/>
      <c r="R47" s="450" t="str">
        <f>IF(AND('Mapa final'!$Q$21="Muy Baja",'Mapa final'!$U$21="Menor"),CONCATENATE("R",'Mapa final'!$A$21),"")</f>
        <v/>
      </c>
      <c r="S47" s="448"/>
      <c r="T47" s="448" t="str">
        <f>IF(AND('Mapa final'!$LR$22="Muy Baja",'Mapa final'!$U$22="Menor"),CONCATENATE("R",'Mapa final'!$A$22),"")</f>
        <v/>
      </c>
      <c r="U47" s="448"/>
      <c r="V47" s="448" t="str">
        <f>IF(AND('Mapa final'!$Q$23="Muy Baja",'Mapa final'!$U$23="Menor"),CONCATENATE("R",'Mapa final'!$A$23),"")</f>
        <v/>
      </c>
      <c r="W47" s="449"/>
      <c r="X47" s="427" t="str">
        <f>IF(AND('Mapa final'!$Q$21="Muy Baja",'Mapa final'!$U$21="Moderado"),CONCATENATE("R",'Mapa final'!$A$21),"")</f>
        <v/>
      </c>
      <c r="Y47" s="428"/>
      <c r="Z47" s="428" t="str">
        <f>IF(AND('Mapa final'!$Q$22="Muy Baja",'Mapa final'!$U$22="Moderado"),CONCATENATE("R",'Mapa final'!$A$22),"")</f>
        <v/>
      </c>
      <c r="AA47" s="428"/>
      <c r="AB47" s="428" t="str">
        <f>IF(AND('Mapa final'!$Q$23="Muy Baja",'Mapa final'!$U$23="Moderado"),CONCATENATE("R",'Mapa final'!$A$23),"")</f>
        <v/>
      </c>
      <c r="AC47" s="441"/>
      <c r="AD47" s="419" t="str">
        <f>IF(AND('Mapa final'!$Q$21="Muy Baja",'Mapa final'!$U$21="Mayor"),CONCATENATE("R",'Mapa final'!$A$21),"")</f>
        <v/>
      </c>
      <c r="AE47" s="416"/>
      <c r="AF47" s="416" t="str">
        <f>IF(AND('Mapa final'!$Q$22="Muy Baja",'Mapa final'!$U$22="Mayor"),CONCATENATE("R",'Mapa final'!$A$22),"")</f>
        <v/>
      </c>
      <c r="AG47" s="416"/>
      <c r="AH47" s="416" t="str">
        <f>IF(AND('Mapa final'!$Q$23="Muy Baja",'Mapa final'!$U$23="Mayor"),CONCATENATE("R",'Mapa final'!$A$23),"")</f>
        <v/>
      </c>
      <c r="AI47" s="424"/>
      <c r="AJ47" s="432" t="str">
        <f>IF(AND('Mapa final'!$Q$21="Muy Baja",'Mapa final'!$U$21="Catastrófico"),CONCATENATE("R",'Mapa final'!$A$21),"")</f>
        <v/>
      </c>
      <c r="AK47" s="433"/>
      <c r="AL47" s="433" t="str">
        <f>IF(AND('Mapa final'!$Q$22="Muy Baja",'Mapa final'!$U$22="Catastrófico"),CONCATENATE("R",'Mapa final'!$A$22),"")</f>
        <v/>
      </c>
      <c r="AM47" s="433"/>
      <c r="AN47" s="433" t="str">
        <f>IF(AND('Mapa final'!$Q$23="Muy Baja",'Mapa final'!$U$23="Catastrófico"),CONCATENATE("R",'Mapa final'!$A$23),"")</f>
        <v/>
      </c>
      <c r="AO47" s="434"/>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71"/>
      <c r="E48" s="371"/>
      <c r="F48" s="372"/>
      <c r="G48" s="411"/>
      <c r="H48" s="412"/>
      <c r="I48" s="412"/>
      <c r="J48" s="412"/>
      <c r="K48" s="412"/>
      <c r="L48" s="450"/>
      <c r="M48" s="448"/>
      <c r="N48" s="448"/>
      <c r="O48" s="448"/>
      <c r="P48" s="448"/>
      <c r="Q48" s="449"/>
      <c r="R48" s="450"/>
      <c r="S48" s="448"/>
      <c r="T48" s="448"/>
      <c r="U48" s="448"/>
      <c r="V48" s="448"/>
      <c r="W48" s="449"/>
      <c r="X48" s="427"/>
      <c r="Y48" s="428"/>
      <c r="Z48" s="428"/>
      <c r="AA48" s="428"/>
      <c r="AB48" s="428"/>
      <c r="AC48" s="441"/>
      <c r="AD48" s="419"/>
      <c r="AE48" s="416"/>
      <c r="AF48" s="416"/>
      <c r="AG48" s="416"/>
      <c r="AH48" s="416"/>
      <c r="AI48" s="424"/>
      <c r="AJ48" s="432"/>
      <c r="AK48" s="433"/>
      <c r="AL48" s="433"/>
      <c r="AM48" s="433"/>
      <c r="AN48" s="433"/>
      <c r="AO48" s="434"/>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71"/>
      <c r="E49" s="371"/>
      <c r="F49" s="372"/>
      <c r="G49" s="411"/>
      <c r="H49" s="412"/>
      <c r="I49" s="412"/>
      <c r="J49" s="412"/>
      <c r="K49" s="412"/>
      <c r="L49" s="450" t="str">
        <f>IF(AND('Mapa final'!$Q$24="Muy Baja",'Mapa final'!$U$24="Leve"),CONCATENATE("R",'Mapa final'!$A$24),"")</f>
        <v/>
      </c>
      <c r="M49" s="448"/>
      <c r="N49" s="448" t="str">
        <f>IF(AND('Mapa final'!$L$25="Muy Baja",'Mapa final'!$P$25="Leve"),CONCATENATE("R",'Mapa final'!$A$25),"")</f>
        <v/>
      </c>
      <c r="O49" s="448"/>
      <c r="P49" s="448" t="str">
        <f>IF(AND('Mapa final'!$L$26="Muy Baja",'Mapa final'!$P$26="Leve"),CONCATENATE("R",'Mapa final'!$A$26),"")</f>
        <v/>
      </c>
      <c r="Q49" s="449"/>
      <c r="R49" s="448" t="str">
        <f>IF(AND('Mapa final'!$Q$24="Muy Baja",'Mapa final'!$U$24="Menor"),CONCATENATE("R",'Mapa final'!$A$24),"")</f>
        <v/>
      </c>
      <c r="S49" s="448"/>
      <c r="T49" s="448" t="str">
        <f>IF(AND('Mapa final'!$Q$25="Muy Baja",'Mapa final'!$U$25="Menor"),CONCATENATE("R",'Mapa final'!$A$25),"")</f>
        <v/>
      </c>
      <c r="U49" s="448"/>
      <c r="V49" s="448" t="str">
        <f>IF(AND('Mapa final'!$Q$26="Muy Baja",'Mapa final'!$U$26="Menor"),CONCATENATE("R",'Mapa final'!$A$26),"")</f>
        <v/>
      </c>
      <c r="W49" s="449"/>
      <c r="X49" s="427" t="str">
        <f>IF(AND('Mapa final'!$Q$24="Muy Baja",'Mapa final'!$U$24="Moderado"),CONCATENATE("R",'Mapa final'!$A$24),"")</f>
        <v/>
      </c>
      <c r="Y49" s="428"/>
      <c r="Z49" s="428" t="str">
        <f>IF(AND('Mapa final'!$Q$25="Muy Baja",'Mapa final'!$U$25="Moderado"),CONCATENATE("R",'Mapa final'!$A$25),"")</f>
        <v/>
      </c>
      <c r="AA49" s="428"/>
      <c r="AB49" s="428" t="str">
        <f>IF(AND('Mapa final'!$Q$26="Muy Baja",'Mapa final'!$U$26="Moderado"),CONCATENATE("R",'Mapa final'!$A$26),"")</f>
        <v/>
      </c>
      <c r="AC49" s="441"/>
      <c r="AD49" s="419" t="str">
        <f>IF(AND('Mapa final'!$Q$24="Muy Baja",'Mapa final'!$U$24="Mayor"),CONCATENATE("R",'Mapa final'!$A$24),"")</f>
        <v/>
      </c>
      <c r="AE49" s="416"/>
      <c r="AF49" s="416" t="str">
        <f>IF(AND('Mapa final'!$Q$25="Muy Baja",'Mapa final'!$U$25="Mayor"),CONCATENATE("R",'Mapa final'!$A$25),"")</f>
        <v/>
      </c>
      <c r="AG49" s="416"/>
      <c r="AH49" s="416" t="str">
        <f>IF(AND('Mapa final'!$Q$26="Muy Baja",'Mapa final'!$U$26="Mayor"),CONCATENATE("R",'Mapa final'!$A$26),"")</f>
        <v/>
      </c>
      <c r="AI49" s="424"/>
      <c r="AJ49" s="432" t="str">
        <f>IF(AND('Mapa final'!$Q$24="Muy Baja",'Mapa final'!$U$24="Catastrófico"),CONCATENATE("R",'Mapa final'!$A$24),"")</f>
        <v/>
      </c>
      <c r="AK49" s="433"/>
      <c r="AL49" s="433" t="str">
        <f>IF(AND('Mapa final'!$Q$25="Muy Baja",'Mapa final'!$U$25="Catastrófico"),CONCATENATE("R",'Mapa final'!$A$25),"")</f>
        <v/>
      </c>
      <c r="AM49" s="433"/>
      <c r="AN49" s="433" t="str">
        <f>IF(AND('Mapa final'!$Q$26="Muy Baja",'Mapa final'!$U$26="Catastrófico"),CONCATENATE("R",'Mapa final'!$A$26),"")</f>
        <v/>
      </c>
      <c r="AO49" s="434"/>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71"/>
      <c r="E50" s="371"/>
      <c r="F50" s="372"/>
      <c r="G50" s="413"/>
      <c r="H50" s="414"/>
      <c r="I50" s="414"/>
      <c r="J50" s="414"/>
      <c r="K50" s="414"/>
      <c r="L50" s="451"/>
      <c r="M50" s="452"/>
      <c r="N50" s="452"/>
      <c r="O50" s="452"/>
      <c r="P50" s="452"/>
      <c r="Q50" s="453"/>
      <c r="R50" s="452"/>
      <c r="S50" s="452"/>
      <c r="T50" s="452"/>
      <c r="U50" s="452"/>
      <c r="V50" s="452"/>
      <c r="W50" s="453"/>
      <c r="X50" s="442"/>
      <c r="Y50" s="443"/>
      <c r="Z50" s="443"/>
      <c r="AA50" s="443"/>
      <c r="AB50" s="443"/>
      <c r="AC50" s="444"/>
      <c r="AD50" s="430"/>
      <c r="AE50" s="425"/>
      <c r="AF50" s="425"/>
      <c r="AG50" s="425"/>
      <c r="AH50" s="425"/>
      <c r="AI50" s="426"/>
      <c r="AJ50" s="438"/>
      <c r="AK50" s="439"/>
      <c r="AL50" s="439"/>
      <c r="AM50" s="439"/>
      <c r="AN50" s="439"/>
      <c r="AO50" s="440"/>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20" t="s">
        <v>111</v>
      </c>
      <c r="M51" s="412"/>
      <c r="N51" s="412"/>
      <c r="O51" s="412"/>
      <c r="P51" s="412"/>
      <c r="Q51" s="421"/>
      <c r="R51" s="409" t="s">
        <v>110</v>
      </c>
      <c r="S51" s="410"/>
      <c r="T51" s="410"/>
      <c r="U51" s="410"/>
      <c r="V51" s="410"/>
      <c r="W51" s="423"/>
      <c r="X51" s="409" t="s">
        <v>109</v>
      </c>
      <c r="Y51" s="410"/>
      <c r="Z51" s="410"/>
      <c r="AA51" s="410"/>
      <c r="AB51" s="410"/>
      <c r="AC51" s="423"/>
      <c r="AD51" s="409" t="s">
        <v>108</v>
      </c>
      <c r="AE51" s="429"/>
      <c r="AF51" s="410"/>
      <c r="AG51" s="410"/>
      <c r="AH51" s="410"/>
      <c r="AI51" s="423"/>
      <c r="AJ51" s="409" t="s">
        <v>107</v>
      </c>
      <c r="AK51" s="410"/>
      <c r="AL51" s="410"/>
      <c r="AM51" s="410"/>
      <c r="AN51" s="410"/>
      <c r="AO51" s="423"/>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11"/>
      <c r="M52" s="412"/>
      <c r="N52" s="412"/>
      <c r="O52" s="412"/>
      <c r="P52" s="412"/>
      <c r="Q52" s="421"/>
      <c r="R52" s="411"/>
      <c r="S52" s="412"/>
      <c r="T52" s="412"/>
      <c r="U52" s="412"/>
      <c r="V52" s="412"/>
      <c r="W52" s="421"/>
      <c r="X52" s="411"/>
      <c r="Y52" s="412"/>
      <c r="Z52" s="412"/>
      <c r="AA52" s="412"/>
      <c r="AB52" s="412"/>
      <c r="AC52" s="421"/>
      <c r="AD52" s="411"/>
      <c r="AE52" s="412"/>
      <c r="AF52" s="412"/>
      <c r="AG52" s="412"/>
      <c r="AH52" s="412"/>
      <c r="AI52" s="421"/>
      <c r="AJ52" s="411"/>
      <c r="AK52" s="412"/>
      <c r="AL52" s="412"/>
      <c r="AM52" s="412"/>
      <c r="AN52" s="412"/>
      <c r="AO52" s="421"/>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11"/>
      <c r="M53" s="412"/>
      <c r="N53" s="412"/>
      <c r="O53" s="412"/>
      <c r="P53" s="412"/>
      <c r="Q53" s="421"/>
      <c r="R53" s="411"/>
      <c r="S53" s="412"/>
      <c r="T53" s="412"/>
      <c r="U53" s="412"/>
      <c r="V53" s="412"/>
      <c r="W53" s="421"/>
      <c r="X53" s="411"/>
      <c r="Y53" s="412"/>
      <c r="Z53" s="412"/>
      <c r="AA53" s="412"/>
      <c r="AB53" s="412"/>
      <c r="AC53" s="421"/>
      <c r="AD53" s="411"/>
      <c r="AE53" s="412"/>
      <c r="AF53" s="412"/>
      <c r="AG53" s="412"/>
      <c r="AH53" s="412"/>
      <c r="AI53" s="421"/>
      <c r="AJ53" s="411"/>
      <c r="AK53" s="412"/>
      <c r="AL53" s="412"/>
      <c r="AM53" s="412"/>
      <c r="AN53" s="412"/>
      <c r="AO53" s="421"/>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11"/>
      <c r="M54" s="412"/>
      <c r="N54" s="412"/>
      <c r="O54" s="412"/>
      <c r="P54" s="412"/>
      <c r="Q54" s="421"/>
      <c r="R54" s="411"/>
      <c r="S54" s="412"/>
      <c r="T54" s="412"/>
      <c r="U54" s="412"/>
      <c r="V54" s="412"/>
      <c r="W54" s="421"/>
      <c r="X54" s="411"/>
      <c r="Y54" s="412"/>
      <c r="Z54" s="412"/>
      <c r="AA54" s="412"/>
      <c r="AB54" s="412"/>
      <c r="AC54" s="421"/>
      <c r="AD54" s="411"/>
      <c r="AE54" s="412"/>
      <c r="AF54" s="412"/>
      <c r="AG54" s="412"/>
      <c r="AH54" s="412"/>
      <c r="AI54" s="421"/>
      <c r="AJ54" s="411"/>
      <c r="AK54" s="412"/>
      <c r="AL54" s="412"/>
      <c r="AM54" s="412"/>
      <c r="AN54" s="412"/>
      <c r="AO54" s="421"/>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11"/>
      <c r="M55" s="412"/>
      <c r="N55" s="412"/>
      <c r="O55" s="412"/>
      <c r="P55" s="412"/>
      <c r="Q55" s="421"/>
      <c r="R55" s="411"/>
      <c r="S55" s="412"/>
      <c r="T55" s="412"/>
      <c r="U55" s="412"/>
      <c r="V55" s="412"/>
      <c r="W55" s="421"/>
      <c r="X55" s="411"/>
      <c r="Y55" s="412"/>
      <c r="Z55" s="412"/>
      <c r="AA55" s="412"/>
      <c r="AB55" s="412"/>
      <c r="AC55" s="421"/>
      <c r="AD55" s="411"/>
      <c r="AE55" s="412"/>
      <c r="AF55" s="412"/>
      <c r="AG55" s="412"/>
      <c r="AH55" s="412"/>
      <c r="AI55" s="421"/>
      <c r="AJ55" s="411"/>
      <c r="AK55" s="412"/>
      <c r="AL55" s="412"/>
      <c r="AM55" s="412"/>
      <c r="AN55" s="412"/>
      <c r="AO55" s="421"/>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13"/>
      <c r="M56" s="414"/>
      <c r="N56" s="414"/>
      <c r="O56" s="414"/>
      <c r="P56" s="414"/>
      <c r="Q56" s="422"/>
      <c r="R56" s="413"/>
      <c r="S56" s="414"/>
      <c r="T56" s="414"/>
      <c r="U56" s="414"/>
      <c r="V56" s="414"/>
      <c r="W56" s="422"/>
      <c r="X56" s="413"/>
      <c r="Y56" s="414"/>
      <c r="Z56" s="414"/>
      <c r="AA56" s="414"/>
      <c r="AB56" s="414"/>
      <c r="AC56" s="422"/>
      <c r="AD56" s="413"/>
      <c r="AE56" s="414"/>
      <c r="AF56" s="414"/>
      <c r="AG56" s="414"/>
      <c r="AH56" s="414"/>
      <c r="AI56" s="422"/>
      <c r="AJ56" s="413"/>
      <c r="AK56" s="414"/>
      <c r="AL56" s="414"/>
      <c r="AM56" s="414"/>
      <c r="AN56" s="414"/>
      <c r="AO56" s="422"/>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16" activePane="bottomLeft" state="frozen"/>
      <selection pane="bottomLeft" activeCell="AL49" sqref="AL49"/>
    </sheetView>
  </sheetViews>
  <sheetFormatPr baseColWidth="10" defaultRowHeight="15" x14ac:dyDescent="0.25"/>
  <cols>
    <col min="3" max="11" width="5.7109375" customWidth="1"/>
    <col min="12" max="12" width="12" customWidth="1"/>
    <col min="13" max="19" width="5.7109375" customWidth="1"/>
    <col min="20" max="20" width="6.7109375" customWidth="1"/>
    <col min="21" max="22" width="5.7109375" customWidth="1"/>
    <col min="23" max="23" width="9.85546875" customWidth="1"/>
    <col min="24" max="24" width="5.7109375" customWidth="1"/>
    <col min="25" max="25" width="8.42578125" customWidth="1"/>
    <col min="26" max="26" width="9" customWidth="1"/>
    <col min="27" max="27" width="10.140625" customWidth="1"/>
    <col min="28" max="28" width="7.85546875" customWidth="1"/>
    <col min="29" max="29" width="10.7109375" customWidth="1"/>
    <col min="30" max="30" width="10.28515625" customWidth="1"/>
    <col min="31" max="34" width="5.7109375" customWidth="1"/>
    <col min="35" max="35" width="4.42578125" customWidth="1"/>
    <col min="36" max="36" width="4.28515625" customWidth="1"/>
    <col min="37" max="37" width="8.85546875" customWidth="1"/>
    <col min="38" max="39" width="5.7109375" customWidth="1"/>
    <col min="40" max="40" width="9.28515625" customWidth="1"/>
    <col min="42" max="47" width="5.7109375" customWidth="1"/>
  </cols>
  <sheetData>
    <row r="1" spans="1:92" ht="15.75" thickBot="1" x14ac:dyDescent="0.3"/>
    <row r="2" spans="1:92" x14ac:dyDescent="0.25">
      <c r="C2" s="362" t="s">
        <v>251</v>
      </c>
      <c r="D2" s="363"/>
      <c r="E2" s="363"/>
      <c r="F2" s="363"/>
      <c r="G2" s="363"/>
      <c r="H2" s="363"/>
      <c r="I2" s="363"/>
      <c r="J2" s="364"/>
      <c r="K2" s="353" t="s">
        <v>205</v>
      </c>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5"/>
      <c r="AO2" s="285" t="s">
        <v>377</v>
      </c>
      <c r="AP2" s="350"/>
      <c r="AQ2" s="350"/>
      <c r="AR2" s="350"/>
      <c r="AS2" s="350"/>
      <c r="AT2" s="350"/>
      <c r="AU2" s="258"/>
    </row>
    <row r="3" spans="1:92" x14ac:dyDescent="0.25">
      <c r="C3" s="365"/>
      <c r="D3" s="366"/>
      <c r="E3" s="366"/>
      <c r="F3" s="366"/>
      <c r="G3" s="366"/>
      <c r="H3" s="366"/>
      <c r="I3" s="366"/>
      <c r="J3" s="367"/>
      <c r="K3" s="356"/>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8"/>
      <c r="AO3" s="286" t="s">
        <v>264</v>
      </c>
      <c r="AP3" s="351"/>
      <c r="AQ3" s="351"/>
      <c r="AR3" s="351"/>
      <c r="AS3" s="351"/>
      <c r="AT3" s="351"/>
      <c r="AU3" s="260"/>
    </row>
    <row r="4" spans="1:92" x14ac:dyDescent="0.25">
      <c r="C4" s="365"/>
      <c r="D4" s="366"/>
      <c r="E4" s="366"/>
      <c r="F4" s="366"/>
      <c r="G4" s="366"/>
      <c r="H4" s="366"/>
      <c r="I4" s="366"/>
      <c r="J4" s="367"/>
      <c r="K4" s="356"/>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8"/>
      <c r="AO4" s="286" t="s">
        <v>389</v>
      </c>
      <c r="AP4" s="351" t="s">
        <v>263</v>
      </c>
      <c r="AQ4" s="351"/>
      <c r="AR4" s="351"/>
      <c r="AS4" s="351"/>
      <c r="AT4" s="351"/>
      <c r="AU4" s="260"/>
    </row>
    <row r="5" spans="1:92" ht="15.75" thickBot="1" x14ac:dyDescent="0.3">
      <c r="C5" s="368"/>
      <c r="D5" s="369"/>
      <c r="E5" s="369"/>
      <c r="F5" s="369"/>
      <c r="G5" s="369"/>
      <c r="H5" s="369"/>
      <c r="I5" s="369"/>
      <c r="J5" s="370"/>
      <c r="K5" s="359"/>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1"/>
      <c r="AO5" s="287" t="s">
        <v>245</v>
      </c>
      <c r="AP5" s="352" t="s">
        <v>245</v>
      </c>
      <c r="AQ5" s="352"/>
      <c r="AR5" s="352"/>
      <c r="AS5" s="352"/>
      <c r="AT5" s="352"/>
      <c r="AU5" s="262"/>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07" t="s">
        <v>266</v>
      </c>
      <c r="B8" s="507"/>
      <c r="C8" s="486" t="s">
        <v>156</v>
      </c>
      <c r="D8" s="487"/>
      <c r="E8" s="487"/>
      <c r="F8" s="487"/>
      <c r="G8" s="487"/>
      <c r="H8" s="487"/>
      <c r="I8" s="487"/>
      <c r="J8" s="487"/>
      <c r="K8" s="488" t="s">
        <v>2</v>
      </c>
      <c r="L8" s="488"/>
      <c r="M8" s="488"/>
      <c r="N8" s="488"/>
      <c r="O8" s="488"/>
      <c r="P8" s="488"/>
      <c r="Q8" s="488"/>
      <c r="R8" s="488"/>
      <c r="S8" s="488"/>
      <c r="T8" s="488"/>
      <c r="U8" s="488"/>
      <c r="V8" s="488"/>
      <c r="W8" s="488"/>
      <c r="X8" s="488"/>
      <c r="Y8" s="488"/>
      <c r="Z8" s="488"/>
      <c r="AA8" s="488"/>
      <c r="AB8" s="488"/>
      <c r="AC8" s="488"/>
      <c r="AD8" s="488"/>
      <c r="AE8" s="488"/>
      <c r="AF8" s="488"/>
      <c r="AG8" s="488"/>
      <c r="AH8" s="488"/>
      <c r="AI8" s="488"/>
      <c r="AJ8" s="488"/>
      <c r="AK8" s="488"/>
      <c r="AL8" s="488"/>
      <c r="AM8" s="488"/>
      <c r="AN8" s="488"/>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87"/>
      <c r="D9" s="487"/>
      <c r="E9" s="487"/>
      <c r="F9" s="487"/>
      <c r="G9" s="487"/>
      <c r="H9" s="487"/>
      <c r="I9" s="487"/>
      <c r="J9" s="487"/>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87"/>
      <c r="D10" s="487"/>
      <c r="E10" s="487"/>
      <c r="F10" s="487"/>
      <c r="G10" s="487"/>
      <c r="H10" s="487"/>
      <c r="I10" s="487"/>
      <c r="J10" s="487"/>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71" t="s">
        <v>4</v>
      </c>
      <c r="D12" s="371"/>
      <c r="E12" s="372"/>
      <c r="F12" s="458" t="s">
        <v>115</v>
      </c>
      <c r="G12" s="459"/>
      <c r="H12" s="459"/>
      <c r="I12" s="459"/>
      <c r="J12" s="459"/>
      <c r="K12" s="32" t="str">
        <f>IF(AND('Mapa final'!$AJ$15="Muy Alta",'Mapa final'!$AL$15="Leve"),CONCATENATE("R2C",'Mapa final'!$S$15),"")</f>
        <v/>
      </c>
      <c r="L12" s="33" t="str">
        <f>IF(AND('Mapa final'!$AJ$16="Muy Alta",'Mapa final'!$AL$16="Leve"),CONCATENATE("R2C",'Mapa final'!$S$16),"")</f>
        <v/>
      </c>
      <c r="M12" s="33" t="str">
        <f>IF(AND('Mapa final'!$AJ$17="Muy Alta",'Mapa final'!$AL$17="Leve"),CONCATENATE("R2C",'Mapa final'!$S$17),"")</f>
        <v/>
      </c>
      <c r="N12" s="33" t="str">
        <f>IF(AND('Mapa final'!$AJ$18="Muy Alta",'Mapa final'!$AL$18="Leve"),CONCATENATE("R2C",'Mapa final'!$S$18),"")</f>
        <v/>
      </c>
      <c r="O12" s="33" t="str">
        <f>IF(AND('Mapa final'!$AJ$19="Muy Alta",'Mapa final'!$AL$19="Leve"),CONCATENATE("R2C",'Mapa final'!$S$19),"")</f>
        <v/>
      </c>
      <c r="P12" s="34" t="str">
        <f>IF(AND('Mapa final'!$AJ$20="Muy Alta",'Mapa final'!$AL$20="Leve"),CONCATENATE("R2C",'Mapa final'!$S$20),"")</f>
        <v/>
      </c>
      <c r="Q12" s="33" t="str">
        <f>IF(AND('Mapa final'!$AJ$15="Muy Alta",'Mapa final'!$AL$15="Menor"),CONCATENATE("R2C",'Mapa final'!$S$15),"")</f>
        <v/>
      </c>
      <c r="R12" s="33" t="str">
        <f>IF(AND('Mapa final'!$AJ$16="Muy Alta",'Mapa final'!$AL$16="Menore"),CONCATENATE("R2C",'Mapa final'!$S$16),"")</f>
        <v/>
      </c>
      <c r="S12" s="33" t="str">
        <f>IF(AND('Mapa final'!$AJ$17="Muy Alta",'Mapa final'!$AL$17="Menor"),CONCATENATE("R2C",'Mapa final'!$S$17),"")</f>
        <v/>
      </c>
      <c r="T12" s="33" t="str">
        <f>IF(AND('Mapa final'!$AJ$18="Muy Alta",'Mapa final'!$AL$18="Menor"),CONCATENATE("R2C",'Mapa final'!$S$18),"")</f>
        <v/>
      </c>
      <c r="U12" s="33" t="str">
        <f>IF(AND('Mapa final'!$AJ$19="Muy Alta",'Mapa final'!$AL$19="Menor"),CONCATENATE("R2C",'Mapa final'!$S$19),"")</f>
        <v/>
      </c>
      <c r="V12" s="34" t="str">
        <f>IF(AND('Mapa final'!$AJ$20="Muy Alta",'Mapa final'!$AL$20="Menor"),CONCATENATE("R2C",'Mapa final'!$S$20),"")</f>
        <v/>
      </c>
      <c r="W12" s="32" t="str">
        <f>IF(AND('Mapa final'!$AJ$15="Muy Alta",'Mapa final'!$AL$15="Moderado"),CONCATENATE("R2C",'Mapa final'!$S$15),"")</f>
        <v/>
      </c>
      <c r="X12" s="33" t="str">
        <f>IF(AND('Mapa final'!$AJ$16="Muy Alta",'Mapa final'!$AL$16="Moderado"),CONCATENATE("R2C",'Mapa final'!$S$16),"")</f>
        <v/>
      </c>
      <c r="Y12" s="33"/>
      <c r="Z12" s="33" t="str">
        <f>IF(AND('Mapa final'!$AJ$18="Muy Alta",'Mapa final'!$AL$18="Moderado"),CONCATENATE("R2C",'Mapa final'!$S$18),"")</f>
        <v/>
      </c>
      <c r="AA12" s="33" t="str">
        <f>IF(AND('Mapa final'!$AJ$19="Muy Alta",'Mapa final'!$AL$19="Moderado"),CONCATENATE("R2C",'Mapa final'!$S$19),"")</f>
        <v/>
      </c>
      <c r="AB12" s="34" t="str">
        <f>IF(AND('Mapa final'!$AJ$20="Muy Alta",'Mapa final'!$AL$20="Moderado"),CONCATENATE("R2C",'Mapa final'!$S$20),"")</f>
        <v/>
      </c>
      <c r="AC12" s="32" t="str">
        <f>IF(AND('Mapa final'!$AJ$15="Muy Alta",'Mapa final'!$AL$15="Mayor"),CONCATENATE("R2C",'Mapa final'!$S$15),"")</f>
        <v/>
      </c>
      <c r="AD12" s="33" t="str">
        <f>IF(AND('Mapa final'!$AJ$16="Muy Alta",'Mapa final'!$AL$16="Mayor"),CONCATENATE("R2C",'Mapa final'!$S$16),"")</f>
        <v/>
      </c>
      <c r="AE12" s="33" t="str">
        <f>IF(AND('Mapa final'!$AJ$17="Muy Alta",'Mapa final'!$AL$17="Mayor"),CONCATENATE("R2C",'Mapa final'!$S$17),"")</f>
        <v/>
      </c>
      <c r="AF12" s="33" t="str">
        <f>IF(AND('Mapa final'!$AJ$18="Muy Alta",'Mapa final'!$AL$18="Mayor"),CONCATENATE("R2C",'Mapa final'!$S$18),"")</f>
        <v/>
      </c>
      <c r="AG12" s="33" t="str">
        <f>IF(AND('Mapa final'!$AJ$19="Muy Alta",'Mapa final'!$AL$19="Mayor"),CONCATENATE("R2C",'Mapa final'!$S$19),"")</f>
        <v/>
      </c>
      <c r="AH12" s="34" t="str">
        <f>IF(AND('Mapa final'!$AJ$20="Muy Alta",'Mapa final'!$AL$20="Mayor"),CONCATENATE("R2C",'Mapa final'!$S$20),"")</f>
        <v/>
      </c>
      <c r="AI12" s="35" t="str">
        <f>IF(AND('Mapa final'!$AJ$15="Muy Alta",'Mapa final'!$AL$15="Catastrófico"),CONCATENATE("R2C",'Mapa final'!$S$15),"")</f>
        <v/>
      </c>
      <c r="AJ12" s="36" t="str">
        <f>IF(AND('Mapa final'!$AJ$16="Muy Alta",'Mapa final'!$AL$16="Catastrófico"),CONCATENATE("R2C",'Mapa final'!$S$16),"")</f>
        <v/>
      </c>
      <c r="AK12" s="36" t="str">
        <f>IF(AND('Mapa final'!$AJ$17="Muy Alta",'Mapa final'!$AL$17="Catastrófico"),CONCATENATE("R2C",'Mapa final'!$S$17),"")</f>
        <v/>
      </c>
      <c r="AL12" s="36" t="str">
        <f>IF(AND('Mapa final'!$AJ$18="Muy Alta",'Mapa final'!$AL$18="Catastrófico"),CONCATENATE("R2C",'Mapa final'!$S$18),"")</f>
        <v/>
      </c>
      <c r="AM12" s="36" t="str">
        <f>IF(AND('Mapa final'!$AJ$19="Muy Alta",'Mapa final'!$AL$19="Catastrófico"),CONCATENATE("R2C",'Mapa final'!$S$19),"")</f>
        <v/>
      </c>
      <c r="AN12" s="37" t="str">
        <f>IF(AND('Mapa final'!$AJ$20="Muy Alta",'Mapa final'!$AL$20="Catastrófico"),CONCATENATE("R2C",'Mapa final'!$S$20),"")</f>
        <v/>
      </c>
      <c r="AO12" s="69"/>
      <c r="AP12" s="477" t="s">
        <v>78</v>
      </c>
      <c r="AQ12" s="478"/>
      <c r="AR12" s="478"/>
      <c r="AS12" s="478"/>
      <c r="AT12" s="478"/>
      <c r="AU12" s="47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71"/>
      <c r="D13" s="371"/>
      <c r="E13" s="372"/>
      <c r="F13" s="461"/>
      <c r="G13" s="462"/>
      <c r="H13" s="462"/>
      <c r="I13" s="462"/>
      <c r="J13" s="462"/>
      <c r="K13" s="38" t="str">
        <f>IF(AND('Mapa final'!$AJ$21="Muy Alta",'Mapa final'!$AL$21="Leve"),CONCATENATE("R2C",'Mapa final'!$S$21),"")</f>
        <v/>
      </c>
      <c r="L13" s="39" t="str">
        <f>IF(AND('Mapa final'!$AJ$22="Muy Alta",'Mapa final'!$AL$22="Leve"),CONCATENATE("R2C",'Mapa final'!$S$22),"")</f>
        <v/>
      </c>
      <c r="M13" s="39" t="str">
        <f>IF(AND('Mapa final'!$AJ$23="Muy Alta",'Mapa final'!$AL$23="Leve"),CONCATENATE("R2C",'Mapa final'!$S$23),"")</f>
        <v/>
      </c>
      <c r="N13" s="39" t="str">
        <f>IF(AND('Mapa final'!$AJ$24="Muy Alta",'Mapa final'!$AL$24="Leve"),CONCATENATE("R2C",'Mapa final'!$S$24),"")</f>
        <v/>
      </c>
      <c r="O13" s="39" t="str">
        <f>IF(AND('Mapa final'!$AJ$25="Muy Alta",'Mapa final'!$AL$25="Leve"),CONCATENATE("R2C",'Mapa final'!$S$25),"")</f>
        <v/>
      </c>
      <c r="P13" s="40" t="str">
        <f>IF(AND('Mapa final'!$AJ$26="Muy Alta",'Mapa final'!$AL$26="Leve"),CONCATENATE("R2C",'Mapa final'!$S$26),"")</f>
        <v/>
      </c>
      <c r="Q13" s="39" t="str">
        <f>IF(AND('Mapa final'!$AJ$21="Muy Alta",'Mapa final'!$AL$21="Menor"),CONCATENATE("R2C",'Mapa final'!$S$21),"")</f>
        <v/>
      </c>
      <c r="R13" s="39" t="str">
        <f>IF(AND('Mapa final'!$AJ$22="Muy Alta",'Mapa final'!$AL$22="Menor"),CONCATENATE("R2C",'Mapa final'!$S$22),"")</f>
        <v/>
      </c>
      <c r="S13" s="39" t="str">
        <f>IF(AND('Mapa final'!$AJ$23="Muy Alta",'Mapa final'!$AL$23="Menor"),CONCATENATE("R2C",'Mapa final'!$S$23),"")</f>
        <v/>
      </c>
      <c r="T13" s="39" t="str">
        <f>IF(AND('Mapa final'!$AJ$24="Muy Alta",'Mapa final'!$AL$24="Menor"),CONCATENATE("R2C",'Mapa final'!$S$24),"")</f>
        <v/>
      </c>
      <c r="U13" s="39" t="str">
        <f>IF(AND('Mapa final'!$AJ$25="Muy Alta",'Mapa final'!$AL$25="Menor"),CONCATENATE("R2C",'Mapa final'!$S$25),"")</f>
        <v/>
      </c>
      <c r="V13" s="40" t="str">
        <f>IF(AND('Mapa final'!$AJ$26="Muy Alta",'Mapa final'!$AL$26="Menor"),CONCATENATE("R2C",'Mapa final'!$S$26),"")</f>
        <v/>
      </c>
      <c r="W13" s="38" t="str">
        <f>IF(AND('Mapa final'!$AJ$21="Muy Alta",'Mapa final'!$AL$21="Moderado"),CONCATENATE("R2C",'Mapa final'!$S$21),"")</f>
        <v/>
      </c>
      <c r="X13" s="39" t="str">
        <f>IF(AND('Mapa final'!$AJ$22="Muy Alta",'Mapa final'!$AL$22="Moderado"),CONCATENATE("R2C",'Mapa final'!$S$22),"")</f>
        <v/>
      </c>
      <c r="Y13" s="39" t="str">
        <f>IF(AND('Mapa final'!$AJ$23="Muy Alta",'Mapa final'!$AL$23="Moderado"),CONCATENATE("R2C",'Mapa final'!$S$23),"")</f>
        <v/>
      </c>
      <c r="Z13" s="39" t="str">
        <f>IF(AND('Mapa final'!$AJ$24="Muy Alta",'Mapa final'!$AL$24="Moderado"),CONCATENATE("R2C",'Mapa final'!$S$24),"")</f>
        <v/>
      </c>
      <c r="AA13" s="39" t="str">
        <f>IF(AND('Mapa final'!$AJ$25="Muy Alta",'Mapa final'!$AL$25="Moderado"),CONCATENATE("R2C",'Mapa final'!$S$25),"")</f>
        <v/>
      </c>
      <c r="AB13" s="40" t="str">
        <f>IF(AND('Mapa final'!$AJ$26="Muy Alta",'Mapa final'!$AL$26="Moderado"),CONCATENATE("R2C",'Mapa final'!$S$26),"")</f>
        <v/>
      </c>
      <c r="AC13" s="38" t="str">
        <f>IF(AND('Mapa final'!$AJ$21="Muy Alta",'Mapa final'!$AL$21="Mayor"),CONCATENATE("R2C",'Mapa final'!$S$21),"")</f>
        <v/>
      </c>
      <c r="AD13" s="39" t="str">
        <f>IF(AND('Mapa final'!$AJ$22="Muy Alta",'Mapa final'!$AL$22="Mayor"),CONCATENATE("R2C",'Mapa final'!$S$22),"")</f>
        <v/>
      </c>
      <c r="AE13" s="39" t="str">
        <f>IF(AND('Mapa final'!$AJ$23="Muy Alta",'Mapa final'!$AL$23="Mayor"),CONCATENATE("R2C",'Mapa final'!$S$23),"")</f>
        <v/>
      </c>
      <c r="AF13" s="39" t="str">
        <f>IF(AND('Mapa final'!$AJ$24="Muy Alta",'Mapa final'!$AL$24="Mayor"),CONCATENATE("R2C",'Mapa final'!$S$24),"")</f>
        <v/>
      </c>
      <c r="AG13" s="39" t="str">
        <f>IF(AND('Mapa final'!$AJ$25="Muy Alta",'Mapa final'!$AL$25="Mayor"),CONCATENATE("R2C",'Mapa final'!$S$25),"")</f>
        <v/>
      </c>
      <c r="AH13" s="40" t="str">
        <f>IF(AND('Mapa final'!$AJ$26="Muy Alta",'Mapa final'!$AL$26="Mayor"),CONCATENATE("R2C",'Mapa final'!$S$26),"")</f>
        <v/>
      </c>
      <c r="AI13" s="41" t="str">
        <f>IF(AND('Mapa final'!$AJ$21="Muy Alta",'Mapa final'!$AL$21="Catastrófico"),CONCATENATE("R2C",'Mapa final'!$S$21),"")</f>
        <v/>
      </c>
      <c r="AJ13" s="42" t="str">
        <f>IF(AND('Mapa final'!$AJ$22="Muy Alta",'Mapa final'!$AL$22="Catastrófico"),CONCATENATE("R2C",'Mapa final'!$S$22),"")</f>
        <v/>
      </c>
      <c r="AK13" s="42" t="str">
        <f>IF(AND('Mapa final'!$AJ$23="Muy Alta",'Mapa final'!$AL$23="Catastrófico"),CONCATENATE("R2C",'Mapa final'!$S$23),"")</f>
        <v/>
      </c>
      <c r="AL13" s="42" t="str">
        <f>IF(AND('Mapa final'!$AJ$24="Muy Alta",'Mapa final'!$AL$24="Catastrófico"),CONCATENATE("R2C",'Mapa final'!$S$24),"")</f>
        <v/>
      </c>
      <c r="AM13" s="42" t="str">
        <f>IF(AND('Mapa final'!$AJ$25="Muy Alta",'Mapa final'!$AL$25="Catastrófico"),CONCATENATE("R2C",'Mapa final'!$S$25),"")</f>
        <v/>
      </c>
      <c r="AN13" s="43" t="str">
        <f>IF(AND('Mapa final'!$AJ$26="Muy Alta",'Mapa final'!$AL$26="Catastrófico"),CONCATENATE("R2C",'Mapa final'!$S$26),"")</f>
        <v/>
      </c>
      <c r="AO13" s="69"/>
      <c r="AP13" s="480"/>
      <c r="AQ13" s="481"/>
      <c r="AR13" s="481"/>
      <c r="AS13" s="481"/>
      <c r="AT13" s="481"/>
      <c r="AU13" s="482"/>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71"/>
      <c r="D14" s="371"/>
      <c r="E14" s="372"/>
      <c r="F14" s="461"/>
      <c r="G14" s="462"/>
      <c r="H14" s="462"/>
      <c r="I14" s="462"/>
      <c r="J14" s="462"/>
      <c r="K14" s="38" t="str">
        <f>IF(AND('Mapa final'!$AJ$27="Muy Alta",'Mapa final'!$AL$27="Leve"),CONCATENATE("R2C",'Mapa final'!$S$27),"")</f>
        <v/>
      </c>
      <c r="L14" s="39" t="str">
        <f>IF(AND('Mapa final'!$AJ$28="Muy Alta",'Mapa final'!$AL$28="Leve"),CONCATENATE("R2C",'Mapa final'!$S$28),"")</f>
        <v/>
      </c>
      <c r="M14" s="39" t="str">
        <f>IF(AND('Mapa final'!$AJ$29="Muy Alta",'Mapa final'!$AL$29="Leve"),CONCATENATE("R2C",'Mapa final'!$S$29),"")</f>
        <v/>
      </c>
      <c r="N14" s="39" t="str">
        <f>IF(AND('Mapa final'!$AJ$30="Muy Alta",'Mapa final'!$AL$30="Leve"),CONCATENATE("R2C",'Mapa final'!$S$30),"")</f>
        <v/>
      </c>
      <c r="O14" s="39" t="str">
        <f>IF(AND('Mapa final'!$AJ$31="Muy Alta",'Mapa final'!$AL$31="Leve"),CONCATENATE("R2C",'Mapa final'!$S$31),"")</f>
        <v/>
      </c>
      <c r="P14" s="40" t="str">
        <f>IF(AND('Mapa final'!$AJ$32="Muy Alta",'Mapa final'!$AL$32="Leve"),CONCATENATE("R2C",'Mapa final'!$S$32),"")</f>
        <v/>
      </c>
      <c r="Q14" s="39" t="str">
        <f>IF(AND('Mapa final'!$AJ$27="Muy Alta",'Mapa final'!$AL$27="Menor"),CONCATENATE("R2C",'Mapa final'!$S$27),"")</f>
        <v/>
      </c>
      <c r="R14" s="39" t="str">
        <f>IF(AND('Mapa final'!$AJ$28="Muy Alta",'Mapa final'!$AL$28="Menor"),CONCATENATE("R2C",'Mapa final'!$S$28),"")</f>
        <v/>
      </c>
      <c r="S14" s="39" t="str">
        <f>IF(AND('Mapa final'!$AJ$29="Muy Alta",'Mapa final'!$AL$29="Menor"),CONCATENATE("R2C",'Mapa final'!$S$29),"")</f>
        <v/>
      </c>
      <c r="T14" s="39" t="str">
        <f>IF(AND('Mapa final'!$AJ$30="Muy Alta",'Mapa final'!$AL$30="Menor"),CONCATENATE("R2C",'Mapa final'!$S$30),"")</f>
        <v/>
      </c>
      <c r="U14" s="39" t="str">
        <f>IF(AND('Mapa final'!$AJ$31="Muy Alta",'Mapa final'!$AL$31="Menor"),CONCATENATE("R2C",'Mapa final'!$S$31),"")</f>
        <v/>
      </c>
      <c r="V14" s="40" t="str">
        <f>IF(AND('Mapa final'!$AJ$32="Muy Alta",'Mapa final'!$AL$32="Menor"),CONCATENATE("R2C",'Mapa final'!$S$32),"")</f>
        <v/>
      </c>
      <c r="W14" s="38" t="str">
        <f>IF(AND('Mapa final'!$AJ$27="Muy Alta",'Mapa final'!$AL$27="Moderado"),CONCATENATE("R2C",'Mapa final'!$S$27),"")</f>
        <v/>
      </c>
      <c r="X14" s="39" t="str">
        <f>IF(AND('Mapa final'!$AJ$28="Muy Alta",'Mapa final'!$AL$28="Moderado"),CONCATENATE("R2C",'Mapa final'!$S$28),"")</f>
        <v/>
      </c>
      <c r="Y14" s="39" t="str">
        <f>IF(AND('Mapa final'!$AJ$29="Muy Alta",'Mapa final'!$AL$29="Moderado"),CONCATENATE("R2C",'Mapa final'!$S$29),"")</f>
        <v/>
      </c>
      <c r="Z14" s="39" t="str">
        <f>IF(AND('Mapa final'!$AJ$30="Muy Alta",'Mapa final'!$AL$30="Moderado"),CONCATENATE("R2C",'Mapa final'!$S$30),"")</f>
        <v/>
      </c>
      <c r="AA14" s="39" t="str">
        <f>IF(AND('Mapa final'!$AJ$31="Muy Alta",'Mapa final'!$AL$31="Moderado"),CONCATENATE("R2C",'Mapa final'!$S$31),"")</f>
        <v/>
      </c>
      <c r="AB14" s="40" t="str">
        <f>IF(AND('Mapa final'!$AJ$32="Muy Alta",'Mapa final'!$AL$32="Moderado"),CONCATENATE("R2C",'Mapa final'!$S$32),"")</f>
        <v/>
      </c>
      <c r="AC14" s="38" t="str">
        <f>IF(AND('Mapa final'!$AJ$27="Muy Alta",'Mapa final'!$AL$27="Mayor"),CONCATENATE("R2C",'Mapa final'!$S$27),"")</f>
        <v/>
      </c>
      <c r="AD14" s="39" t="str">
        <f>IF(AND('Mapa final'!$AJ$28="Muy Alta",'Mapa final'!$AL$28="Mayor"),CONCATENATE("R2C",'Mapa final'!$S$28),"")</f>
        <v/>
      </c>
      <c r="AE14" s="39" t="str">
        <f>IF(AND('Mapa final'!$AJ$29="Muy Alta",'Mapa final'!$AL$29="Mayor"),CONCATENATE("R2C",'Mapa final'!$S$29),"")</f>
        <v/>
      </c>
      <c r="AF14" s="39" t="str">
        <f>IF(AND('Mapa final'!$AJ$30="Muy Alta",'Mapa final'!$AL$30="Mayor"),CONCATENATE("R2C",'Mapa final'!$S$30),"")</f>
        <v/>
      </c>
      <c r="AG14" s="39" t="str">
        <f>IF(AND('Mapa final'!$AJ$31="Muy Alta",'Mapa final'!$AL$31="Mayor"),CONCATENATE("R2C",'Mapa final'!$S$31),"")</f>
        <v/>
      </c>
      <c r="AH14" s="40" t="str">
        <f>IF(AND('Mapa final'!$AJ$32="Muy Alta",'Mapa final'!$AL$32="Mayor"),CONCATENATE("R2C",'Mapa final'!$S$32),"")</f>
        <v/>
      </c>
      <c r="AI14" s="41" t="str">
        <f>IF(AND('Mapa final'!$AJ$27="Muy Alta",'Mapa final'!$AL$27="Catastrófico"),CONCATENATE("R2C",'Mapa final'!$S$27),"")</f>
        <v/>
      </c>
      <c r="AJ14" s="42" t="str">
        <f>IF(AND('Mapa final'!$AJ$28="Muy Alta",'Mapa final'!$AL$28="Catastrófico"),CONCATENATE("R2C",'Mapa final'!$S$28),"")</f>
        <v/>
      </c>
      <c r="AK14" s="42" t="str">
        <f>IF(AND('Mapa final'!$AJ$29="Muy Alta",'Mapa final'!$AL$29="Catastrófico"),CONCATENATE("R2C",'Mapa final'!$S$29),"")</f>
        <v/>
      </c>
      <c r="AL14" s="42" t="str">
        <f>IF(AND('Mapa final'!$AJ$30="Muy Alta",'Mapa final'!$AL$30="Catastrófico"),CONCATENATE("R2C",'Mapa final'!$S$30),"")</f>
        <v/>
      </c>
      <c r="AM14" s="42" t="str">
        <f>IF(AND('Mapa final'!$AJ$31="Muy Alta",'Mapa final'!$AL$31="Catastrófico"),CONCATENATE("R2C",'Mapa final'!$S$31),"")</f>
        <v/>
      </c>
      <c r="AN14" s="43" t="str">
        <f>IF(AND('Mapa final'!$AJ$32="Muy Alta",'Mapa final'!$AL$32="Catastrófico"),CONCATENATE("R2C",'Mapa final'!$S$32),"")</f>
        <v/>
      </c>
      <c r="AO14" s="69"/>
      <c r="AP14" s="480"/>
      <c r="AQ14" s="481"/>
      <c r="AR14" s="481"/>
      <c r="AS14" s="481"/>
      <c r="AT14" s="481"/>
      <c r="AU14" s="482"/>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71"/>
      <c r="D15" s="371"/>
      <c r="E15" s="372"/>
      <c r="F15" s="461"/>
      <c r="G15" s="462"/>
      <c r="H15" s="462"/>
      <c r="I15" s="462"/>
      <c r="J15" s="462"/>
      <c r="K15" s="38" t="str">
        <f>IF(AND('Mapa final'!$AJ$33="Muy Alta",'Mapa final'!$AL$33="Leve"),CONCATENATE("R2C",'Mapa final'!$S$33),"")</f>
        <v/>
      </c>
      <c r="L15" s="39" t="str">
        <f>IF(AND('Mapa final'!$AJ$34="Muy Alta",'Mapa final'!$AL$34="Leve"),CONCATENATE("R2C",'Mapa final'!$S$34),"")</f>
        <v/>
      </c>
      <c r="M15" s="39" t="str">
        <f>IF(AND('Mapa final'!$AJ$35="Muy Alta",'Mapa final'!$AL$35="Leve"),CONCATENATE("R2C",'Mapa final'!$S$35),"")</f>
        <v/>
      </c>
      <c r="N15" s="39" t="str">
        <f>IF(AND('Mapa final'!$AJ$36="Muy Alta",'Mapa final'!$AL$36="Leve"),CONCATENATE("R2C",'Mapa final'!$S$36),"")</f>
        <v/>
      </c>
      <c r="O15" s="39" t="str">
        <f>IF(AND('Mapa final'!$AJ$37="Muy Alta",'Mapa final'!$AL$37="Leve"),CONCATENATE("R2C",'Mapa final'!$S$37),"")</f>
        <v/>
      </c>
      <c r="P15" s="40" t="str">
        <f>IF(AND('Mapa final'!$AJ$38="Muy Alta",'Mapa final'!$AL$38="Leve"),CONCATENATE("R2C",'Mapa final'!$S$38),"")</f>
        <v/>
      </c>
      <c r="Q15" s="39" t="str">
        <f>IF(AND('Mapa final'!$AJ$33="Muy Alta",'Mapa final'!$AL$33="Menor"),CONCATENATE("R2C",'Mapa final'!$S$33),"")</f>
        <v/>
      </c>
      <c r="R15" s="39" t="str">
        <f>IF(AND('Mapa final'!$AJ$34="Muy Alta",'Mapa final'!$AL$34="Menor"),CONCATENATE("R2C",'Mapa final'!$S$34),"")</f>
        <v/>
      </c>
      <c r="S15" s="39" t="str">
        <f>IF(AND('Mapa final'!$AJ$35="Muy Alta",'Mapa final'!$AL$35="Menor"),CONCATENATE("R2C",'Mapa final'!$S$35),"")</f>
        <v/>
      </c>
      <c r="T15" s="39" t="str">
        <f>IF(AND('Mapa final'!$AJ$36="Muy Alta",'Mapa final'!$AL$36="Menor"),CONCATENATE("R2C",'Mapa final'!$S$36),"")</f>
        <v/>
      </c>
      <c r="U15" s="39" t="str">
        <f>IF(AND('Mapa final'!$AJ$37="Muy Alta",'Mapa final'!$AL$37="LMenor"),CONCATENATE("R2C",'Mapa final'!$S$37),"")</f>
        <v/>
      </c>
      <c r="V15" s="40" t="str">
        <f>IF(AND('Mapa final'!$AJ$38="Muy Alta",'Mapa final'!$AL$38="Menor"),CONCATENATE("R2C",'Mapa final'!$S$38),"")</f>
        <v/>
      </c>
      <c r="W15" s="38" t="str">
        <f>IF(AND('Mapa final'!$AJ$33="Muy Alta",'Mapa final'!$AL$33="Moderado"),CONCATENATE("R2C",'Mapa final'!$S$33),"")</f>
        <v/>
      </c>
      <c r="X15" s="39" t="str">
        <f>IF(AND('Mapa final'!$AJ$34="Muy Alta",'Mapa final'!$AL$34="Moderado"),CONCATENATE("R2C",'Mapa final'!$S$34),"")</f>
        <v/>
      </c>
      <c r="Y15" s="39" t="str">
        <f>IF(AND('Mapa final'!$AJ$35="Muy Alta",'Mapa final'!$AL$35="Moderado"),CONCATENATE("R2C",'Mapa final'!$S$35),"")</f>
        <v/>
      </c>
      <c r="Z15" s="39" t="str">
        <f>IF(AND('Mapa final'!$AJ$36="Muy Alta",'Mapa final'!$AL$36="Moderado"),CONCATENATE("R2C",'Mapa final'!$S$36),"")</f>
        <v/>
      </c>
      <c r="AA15" s="39" t="str">
        <f>IF(AND('Mapa final'!$AJ$37="Muy Alta",'Mapa final'!$AL$37="Moderado"),CONCATENATE("R2C",'Mapa final'!$S$37),"")</f>
        <v/>
      </c>
      <c r="AB15" s="40" t="str">
        <f>IF(AND('Mapa final'!$AJ$38="Muy Alta",'Mapa final'!$AL$38="Moderado"),CONCATENATE("R2C",'Mapa final'!$S$38),"")</f>
        <v/>
      </c>
      <c r="AC15" s="38" t="str">
        <f>IF(AND('Mapa final'!$AJ$33="Muy Alta",'Mapa final'!$AL$33="Mayor"),CONCATENATE("R2C",'Mapa final'!$S$33),"")</f>
        <v/>
      </c>
      <c r="AD15" s="39" t="str">
        <f>IF(AND('Mapa final'!$AJ$34="Muy Alta",'Mapa final'!$AL$34="Mayor"),CONCATENATE("R2C",'Mapa final'!$S$34),"")</f>
        <v/>
      </c>
      <c r="AE15" s="39" t="str">
        <f>IF(AND('Mapa final'!$AJ$35="Muy Alta",'Mapa final'!$AL$35="Mayor"),CONCATENATE("R2C",'Mapa final'!$S$35),"")</f>
        <v/>
      </c>
      <c r="AF15" s="39" t="str">
        <f>IF(AND('Mapa final'!$AJ$36="Muy Alta",'Mapa final'!$AL$36="Mayor"),CONCATENATE("R2C",'Mapa final'!$S$36),"")</f>
        <v/>
      </c>
      <c r="AG15" s="39" t="str">
        <f>IF(AND('Mapa final'!$AJ$37="Muy Alta",'Mapa final'!$AL$37="Mayor"),CONCATENATE("R2C",'Mapa final'!$S$37),"")</f>
        <v/>
      </c>
      <c r="AH15" s="40" t="str">
        <f>IF(AND('Mapa final'!$AJ$38="Muy Alta",'Mapa final'!$AL$38="Mayor"),CONCATENATE("R2C",'Mapa final'!$S$38),"")</f>
        <v/>
      </c>
      <c r="AI15" s="41" t="str">
        <f>IF(AND('Mapa final'!$AJ$33="Muy Alta",'Mapa final'!$AL$33="Catastrófico"),CONCATENATE("R2C",'Mapa final'!$S$33),"")</f>
        <v/>
      </c>
      <c r="AJ15" s="42" t="str">
        <f>IF(AND('Mapa final'!$AJ$34="Muy Alta",'Mapa final'!$AL$34="Catastrófico"),CONCATENATE("R2C",'Mapa final'!$S$34),"")</f>
        <v/>
      </c>
      <c r="AK15" s="42" t="str">
        <f>IF(AND('Mapa final'!$AJ$35="Muy Alta",'Mapa final'!$AL$35="Catastrófico"),CONCATENATE("R2C",'Mapa final'!$S$35),"")</f>
        <v/>
      </c>
      <c r="AL15" s="42" t="str">
        <f>IF(AND('Mapa final'!$AJ$36="Muy Alta",'Mapa final'!$AL$36="Catastrófico"),CONCATENATE("R2C",'Mapa final'!$S$36),"")</f>
        <v/>
      </c>
      <c r="AM15" s="42" t="str">
        <f>IF(AND('Mapa final'!$AJ$37="Muy Alta",'Mapa final'!$AL$37="LCatastrófico"),CONCATENATE("R2C",'Mapa final'!$S$37),"")</f>
        <v/>
      </c>
      <c r="AN15" s="43" t="str">
        <f>IF(AND('Mapa final'!$AJ$38="Muy Alta",'Mapa final'!$AL$38="Catastrófico"),CONCATENATE("R2C",'Mapa final'!$S$38),"")</f>
        <v/>
      </c>
      <c r="AO15" s="69"/>
      <c r="AP15" s="480"/>
      <c r="AQ15" s="481"/>
      <c r="AR15" s="481"/>
      <c r="AS15" s="481"/>
      <c r="AT15" s="481"/>
      <c r="AU15" s="482"/>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71"/>
      <c r="D16" s="371"/>
      <c r="E16" s="372"/>
      <c r="F16" s="461"/>
      <c r="G16" s="462"/>
      <c r="H16" s="462"/>
      <c r="I16" s="462"/>
      <c r="J16" s="462"/>
      <c r="K16" s="38" t="str">
        <f>IF(AND('Mapa final'!$AJ$39="Muy Alta",'Mapa final'!$AL$39="Leve"),CONCATENATE("R2C",'Mapa final'!$S$39),"")</f>
        <v/>
      </c>
      <c r="L16" s="39" t="str">
        <f>IF(AND('Mapa final'!$AJ$40="Muy Alta",'Mapa final'!$AL$40="Leve"),CONCATENATE("R2C",'Mapa final'!$S$40),"")</f>
        <v/>
      </c>
      <c r="M16" s="39" t="str">
        <f>IF(AND('Mapa final'!$AJ$41="Muy Alta",'Mapa final'!$AL$41="Leve"),CONCATENATE("R2C",'Mapa final'!$S$41),"")</f>
        <v/>
      </c>
      <c r="N16" s="39" t="str">
        <f>IF(AND('Mapa final'!$AJ$42="Muy Alta",'Mapa final'!$AL$42="Leve"),CONCATENATE("R2C",'Mapa final'!$S$42),"")</f>
        <v/>
      </c>
      <c r="O16" s="39" t="str">
        <f>IF(AND('Mapa final'!$AJ$43="Muy Alta",'Mapa final'!$AL$43="Leve"),CONCATENATE("R2C",'Mapa final'!$S$43),"")</f>
        <v/>
      </c>
      <c r="P16" s="40" t="str">
        <f>IF(AND('Mapa final'!$AJ$44="Muy Alta",'Mapa final'!$AL$44="Leve"),CONCATENATE("R2C",'Mapa final'!$S$44),"")</f>
        <v/>
      </c>
      <c r="Q16" s="39" t="str">
        <f>IF(AND('Mapa final'!$AJ$39="Muy Alta",'Mapa final'!$AL$39="Menor"),CONCATENATE("R2C",'Mapa final'!$S$39),"")</f>
        <v/>
      </c>
      <c r="R16" s="39" t="str">
        <f>IF(AND('Mapa final'!$AJ$40="Muy Alta",'Mapa final'!$AL$40="Menor"),CONCATENATE("R2C",'Mapa final'!$S$40),"")</f>
        <v/>
      </c>
      <c r="S16" s="39" t="str">
        <f>IF(AND('Mapa final'!$AJ$41="Muy Alta",'Mapa final'!$AL$41="Menor"),CONCATENATE("R2C",'Mapa final'!$S$41),"")</f>
        <v/>
      </c>
      <c r="T16" s="39" t="str">
        <f>IF(AND('Mapa final'!$AJ$42="Muy Alta",'Mapa final'!$AL$42="Menor"),CONCATENATE("R2C",'Mapa final'!$S$42),"")</f>
        <v/>
      </c>
      <c r="U16" s="39" t="str">
        <f>IF(AND('Mapa final'!$AJ$43="Muy Alta",'Mapa final'!$AL$43="Menor"),CONCATENATE("R2C",'Mapa final'!$S$43),"")</f>
        <v/>
      </c>
      <c r="V16" s="40" t="str">
        <f>IF(AND('Mapa final'!$AJ$44="Muy Alta",'Mapa final'!$AL$44="Menor"),CONCATENATE("R2C",'Mapa final'!$S$44),"")</f>
        <v/>
      </c>
      <c r="W16" s="38" t="str">
        <f>IF(AND('Mapa final'!$AJ$39="Muy Alta",'Mapa final'!$AL$39="Moderado"),CONCATENATE("R2C",'Mapa final'!$S$39),"")</f>
        <v/>
      </c>
      <c r="X16" s="39" t="str">
        <f>IF(AND('Mapa final'!$AJ$40="Muy Alta",'Mapa final'!$AL$40="Moderado"),CONCATENATE("R2C",'Mapa final'!$S$40),"")</f>
        <v/>
      </c>
      <c r="Y16" s="39" t="str">
        <f>IF(AND('Mapa final'!$AJ$41="Muy Alta",'Mapa final'!$AL$41="Moderado"),CONCATENATE("R2C",'Mapa final'!$S$41),"")</f>
        <v/>
      </c>
      <c r="Z16" s="39" t="str">
        <f>IF(AND('Mapa final'!$AJ$42="Muy Alta",'Mapa final'!$AL$42="Moderado"),CONCATENATE("R2C",'Mapa final'!$S$42),"")</f>
        <v/>
      </c>
      <c r="AA16" s="39" t="str">
        <f>IF(AND('Mapa final'!$AJ$43="Muy Alta",'Mapa final'!$AL$43="Moderado"),CONCATENATE("R2C",'Mapa final'!$S$43),"")</f>
        <v/>
      </c>
      <c r="AB16" s="40" t="str">
        <f>IF(AND('Mapa final'!$AJ$44="Muy Alta",'Mapa final'!$AL$44="Moderado"),CONCATENATE("R2C",'Mapa final'!$S$44),"")</f>
        <v/>
      </c>
      <c r="AC16" s="38" t="str">
        <f>IF(AND('Mapa final'!$AJ$39="Muy Alta",'Mapa final'!$AL$39="Mayor"),CONCATENATE("R2C",'Mapa final'!$S$39),"")</f>
        <v/>
      </c>
      <c r="AD16" s="39" t="str">
        <f>IF(AND('Mapa final'!$AJ$40="Muy Alta",'Mapa final'!$AL$40="Mayor"),CONCATENATE("R2C",'Mapa final'!$S$40),"")</f>
        <v/>
      </c>
      <c r="AE16" s="39" t="str">
        <f>IF(AND('Mapa final'!$AJ$41="Muy Alta",'Mapa final'!$AL$41="Mayor"),CONCATENATE("R2C",'Mapa final'!$S$41),"")</f>
        <v/>
      </c>
      <c r="AF16" s="39" t="str">
        <f>IF(AND('Mapa final'!$AJ$42="Muy Alta",'Mapa final'!$AL$42="Mayor"),CONCATENATE("R2C",'Mapa final'!$S$42),"")</f>
        <v/>
      </c>
      <c r="AG16" s="39" t="str">
        <f>IF(AND('Mapa final'!$AJ$43="Muy Alta",'Mapa final'!$AL$43="Mayor"),CONCATENATE("R2C",'Mapa final'!$S$43),"")</f>
        <v/>
      </c>
      <c r="AH16" s="40" t="str">
        <f>IF(AND('Mapa final'!$AJ$44="Muy Alta",'Mapa final'!$AL$44="Mayor"),CONCATENATE("R2C",'Mapa final'!$S$44),"")</f>
        <v/>
      </c>
      <c r="AI16" s="41" t="str">
        <f>IF(AND('Mapa final'!$AJ$39="Muy Alta",'Mapa final'!$AL$39="Catastrófico"),CONCATENATE("R2C",'Mapa final'!$S$39),"")</f>
        <v/>
      </c>
      <c r="AJ16" s="42" t="str">
        <f>IF(AND('Mapa final'!$AJ$40="Muy Alta",'Mapa final'!$AL$40="Catastrófico"),CONCATENATE("R2C",'Mapa final'!$S$40),"")</f>
        <v/>
      </c>
      <c r="AK16" s="42" t="str">
        <f>IF(AND('Mapa final'!$AJ$41="Muy Alta",'Mapa final'!$AL$41="Catastrófico"),CONCATENATE("R2C",'Mapa final'!$S$41),"")</f>
        <v/>
      </c>
      <c r="AL16" s="42" t="str">
        <f>IF(AND('Mapa final'!$AJ$42="Muy Alta",'Mapa final'!$AL$42="Catastrófico"),CONCATENATE("R2C",'Mapa final'!$S$42),"")</f>
        <v/>
      </c>
      <c r="AM16" s="42" t="str">
        <f>IF(AND('Mapa final'!$AJ$43="Muy Alta",'Mapa final'!$AL$43="Catastrófico"),CONCATENATE("R2C",'Mapa final'!$S$43),"")</f>
        <v/>
      </c>
      <c r="AN16" s="43" t="str">
        <f>IF(AND('Mapa final'!$AJ$44="Muy Alta",'Mapa final'!$AL$44="Catastrófico"),CONCATENATE("R2C",'Mapa final'!$S$44),"")</f>
        <v/>
      </c>
      <c r="AO16" s="69"/>
      <c r="AP16" s="480"/>
      <c r="AQ16" s="481"/>
      <c r="AR16" s="481"/>
      <c r="AS16" s="481"/>
      <c r="AT16" s="481"/>
      <c r="AU16" s="482"/>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71"/>
      <c r="D17" s="371"/>
      <c r="E17" s="372"/>
      <c r="F17" s="461"/>
      <c r="G17" s="462"/>
      <c r="H17" s="462"/>
      <c r="I17" s="462"/>
      <c r="J17" s="462"/>
      <c r="K17" s="38" t="str">
        <f>IF(AND('Mapa final'!$AJ$45="Muy Alta",'Mapa final'!$AL$45="Leve"),CONCATENATE("R2C",'Mapa final'!$S$45),"")</f>
        <v/>
      </c>
      <c r="L17" s="39" t="str">
        <f>IF(AND('Mapa final'!$AJ$46="Muy Alta",'Mapa final'!$AL$46="Leve"),CONCATENATE("R2C",'Mapa final'!$S$46),"")</f>
        <v/>
      </c>
      <c r="M17" s="39" t="str">
        <f>IF(AND('Mapa final'!$AJ$47="Muy Alta",'Mapa final'!$AL$47="Leve"),CONCATENATE("R2C",'Mapa final'!$S$47),"")</f>
        <v/>
      </c>
      <c r="N17" s="39" t="str">
        <f>IF(AND('Mapa final'!$AJ$48="Muy Alta",'Mapa final'!$AL$48="Leve"),CONCATENATE("R2C",'Mapa final'!$S$48),"")</f>
        <v/>
      </c>
      <c r="O17" s="39" t="str">
        <f>IF(AND('Mapa final'!$AJ$49="Muy Alta",'Mapa final'!$AL$49="Leve"),CONCATENATE("R2C",'Mapa final'!$S$49),"")</f>
        <v/>
      </c>
      <c r="P17" s="40" t="str">
        <f>IF(AND('Mapa final'!$AJ$60="Muy Alta",'Mapa final'!$AL$50="Leve"),CONCATENATE("R2C",'Mapa final'!$S$50),"")</f>
        <v/>
      </c>
      <c r="Q17" s="39" t="str">
        <f>IF(AND('Mapa final'!$AJ$45="Muy Alta",'Mapa final'!$AL$45="Menor"),CONCATENATE("R2C",'Mapa final'!$S$45),"")</f>
        <v/>
      </c>
      <c r="R17" s="39" t="str">
        <f>IF(AND('Mapa final'!$AJ$46="Muy Alta",'Mapa final'!$AL$46="Menor"),CONCATENATE("R2C",'Mapa final'!$S$46),"")</f>
        <v/>
      </c>
      <c r="S17" s="39" t="str">
        <f>IF(AND('Mapa final'!$AJ$47="Muy Alta",'Mapa final'!$AL$47="Menor"),CONCATENATE("R2C",'Mapa final'!$S$47),"")</f>
        <v/>
      </c>
      <c r="T17" s="39" t="str">
        <f>IF(AND('Mapa final'!$AJ$48="Muy Alta",'Mapa final'!$AL$48="Menor"),CONCATENATE("R2C",'Mapa final'!$S$48),"")</f>
        <v/>
      </c>
      <c r="U17" s="39" t="str">
        <f>IF(AND('Mapa final'!$AJ$49="Muy Alta",'Mapa final'!$AL$49="Menor"),CONCATENATE("R2C",'Mapa final'!$S$49),"")</f>
        <v/>
      </c>
      <c r="V17" s="40" t="str">
        <f>IF(AND('Mapa final'!$AJ$60="Muy Alta",'Mapa final'!$AL$50="Menor"),CONCATENATE("R2C",'Mapa final'!$S$50),"")</f>
        <v/>
      </c>
      <c r="W17" s="38" t="str">
        <f>IF(AND('Mapa final'!$AJ$45="Muy Alta",'Mapa final'!$AL$45="Moderado"),CONCATENATE("R2C",'Mapa final'!$S$45),"")</f>
        <v/>
      </c>
      <c r="X17" s="39" t="str">
        <f>IF(AND('Mapa final'!$AJ$46="Muy Alta",'Mapa final'!$AL$46="Moderado"),CONCATENATE("R2C",'Mapa final'!$S$46),"")</f>
        <v/>
      </c>
      <c r="Y17" s="39" t="str">
        <f>IF(AND('Mapa final'!$AJ$47="Muy Alta",'Mapa final'!$AL$47="Moderado"),CONCATENATE("R2C",'Mapa final'!$S$47),"")</f>
        <v/>
      </c>
      <c r="Z17" s="39" t="str">
        <f>IF(AND('Mapa final'!$AJ$48="Muy Alta",'Mapa final'!$AL$48="Moderado"),CONCATENATE("R2C",'Mapa final'!$S$48),"")</f>
        <v/>
      </c>
      <c r="AA17" s="39" t="str">
        <f>IF(AND('Mapa final'!$AJ$49="Muy Alta",'Mapa final'!$AL$49="Moderado"),CONCATENATE("R2C",'Mapa final'!$S$49),"")</f>
        <v/>
      </c>
      <c r="AB17" s="40" t="str">
        <f>IF(AND('Mapa final'!$AJ$60="Muy Alta",'Mapa final'!$AL$50="Moderado"),CONCATENATE("R2C",'Mapa final'!$S$50),"")</f>
        <v/>
      </c>
      <c r="AC17" s="38" t="str">
        <f>IF(AND('Mapa final'!$AJ$45="Muy Alta",'Mapa final'!$AL$45="Mayor"),CONCATENATE("R2C",'Mapa final'!$S$45),"")</f>
        <v/>
      </c>
      <c r="AD17" s="39" t="str">
        <f>IF(AND('Mapa final'!$AJ$46="Muy Alta",'Mapa final'!$AL$46="Mayor"),CONCATENATE("R2C",'Mapa final'!$S$46),"")</f>
        <v/>
      </c>
      <c r="AE17" s="39" t="str">
        <f>IF(AND('Mapa final'!$AJ$47="Muy Alta",'Mapa final'!$AL$47="Mayor"),CONCATENATE("R2C",'Mapa final'!$S$47),"")</f>
        <v/>
      </c>
      <c r="AF17" s="39" t="str">
        <f>IF(AND('Mapa final'!$AJ$48="Muy Alta",'Mapa final'!$AL$48="Mayor"),CONCATENATE("R2C",'Mapa final'!$S$48),"")</f>
        <v/>
      </c>
      <c r="AG17" s="39" t="str">
        <f>IF(AND('Mapa final'!$AJ$49="Muy Alta",'Mapa final'!$AL$49="Mayor"),CONCATENATE("R2C",'Mapa final'!$S$49),"")</f>
        <v/>
      </c>
      <c r="AH17" s="40" t="str">
        <f>IF(AND('Mapa final'!$AJ$60="Muy Alta",'Mapa final'!$AL$50="Mayor"),CONCATENATE("R2C",'Mapa final'!$S$50),"")</f>
        <v/>
      </c>
      <c r="AI17" s="41" t="str">
        <f>IF(AND('Mapa final'!$AJ$45="Muy Alta",'Mapa final'!$AL$45="Catastrófico"),CONCATENATE("R2C",'Mapa final'!$S$45),"")</f>
        <v/>
      </c>
      <c r="AJ17" s="42" t="str">
        <f>IF(AND('Mapa final'!$AJ$46="Muy Alta",'Mapa final'!$AL$46="Catastrófico"),CONCATENATE("R2C",'Mapa final'!$S$46),"")</f>
        <v/>
      </c>
      <c r="AK17" s="42" t="str">
        <f>IF(AND('Mapa final'!$AJ$47="Muy Alta",'Mapa final'!$AL$47="Catastrófico"),CONCATENATE("R2C",'Mapa final'!$S$47),"")</f>
        <v/>
      </c>
      <c r="AL17" s="42" t="str">
        <f>IF(AND('Mapa final'!$AJ$48="Muy Alta",'Mapa final'!$AL$48="Catastrófico"),CONCATENATE("R2C",'Mapa final'!$S$48),"")</f>
        <v/>
      </c>
      <c r="AM17" s="42" t="str">
        <f>IF(AND('Mapa final'!$AJ$49="Muy Alta",'Mapa final'!$AL$49="Catastrófico"),CONCATENATE("R2C",'Mapa final'!$S$49),"")</f>
        <v/>
      </c>
      <c r="AN17" s="43" t="str">
        <f>IF(AND('Mapa final'!$AJ$60="Muy Alta",'Mapa final'!$AL$50="Catastrófico"),CONCATENATE("R2C",'Mapa final'!$S$50),"")</f>
        <v/>
      </c>
      <c r="AO17" s="69"/>
      <c r="AP17" s="480"/>
      <c r="AQ17" s="481"/>
      <c r="AR17" s="481"/>
      <c r="AS17" s="481"/>
      <c r="AT17" s="481"/>
      <c r="AU17" s="482"/>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71"/>
      <c r="D18" s="371"/>
      <c r="E18" s="372"/>
      <c r="F18" s="461"/>
      <c r="G18" s="462"/>
      <c r="H18" s="462"/>
      <c r="I18" s="462"/>
      <c r="J18" s="462"/>
      <c r="K18" s="38" t="str">
        <f>IF(AND('Mapa final'!$AJ$51="Muy Alta",'Mapa final'!$AL$51="Leve"),CONCATENATE("R2C",'Mapa final'!$S$51),"")</f>
        <v/>
      </c>
      <c r="L18" s="39" t="str">
        <f>IF(AND('Mapa final'!$AJ$52="Muy Alta",'Mapa final'!$AL$52="Leve"),CONCATENATE("R2C",'Mapa final'!$S$52),"")</f>
        <v/>
      </c>
      <c r="M18" s="39" t="str">
        <f>IF(AND('Mapa final'!$AJ$53="Muy Alta",'Mapa final'!$AL$53="Leve"),CONCATENATE("R2C",'Mapa final'!$S$53),"")</f>
        <v/>
      </c>
      <c r="N18" s="39" t="str">
        <f>IF(AND('Mapa final'!$AJ$54="Muy Alta",'Mapa final'!$AL$54="Leve"),CONCATENATE("R2C",'Mapa final'!$S$54),"")</f>
        <v/>
      </c>
      <c r="O18" s="39" t="str">
        <f>IF(AND('Mapa final'!$AJ$55="Muy Alta",'Mapa final'!$AL$55="Leve"),CONCATENATE("R2C",'Mapa final'!$S$55),"")</f>
        <v/>
      </c>
      <c r="P18" s="40" t="str">
        <f>IF(AND('Mapa final'!$AJ$56="Muy Alta",'Mapa final'!$AL$56="Leve"),CONCATENATE("R2C",'Mapa final'!$S$56),"")</f>
        <v/>
      </c>
      <c r="Q18" s="39" t="str">
        <f>IF(AND('Mapa final'!$AJ$51="Muy Alta",'Mapa final'!$AL$51="Menor"),CONCATENATE("R2C",'Mapa final'!$S$51),"")</f>
        <v/>
      </c>
      <c r="R18" s="39" t="str">
        <f>IF(AND('Mapa final'!$AJ$52="Muy Alta",'Mapa final'!$AL$52="Menor"),CONCATENATE("R2C",'Mapa final'!$S$52),"")</f>
        <v/>
      </c>
      <c r="S18" s="39" t="str">
        <f>IF(AND('Mapa final'!$AJ$53="Muy Alta",'Mapa final'!$AL$53="Menor"),CONCATENATE("R2C",'Mapa final'!$S$53),"")</f>
        <v/>
      </c>
      <c r="T18" s="39" t="str">
        <f>IF(AND('Mapa final'!$AJ$54="Muy Alta",'Mapa final'!$AL$54="Menor"),CONCATENATE("R2C",'Mapa final'!$S$54),"")</f>
        <v/>
      </c>
      <c r="U18" s="39" t="str">
        <f>IF(AND('Mapa final'!$AJ$55="Muy Alta",'Mapa final'!$AL$55="Menor"),CONCATENATE("R2C",'Mapa final'!$S$55),"")</f>
        <v/>
      </c>
      <c r="V18" s="40" t="str">
        <f>IF(AND('Mapa final'!$AJ$56="Muy Alta",'Mapa final'!$AL$56="Menor"),CONCATENATE("R2C",'Mapa final'!$S$56),"")</f>
        <v/>
      </c>
      <c r="W18" s="38" t="str">
        <f>IF(AND('Mapa final'!$AJ$51="Muy Alta",'Mapa final'!$AL$51="Moderado"),CONCATENATE("R2C",'Mapa final'!$S$51),"")</f>
        <v/>
      </c>
      <c r="X18" s="39" t="str">
        <f>IF(AND('Mapa final'!$AJ$52="Muy Alta",'Mapa final'!$AL$52="Moderado"),CONCATENATE("R2C",'Mapa final'!$S$52),"")</f>
        <v/>
      </c>
      <c r="Y18" s="39" t="str">
        <f>IF(AND('Mapa final'!$AJ$53="Muy Alta",'Mapa final'!$AL$53="Moderado"),CONCATENATE("R2C",'Mapa final'!$S$53),"")</f>
        <v/>
      </c>
      <c r="Z18" s="39" t="str">
        <f>IF(AND('Mapa final'!$AJ$54="Muy Alta",'Mapa final'!$AL$54="Moderado"),CONCATENATE("R2C",'Mapa final'!$S$54),"")</f>
        <v/>
      </c>
      <c r="AA18" s="39" t="str">
        <f>IF(AND('Mapa final'!$AJ$55="Muy Alta",'Mapa final'!$AL$55="Moderado"),CONCATENATE("R2C",'Mapa final'!$S$55),"")</f>
        <v/>
      </c>
      <c r="AB18" s="40" t="str">
        <f>IF(AND('Mapa final'!$AJ$56="Muy Alta",'Mapa final'!$AL$56="Moderado"),CONCATENATE("R2C",'Mapa final'!$S$56),"")</f>
        <v/>
      </c>
      <c r="AC18" s="38" t="str">
        <f>IF(AND('Mapa final'!$AJ$51="Muy Alta",'Mapa final'!$AL$51="Mayor"),CONCATENATE("R2C",'Mapa final'!$S$51),"")</f>
        <v/>
      </c>
      <c r="AD18" s="39" t="str">
        <f>IF(AND('Mapa final'!$AJ$52="Muy Alta",'Mapa final'!$AL$52="Mayor"),CONCATENATE("R2C",'Mapa final'!$S$52),"")</f>
        <v/>
      </c>
      <c r="AE18" s="39" t="str">
        <f>IF(AND('Mapa final'!$AJ$53="Muy Alta",'Mapa final'!$AL$53="Mayor"),CONCATENATE("R2C",'Mapa final'!$S$53),"")</f>
        <v/>
      </c>
      <c r="AF18" s="39" t="str">
        <f>IF(AND('Mapa final'!$AJ$54="Muy Alta",'Mapa final'!$AL$54="Mayor"),CONCATENATE("R2C",'Mapa final'!$S$54),"")</f>
        <v/>
      </c>
      <c r="AG18" s="39" t="str">
        <f>IF(AND('Mapa final'!$AJ$55="Muy Alta",'Mapa final'!$AL$55="Mayor"),CONCATENATE("R2C",'Mapa final'!$S$55),"")</f>
        <v/>
      </c>
      <c r="AH18" s="40" t="str">
        <f>IF(AND('Mapa final'!$AJ$56="Muy Alta",'Mapa final'!$AL$56="Mayor"),CONCATENATE("R2C",'Mapa final'!$S$56),"")</f>
        <v/>
      </c>
      <c r="AI18" s="41" t="str">
        <f>IF(AND('Mapa final'!$AJ$51="Muy Alta",'Mapa final'!$AL$51="Catastrófico"),CONCATENATE("R2C",'Mapa final'!$S$51),"")</f>
        <v/>
      </c>
      <c r="AJ18" s="42" t="str">
        <f>IF(AND('Mapa final'!$AJ$52="Muy Alta",'Mapa final'!$AL$52="Catastrófico"),CONCATENATE("R2C",'Mapa final'!$S$52),"")</f>
        <v/>
      </c>
      <c r="AK18" s="42" t="str">
        <f>IF(AND('Mapa final'!$AJ$53="Muy Alta",'Mapa final'!$AL$53="Catastrófico"),CONCATENATE("R2C",'Mapa final'!$S$53),"")</f>
        <v/>
      </c>
      <c r="AL18" s="42" t="str">
        <f>IF(AND('Mapa final'!$AJ$54="Muy Alta",'Mapa final'!$AL$54="Catastrófico"),CONCATENATE("R2C",'Mapa final'!$S$54),"")</f>
        <v/>
      </c>
      <c r="AM18" s="42" t="str">
        <f>IF(AND('Mapa final'!$AJ$55="Muy Alta",'Mapa final'!$AL$55="Catastrófico"),CONCATENATE("R2C",'Mapa final'!$S$55),"")</f>
        <v/>
      </c>
      <c r="AN18" s="43" t="str">
        <f>IF(AND('Mapa final'!$AJ$56="Muy Alta",'Mapa final'!$AL$56="Catastrófico"),CONCATENATE("R2C",'Mapa final'!$S$56),"")</f>
        <v/>
      </c>
      <c r="AO18" s="69"/>
      <c r="AP18" s="480"/>
      <c r="AQ18" s="481"/>
      <c r="AR18" s="481"/>
      <c r="AS18" s="481"/>
      <c r="AT18" s="481"/>
      <c r="AU18" s="482"/>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71"/>
      <c r="D19" s="371"/>
      <c r="E19" s="372"/>
      <c r="F19" s="461"/>
      <c r="G19" s="462"/>
      <c r="H19" s="462"/>
      <c r="I19" s="462"/>
      <c r="J19" s="462"/>
      <c r="K19" s="38" t="str">
        <f>IF(AND('Mapa final'!$AJ$57="Muy Alta",'Mapa final'!$AL$57="Leve"),CONCATENATE("R2C",'Mapa final'!$S$57),"")</f>
        <v/>
      </c>
      <c r="L19" s="39" t="str">
        <f>IF(AND('Mapa final'!$AJ$58="Muy Alta",'Mapa final'!$AL$58="Leve"),CONCATENATE("R2C",'Mapa final'!$S$58),"")</f>
        <v/>
      </c>
      <c r="M19" s="39" t="str">
        <f>IF(AND('Mapa final'!$AJ$59="Muy Alta",'Mapa final'!$AL$59="Leve"),CONCATENATE("R2C",'Mapa final'!$S$59),"")</f>
        <v/>
      </c>
      <c r="N19" s="39" t="str">
        <f>IF(AND('Mapa final'!$AJ$60="Muy Alta",'Mapa final'!$AL$60="Leve"),CONCATENATE("R2C",'Mapa final'!$S$60),"")</f>
        <v/>
      </c>
      <c r="O19" s="39" t="str">
        <f>IF(AND('Mapa final'!$AJ$61="Muy Alta",'Mapa final'!$AL$61="Leve"),CONCATENATE("R2C",'Mapa final'!$S$61),"")</f>
        <v/>
      </c>
      <c r="P19" s="40" t="str">
        <f>IF(AND('Mapa final'!$AJ$62="Muy Alta",'Mapa final'!$AL$62="Leve"),CONCATENATE("R2C",'Mapa final'!$S$62),"")</f>
        <v/>
      </c>
      <c r="Q19" s="39" t="str">
        <f>IF(AND('Mapa final'!$AJ$57="Muy Alta",'Mapa final'!$AL$57="Menor"),CONCATENATE("R2C",'Mapa final'!$S$57),"")</f>
        <v/>
      </c>
      <c r="R19" s="39" t="str">
        <f>IF(AND('Mapa final'!$AJ$58="Muy Alta",'Mapa final'!$AL$58="Menor"),CONCATENATE("R2C",'Mapa final'!$S$58),"")</f>
        <v/>
      </c>
      <c r="S19" s="39" t="str">
        <f>IF(AND('Mapa final'!$AJ$59="Muy Alta",'Mapa final'!$AL$59="Menor"),CONCATENATE("R2C",'Mapa final'!$S$59),"")</f>
        <v/>
      </c>
      <c r="T19" s="39" t="str">
        <f>IF(AND('Mapa final'!$AJ$60="Muy Alta",'Mapa final'!$AL$60="Menor"),CONCATENATE("R2C",'Mapa final'!$S$60),"")</f>
        <v/>
      </c>
      <c r="U19" s="39" t="str">
        <f>IF(AND('Mapa final'!$AJ$61="Muy Alta",'Mapa final'!$AL$61="Menor"),CONCATENATE("R2C",'Mapa final'!$S$61),"")</f>
        <v/>
      </c>
      <c r="V19" s="40" t="str">
        <f>IF(AND('Mapa final'!$AJ$62="Muy Alta",'Mapa final'!$AL$62="Menor"),CONCATENATE("R2C",'Mapa final'!$S$62),"")</f>
        <v/>
      </c>
      <c r="W19" s="38" t="str">
        <f>IF(AND('Mapa final'!$AJ$57="Muy Alta",'Mapa final'!$AL$57="Moderado"),CONCATENATE("R2C",'Mapa final'!$S$57),"")</f>
        <v/>
      </c>
      <c r="X19" s="39" t="str">
        <f>IF(AND('Mapa final'!$AJ$58="Muy Alta",'Mapa final'!$AL$58="Moderado"),CONCATENATE("R2C",'Mapa final'!$S$58),"")</f>
        <v/>
      </c>
      <c r="Y19" s="39" t="str">
        <f>IF(AND('Mapa final'!$AJ$59="Muy Alta",'Mapa final'!$AL$59="Moderado"),CONCATENATE("R2C",'Mapa final'!$S$59),"")</f>
        <v/>
      </c>
      <c r="Z19" s="39" t="str">
        <f>IF(AND('Mapa final'!$AJ$60="Muy Alta",'Mapa final'!$AL$60="Moderado"),CONCATENATE("R2C",'Mapa final'!$S$60),"")</f>
        <v/>
      </c>
      <c r="AA19" s="39" t="str">
        <f>IF(AND('Mapa final'!$AJ$61="Muy Alta",'Mapa final'!$AL$61="Moderado"),CONCATENATE("R2C",'Mapa final'!$S$61),"")</f>
        <v/>
      </c>
      <c r="AB19" s="40" t="str">
        <f>IF(AND('Mapa final'!$AJ$62="Muy Alta",'Mapa final'!$AL$62="Moderado"),CONCATENATE("R2C",'Mapa final'!$S$62),"")</f>
        <v/>
      </c>
      <c r="AC19" s="38" t="str">
        <f>IF(AND('Mapa final'!$AJ$57="Muy Alta",'Mapa final'!$AL$57="Mayor"),CONCATENATE("R2C",'Mapa final'!$S$57),"")</f>
        <v/>
      </c>
      <c r="AD19" s="39" t="str">
        <f>IF(AND('Mapa final'!$AJ$58="Muy Alta",'Mapa final'!$AL$58="Mayor"),CONCATENATE("R2C",'Mapa final'!$S$58),"")</f>
        <v/>
      </c>
      <c r="AE19" s="39" t="str">
        <f>IF(AND('Mapa final'!$AJ$59="Muy Alta",'Mapa final'!$AL$59="Mayor"),CONCATENATE("R2C",'Mapa final'!$S$59),"")</f>
        <v/>
      </c>
      <c r="AF19" s="39" t="str">
        <f>IF(AND('Mapa final'!$AJ$60="Muy Alta",'Mapa final'!$AL$60="Mayor"),CONCATENATE("R2C",'Mapa final'!$S$60),"")</f>
        <v/>
      </c>
      <c r="AG19" s="39" t="str">
        <f>IF(AND('Mapa final'!$AJ$61="Muy Alta",'Mapa final'!$AL$61="Mayor"),CONCATENATE("R2C",'Mapa final'!$S$61),"")</f>
        <v/>
      </c>
      <c r="AH19" s="40" t="str">
        <f>IF(AND('Mapa final'!$AJ$62="Muy Alta",'Mapa final'!$AL$62="Mayor"),CONCATENATE("R2C",'Mapa final'!$S$62),"")</f>
        <v/>
      </c>
      <c r="AI19" s="41" t="str">
        <f>IF(AND('Mapa final'!$AJ$57="Muy Alta",'Mapa final'!$AL$57="Catastrófico"),CONCATENATE("R2C",'Mapa final'!$S$57),"")</f>
        <v/>
      </c>
      <c r="AJ19" s="42" t="str">
        <f>IF(AND('Mapa final'!$AJ$58="Muy Alta",'Mapa final'!$AL$58="Catastrófico"),CONCATENATE("R2C",'Mapa final'!$S$58),"")</f>
        <v/>
      </c>
      <c r="AK19" s="42" t="str">
        <f>IF(AND('Mapa final'!$AJ$59="Muy Alta",'Mapa final'!$AL$59="Catastrófico"),CONCATENATE("R2C",'Mapa final'!$S$59),"")</f>
        <v/>
      </c>
      <c r="AL19" s="42" t="str">
        <f>IF(AND('Mapa final'!$AJ$60="Muy Alta",'Mapa final'!$AL$60="Catastrófico"),CONCATENATE("R2C",'Mapa final'!$S$60),"")</f>
        <v/>
      </c>
      <c r="AM19" s="42" t="str">
        <f>IF(AND('Mapa final'!$AJ$61="Muy Alta",'Mapa final'!$AL$61="Catastrófico"),CONCATENATE("R2C",'Mapa final'!$S$61),"")</f>
        <v/>
      </c>
      <c r="AN19" s="43" t="str">
        <f>IF(AND('Mapa final'!$AJ$62="Muy Alta",'Mapa final'!$AL$62="Catastrófico"),CONCATENATE("R2C",'Mapa final'!$S$62),"")</f>
        <v/>
      </c>
      <c r="AO19" s="69"/>
      <c r="AP19" s="480"/>
      <c r="AQ19" s="481"/>
      <c r="AR19" s="481"/>
      <c r="AS19" s="481"/>
      <c r="AT19" s="481"/>
      <c r="AU19" s="482"/>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71"/>
      <c r="D20" s="371"/>
      <c r="E20" s="372"/>
      <c r="F20" s="461"/>
      <c r="G20" s="462"/>
      <c r="H20" s="462"/>
      <c r="I20" s="462"/>
      <c r="J20" s="462"/>
      <c r="K20" s="38" t="str">
        <f>IF(AND('Mapa final'!$AJ$63="Muy Alta",'Mapa final'!$AL$63="Leve"),CONCATENATE("R2C",'Mapa final'!$S$63),"")</f>
        <v/>
      </c>
      <c r="L20" s="39" t="str">
        <f>IF(AND('Mapa final'!$AJ$64="Muy Alta",'Mapa final'!$AL$64="Leve"),CONCATENATE("R2C",'Mapa final'!$S$64),"")</f>
        <v/>
      </c>
      <c r="M20" s="39" t="str">
        <f>IF(AND('Mapa final'!$AJ$65="Muy Alta",'Mapa final'!$AL$65="Leve"),CONCATENATE("R2C",'Mapa final'!$S$65),"")</f>
        <v/>
      </c>
      <c r="N20" s="39" t="str">
        <f>IF(AND('Mapa final'!$AJ$66="Muy Alta",'Mapa final'!$AL$66="Leve"),CONCATENATE("R2C",'Mapa final'!$S$66),"")</f>
        <v/>
      </c>
      <c r="O20" s="39" t="str">
        <f>IF(AND('Mapa final'!$AJ$67="Muy Alta",'Mapa final'!$AL$67="Leve"),CONCATENATE("R2C",'Mapa final'!$S$67),"")</f>
        <v/>
      </c>
      <c r="P20" s="40" t="str">
        <f>IF(AND('Mapa final'!$AJ$68="Muy Alta",'Mapa final'!$AL$68="Leve"),CONCATENATE("R2C",'Mapa final'!$S$68),"")</f>
        <v/>
      </c>
      <c r="Q20" s="39" t="str">
        <f>IF(AND('Mapa final'!$AJ$63="Muy Alta",'Mapa final'!$AL$63="Menor"),CONCATENATE("R2C",'Mapa final'!$S$63),"")</f>
        <v/>
      </c>
      <c r="R20" s="39" t="str">
        <f>IF(AND('Mapa final'!$AJ$64="Muy Alta",'Mapa final'!$AL$64="Menor"),CONCATENATE("R2C",'Mapa final'!$S$64),"")</f>
        <v/>
      </c>
      <c r="S20" s="39" t="str">
        <f>IF(AND('Mapa final'!$AJ$65="Muy Alta",'Mapa final'!$AL$65="Menor"),CONCATENATE("R2C",'Mapa final'!$S$65),"")</f>
        <v/>
      </c>
      <c r="T20" s="39" t="str">
        <f>IF(AND('Mapa final'!$AJ$66="Muy Alta",'Mapa final'!$AL$66="Menor"),CONCATENATE("R2C",'Mapa final'!$S$66),"")</f>
        <v/>
      </c>
      <c r="U20" s="39" t="str">
        <f>IF(AND('Mapa final'!$AJ$67="Muy Alta",'Mapa final'!$AL$67="Menor"),CONCATENATE("R2C",'Mapa final'!$S$67),"")</f>
        <v/>
      </c>
      <c r="V20" s="40" t="str">
        <f>IF(AND('Mapa final'!$AJ$68="Muy Alta",'Mapa final'!$AL$68="Menor"),CONCATENATE("R2C",'Mapa final'!$S$68),"")</f>
        <v/>
      </c>
      <c r="W20" s="38" t="str">
        <f>IF(AND('Mapa final'!$AJ$63="Muy Alta",'Mapa final'!$AL$63="Moderado"),CONCATENATE("R2C",'Mapa final'!$S$63),"")</f>
        <v/>
      </c>
      <c r="X20" s="39" t="str">
        <f>IF(AND('Mapa final'!$AJ$64="Muy Alta",'Mapa final'!$AL$64="Moderado"),CONCATENATE("R2C",'Mapa final'!$S$64),"")</f>
        <v/>
      </c>
      <c r="Y20" s="39" t="str">
        <f>IF(AND('Mapa final'!$AJ$65="Muy Alta",'Mapa final'!$AL$65="Moderado"),CONCATENATE("R2C",'Mapa final'!$S$65),"")</f>
        <v/>
      </c>
      <c r="Z20" s="39" t="str">
        <f>IF(AND('Mapa final'!$AJ$66="Muy Alta",'Mapa final'!$AL$66="Moderado"),CONCATENATE("R2C",'Mapa final'!$S$66),"")</f>
        <v/>
      </c>
      <c r="AA20" s="39" t="str">
        <f>IF(AND('Mapa final'!$AJ$67="Muy Alta",'Mapa final'!$AL$67="Moderado"),CONCATENATE("R2C",'Mapa final'!$S$67),"")</f>
        <v/>
      </c>
      <c r="AB20" s="40" t="str">
        <f>IF(AND('Mapa final'!$AJ$68="Muy Alta",'Mapa final'!$AL$68="Moderado"),CONCATENATE("R2C",'Mapa final'!$S$68),"")</f>
        <v/>
      </c>
      <c r="AC20" s="38" t="str">
        <f>IF(AND('Mapa final'!$AJ$63="Muy Alta",'Mapa final'!$AL$63="Mayor"),CONCATENATE("R2C",'Mapa final'!$S$63),"")</f>
        <v/>
      </c>
      <c r="AD20" s="39" t="str">
        <f>IF(AND('Mapa final'!$AJ$64="Muy Alta",'Mapa final'!$AL$64="Mayor"),CONCATENATE("R2C",'Mapa final'!$S$64),"")</f>
        <v/>
      </c>
      <c r="AE20" s="39" t="str">
        <f>IF(AND('Mapa final'!$AJ$65="Muy Alta",'Mapa final'!$AL$65="Mayor"),CONCATENATE("R2C",'Mapa final'!$S$65),"")</f>
        <v/>
      </c>
      <c r="AF20" s="39" t="str">
        <f>IF(AND('Mapa final'!$AJ$66="Muy Alta",'Mapa final'!$AL$66="Mayor"),CONCATENATE("R2C",'Mapa final'!$S$66),"")</f>
        <v/>
      </c>
      <c r="AG20" s="39" t="str">
        <f>IF(AND('Mapa final'!$AJ$67="Muy Alta",'Mapa final'!$AL$67="Mayor"),CONCATENATE("R2C",'Mapa final'!$S$67),"")</f>
        <v/>
      </c>
      <c r="AH20" s="40" t="str">
        <f>IF(AND('Mapa final'!$AJ$68="Muy Alta",'Mapa final'!$AL$68="Mayor"),CONCATENATE("R2C",'Mapa final'!$S$68),"")</f>
        <v/>
      </c>
      <c r="AI20" s="41" t="str">
        <f>IF(AND('Mapa final'!$AJ$63="Muy Alta",'Mapa final'!$AL$63="Catastrófico"),CONCATENATE("R2C",'Mapa final'!$S$63),"")</f>
        <v/>
      </c>
      <c r="AJ20" s="42" t="str">
        <f>IF(AND('Mapa final'!$AJ$64="Muy Alta",'Mapa final'!$AL$64="Catastrófico"),CONCATENATE("R2C",'Mapa final'!$S$64),"")</f>
        <v/>
      </c>
      <c r="AK20" s="42" t="str">
        <f>IF(AND('Mapa final'!$AJ$65="Muy Alta",'Mapa final'!$AL$65="Catastrófico"),CONCATENATE("R2C",'Mapa final'!$S$65),"")</f>
        <v/>
      </c>
      <c r="AL20" s="42" t="str">
        <f>IF(AND('Mapa final'!$AJ$66="Muy Alta",'Mapa final'!$AL$66="Catastrófico"),CONCATENATE("R2C",'Mapa final'!$S$66),"")</f>
        <v/>
      </c>
      <c r="AM20" s="42" t="str">
        <f>IF(AND('Mapa final'!$AJ$67="Muy Alta",'Mapa final'!$AL$67="Catastrófico"),CONCATENATE("R2C",'Mapa final'!$S$67),"")</f>
        <v/>
      </c>
      <c r="AN20" s="43" t="str">
        <f>IF(AND('Mapa final'!$AJ$68="Muy Alta",'Mapa final'!$AL$68="Catastrófico"),CONCATENATE("R2C",'Mapa final'!$S$68),"")</f>
        <v/>
      </c>
      <c r="AO20" s="69"/>
      <c r="AP20" s="480"/>
      <c r="AQ20" s="481"/>
      <c r="AR20" s="481"/>
      <c r="AS20" s="481"/>
      <c r="AT20" s="481"/>
      <c r="AU20" s="482"/>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71"/>
      <c r="D21" s="371"/>
      <c r="E21" s="372"/>
      <c r="F21" s="464"/>
      <c r="G21" s="465"/>
      <c r="H21" s="465"/>
      <c r="I21" s="465"/>
      <c r="J21" s="465"/>
      <c r="K21" s="44" t="str">
        <f>IF(AND('Mapa final'!$AJ$69="Muy Alta",'Mapa final'!$AL$69="Leve"),CONCATENATE("R2C",'Mapa final'!$S$69),"")</f>
        <v/>
      </c>
      <c r="L21" s="45" t="str">
        <f>IF(AND('Mapa final'!$AJ$70="Muy Alta",'Mapa final'!$AL$70="Leve"),CONCATENATE("R2C",'Mapa final'!$S$70),"")</f>
        <v/>
      </c>
      <c r="M21" s="45" t="str">
        <f>IF(AND('Mapa final'!$AJ$71="Muy Alta",'Mapa final'!$AL$71="Leve"),CONCATENATE("R2C",'Mapa final'!$S$71),"")</f>
        <v/>
      </c>
      <c r="N21" s="45" t="str">
        <f>IF(AND('Mapa final'!$AJ$72="Muy Alta",'Mapa final'!$AL$72="Leve"),CONCATENATE("R2C",'Mapa final'!$S$72),"")</f>
        <v/>
      </c>
      <c r="O21" s="45" t="str">
        <f>IF(AND('Mapa final'!$AJ$74="Muy Alta",'Mapa final'!$AL$74="Leve"),CONCATENATE("R2C",'Mapa final'!$S$74),"")</f>
        <v/>
      </c>
      <c r="P21" s="46" t="str">
        <f>IF(AND('Mapa final'!$AJ$75="Muy Alta",'Mapa final'!$AL$75="Leve"),CONCATENATE("R2C",'Mapa final'!$S$75),"")</f>
        <v/>
      </c>
      <c r="Q21" s="39" t="str">
        <f>IF(AND('Mapa final'!$AJ$69="Muy Alta",'Mapa final'!$AL$69="Menor"),CONCATENATE("R2C",'Mapa final'!$S$69),"")</f>
        <v/>
      </c>
      <c r="R21" s="39" t="str">
        <f>IF(AND('Mapa final'!$AJ$70="Muy Alta",'Mapa final'!$AL$70="Menor"),CONCATENATE("R2C",'Mapa final'!$S$70),"")</f>
        <v/>
      </c>
      <c r="S21" s="39" t="str">
        <f>IF(AND('Mapa final'!$AJ$71="Muy Alta",'Mapa final'!$AL$71="Menor"),CONCATENATE("R2C",'Mapa final'!$S$71),"")</f>
        <v/>
      </c>
      <c r="T21" s="39" t="str">
        <f>IF(AND('Mapa final'!$AJ$72="Muy Alta",'Mapa final'!$AL$72="Menor"),CONCATENATE("R2C",'Mapa final'!$S$72),"")</f>
        <v/>
      </c>
      <c r="U21" s="39" t="str">
        <f>IF(AND('Mapa final'!$AJ$74="Muy Alta",'Mapa final'!$AL$74="Menor"),CONCATENATE("R2C",'Mapa final'!$S$74),"")</f>
        <v/>
      </c>
      <c r="V21" s="40" t="str">
        <f>IF(AND('Mapa final'!$AJ$75="Muy Alta",'Mapa final'!$AL$75="Menor"),CONCATENATE("R2C",'Mapa final'!$S$75),"")</f>
        <v/>
      </c>
      <c r="W21" s="44" t="str">
        <f>IF(AND('Mapa final'!$AJ$69="Muy Alta",'Mapa final'!$AL$69="Moderado"),CONCATENATE("R2C",'Mapa final'!$S$69),"")</f>
        <v/>
      </c>
      <c r="X21" s="45" t="str">
        <f>IF(AND('Mapa final'!$AJ$70="Muy Alta",'Mapa final'!$AL$70="Moderado"),CONCATENATE("R2C",'Mapa final'!$S$70),"")</f>
        <v/>
      </c>
      <c r="Y21" s="45" t="str">
        <f>IF(AND('Mapa final'!$AJ$71="Muy Alta",'Mapa final'!$AL$71="Moderado"),CONCATENATE("R2C",'Mapa final'!$S$71),"")</f>
        <v/>
      </c>
      <c r="Z21" s="45" t="str">
        <f>IF(AND('Mapa final'!$AJ$72="Muy Alta",'Mapa final'!$AL$72="Moderado"),CONCATENATE("R2C",'Mapa final'!$S$72),"")</f>
        <v/>
      </c>
      <c r="AA21" s="45" t="str">
        <f>IF(AND('Mapa final'!$AJ$74="Muy Alta",'Mapa final'!$AL$74="Moderado"),CONCATENATE("R2C",'Mapa final'!$S$74),"")</f>
        <v/>
      </c>
      <c r="AB21" s="46" t="str">
        <f>IF(AND('Mapa final'!$AJ$75="Muy Alta",'Mapa final'!$AL$75="Moderado"),CONCATENATE("R2C",'Mapa final'!$S$75),"")</f>
        <v/>
      </c>
      <c r="AC21" s="38" t="str">
        <f>IF(AND('Mapa final'!$AJ$69="Muy Alta",'Mapa final'!$AL$69="Mayor"),CONCATENATE("R2C",'Mapa final'!$S$69),"")</f>
        <v/>
      </c>
      <c r="AD21" s="39" t="str">
        <f>IF(AND('Mapa final'!$AJ$70="Muy Alta",'Mapa final'!$AL$70="Mayor"),CONCATENATE("R2C",'Mapa final'!$S$70),"")</f>
        <v/>
      </c>
      <c r="AE21" s="39" t="str">
        <f>IF(AND('Mapa final'!$AJ$71="Muy Alta",'Mapa final'!$AL$71="Mayor"),CONCATENATE("R2C",'Mapa final'!$S$71),"")</f>
        <v/>
      </c>
      <c r="AF21" s="39" t="str">
        <f>IF(AND('Mapa final'!$AJ$72="Muy Alta",'Mapa final'!$AL$72="Mayor"),CONCATENATE("R2C",'Mapa final'!$S$72),"")</f>
        <v/>
      </c>
      <c r="AG21" s="39" t="str">
        <f>IF(AND('Mapa final'!$AJ$74="Muy Alta",'Mapa final'!$AL$74="Mayor"),CONCATENATE("R2C",'Mapa final'!$S$74),"")</f>
        <v/>
      </c>
      <c r="AH21" s="40" t="str">
        <f>IF(AND('Mapa final'!$AJ$75="Muy Alta",'Mapa final'!$AL$75="Mayor"),CONCATENATE("R2C",'Mapa final'!$S$75),"")</f>
        <v/>
      </c>
      <c r="AI21" s="47" t="str">
        <f>IF(AND('Mapa final'!$AJ$69="Muy Alta",'Mapa final'!$AL$69="Catastrófico"),CONCATENATE("R2C",'Mapa final'!$S$69),"")</f>
        <v/>
      </c>
      <c r="AJ21" s="48" t="str">
        <f>IF(AND('Mapa final'!$AJ$70="Muy Alta",'Mapa final'!$AL$70="Catastrófico"),CONCATENATE("R2C",'Mapa final'!$S$70),"")</f>
        <v/>
      </c>
      <c r="AK21" s="48" t="str">
        <f>IF(AND('Mapa final'!$AJ$71="Muy Alta",'Mapa final'!$AL$71="Catastrófico"),CONCATENATE("R2C",'Mapa final'!$S$71),"")</f>
        <v/>
      </c>
      <c r="AL21" s="48" t="str">
        <f>IF(AND('Mapa final'!$AJ$72="Muy Alta",'Mapa final'!$AL$72="Catastrófico"),CONCATENATE("R2C",'Mapa final'!$S$72),"")</f>
        <v/>
      </c>
      <c r="AM21" s="48" t="str">
        <f>IF(AND('Mapa final'!$AJ$74="Muy Alta",'Mapa final'!$AL$74="Catastrófico"),CONCATENATE("R2C",'Mapa final'!$S$74),"")</f>
        <v/>
      </c>
      <c r="AN21" s="49" t="str">
        <f>IF(AND('Mapa final'!$AJ$75="Muy Alta",'Mapa final'!$AL$75="Catastrófico"),CONCATENATE("R2C",'Mapa final'!$S$75),"")</f>
        <v/>
      </c>
      <c r="AO21" s="69"/>
      <c r="AP21" s="483"/>
      <c r="AQ21" s="484"/>
      <c r="AR21" s="484"/>
      <c r="AS21" s="484"/>
      <c r="AT21" s="484"/>
      <c r="AU21" s="485"/>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71"/>
      <c r="D22" s="371"/>
      <c r="E22" s="372"/>
      <c r="F22" s="458" t="s">
        <v>114</v>
      </c>
      <c r="G22" s="459"/>
      <c r="H22" s="459"/>
      <c r="I22" s="459"/>
      <c r="J22" s="459"/>
      <c r="K22" s="53" t="str">
        <f>IF(AND('Mapa final'!$AJ$15="Alta",'Mapa final'!$AL$15="Leve"),CONCATENATE("R2C",'Mapa final'!$S$15),"")</f>
        <v/>
      </c>
      <c r="L22" s="54" t="str">
        <f>IF(AND('Mapa final'!$AJ$16="Alta",'Mapa final'!$AL$16="Leve"),CONCATENATE("R2C",'Mapa final'!$S$16),"")</f>
        <v/>
      </c>
      <c r="M22" s="54" t="str">
        <f>IF(AND('Mapa final'!$AJ$17="Alta",'Mapa final'!$AL$17="Leve"),CONCATENATE("R2C",'Mapa final'!$S$17),"")</f>
        <v/>
      </c>
      <c r="N22" s="54" t="str">
        <f>IF(AND('Mapa final'!$AJ$18="Alta",'Mapa final'!$AL$18="Leve"),CONCATENATE("R2C",'Mapa final'!$S$18),"")</f>
        <v/>
      </c>
      <c r="O22" s="54" t="str">
        <f>IF(AND('Mapa final'!$AJ$19="Alta",'Mapa final'!$AL$19="Leve"),CONCATENATE("R2C",'Mapa final'!$S$19),"")</f>
        <v/>
      </c>
      <c r="P22" s="55" t="str">
        <f>IF(AND('Mapa final'!$AJ$20="Alta",'Mapa final'!$AL$20="Leve"),CONCATENATE("R2C",'Mapa final'!$S$20),"")</f>
        <v/>
      </c>
      <c r="Q22" s="50" t="str">
        <f>IF(AND('Mapa final'!$AJ$15="Alta",'Mapa final'!$AL$15="Menor"),CONCATENATE("R2C",'Mapa final'!$S$15),"")</f>
        <v/>
      </c>
      <c r="R22" s="51" t="str">
        <f>IF(AND('Mapa final'!$AJ$16="Alta",'Mapa final'!$AL$16="Menore"),CONCATENATE("R2C",'Mapa final'!$S$16),"")</f>
        <v/>
      </c>
      <c r="S22" s="51" t="str">
        <f>IF(AND('Mapa final'!$AJ$17="Alta",'Mapa final'!$AL$17="Menor"),CONCATENATE("R2C",'Mapa final'!$S$17),"")</f>
        <v/>
      </c>
      <c r="T22" s="51" t="str">
        <f>IF(AND('Mapa final'!$AJ$18="Alta",'Mapa final'!$AL$18="Menor"),CONCATENATE("R2C",'Mapa final'!$S$18),"")</f>
        <v/>
      </c>
      <c r="U22" s="51" t="str">
        <f>IF(AND('Mapa final'!$AJ$19="Alta",'Mapa final'!$AL$19="Menor"),CONCATENATE("R2C",'Mapa final'!$S$19),"")</f>
        <v/>
      </c>
      <c r="V22" s="52" t="str">
        <f>IF(AND('Mapa final'!$AJ$20="Alta",'Mapa final'!$AL$20="Menor"),CONCATENATE("R2C",'Mapa final'!$S$20),"")</f>
        <v/>
      </c>
      <c r="W22" s="32" t="str">
        <f>IF(AND('Mapa final'!$AJ$15="Alta",'Mapa final'!$AL$15="Moderado"),CONCATENATE("R2C",'Mapa final'!$S$15),"")</f>
        <v/>
      </c>
      <c r="X22" s="33" t="str">
        <f>IF(AND('Mapa final'!$AJ$16="Alta",'Mapa final'!$AL$16="Moderado"),CONCATENATE("R2C",'Mapa final'!$S$16),"")</f>
        <v/>
      </c>
      <c r="Y22" s="33"/>
      <c r="Z22" s="33" t="str">
        <f>IF(AND('Mapa final'!$AJ$18="Alta",'Mapa final'!$AL$18="Moderado"),CONCATENATE("R2C",'Mapa final'!$S$18),"")</f>
        <v/>
      </c>
      <c r="AA22" s="33" t="str">
        <f>IF(AND('Mapa final'!$AJ$19="Alta",'Mapa final'!$AL$19="Moderado"),CONCATENATE("R2C",'Mapa final'!$S$19),"")</f>
        <v/>
      </c>
      <c r="AB22" s="34" t="str">
        <f>IF(AND('Mapa final'!$AJ$20="Alta",'Mapa final'!$AL$20="Moderado"),CONCATENATE("R2C",'Mapa final'!$S$20),"")</f>
        <v/>
      </c>
      <c r="AC22" s="32" t="str">
        <f>IF(AND('Mapa final'!$AJ$15="Alta",'Mapa final'!$AL$15="Mayor"),CONCATENATE("R2C",'Mapa final'!$S$15),"")</f>
        <v/>
      </c>
      <c r="AD22" s="33" t="str">
        <f>IF(AND('Mapa final'!$AJ$16="Alta",'Mapa final'!$AL$16="Mayor"),CONCATENATE("R2C",'Mapa final'!$S$16),"")</f>
        <v/>
      </c>
      <c r="AE22" s="33" t="str">
        <f>IF(AND('Mapa final'!$AJ$17="Alta",'Mapa final'!$AL$17="Mayor"),CONCATENATE("R2C",'Mapa final'!$D$17),"")</f>
        <v/>
      </c>
      <c r="AF22" s="33" t="str">
        <f>IF(AND('Mapa final'!$AJ$18="Alta",'Mapa final'!$AL$18="Mayor"),CONCATENATE("R2C",'Mapa final'!$S$18),"")</f>
        <v/>
      </c>
      <c r="AG22" s="33" t="str">
        <f>IF(AND('Mapa final'!$AJ$19="Alta",'Mapa final'!$AL$19="Mayor"),CONCATENATE("R2C",'Mapa final'!$S$19),"")</f>
        <v/>
      </c>
      <c r="AH22" s="34" t="str">
        <f>IF(AND('Mapa final'!$AJ$20="Alta",'Mapa final'!$AL$20="Mayor"),CONCATENATE("R2C",'Mapa final'!$S$20),"")</f>
        <v/>
      </c>
      <c r="AI22" s="35" t="str">
        <f>IF(AND('Mapa final'!$AJ$15="Alta",'Mapa final'!$AL$15="Catastrófico"),CONCATENATE("R2C",'Mapa final'!$S$15),"")</f>
        <v/>
      </c>
      <c r="AJ22" s="36" t="str">
        <f>IF(AND('Mapa final'!$AJ$16="Alta",'Mapa final'!$AL$16="Catastrófico"),CONCATENATE("R2C",'Mapa final'!$S$16),"")</f>
        <v/>
      </c>
      <c r="AK22" s="36" t="str">
        <f>IF(AND('Mapa final'!$AJ$17="Alta",'Mapa final'!$AL$17="Catastrófico"),CONCATENATE("R2C",'Mapa final'!$S$17),"")</f>
        <v/>
      </c>
      <c r="AL22" s="36" t="str">
        <f>IF(AND('Mapa final'!$AJ$18="Alta",'Mapa final'!$AL$18="Catastrófico"),CONCATENATE("R2C",'Mapa final'!$S$18),"")</f>
        <v/>
      </c>
      <c r="AM22" s="36" t="str">
        <f>IF(AND('Mapa final'!$AJ$19="Alta",'Mapa final'!$AL$19="Catastrófico"),CONCATENATE("R2C",'Mapa final'!$S$19),"")</f>
        <v/>
      </c>
      <c r="AN22" s="37" t="str">
        <f>IF(AND('Mapa final'!$AJ$20="Alta",'Mapa final'!$AL$20="Catastrófico"),CONCATENATE("R2C",'Mapa final'!$S$20),"")</f>
        <v/>
      </c>
      <c r="AO22" s="69"/>
      <c r="AP22" s="467" t="s">
        <v>79</v>
      </c>
      <c r="AQ22" s="468"/>
      <c r="AR22" s="468"/>
      <c r="AS22" s="468"/>
      <c r="AT22" s="468"/>
      <c r="AU22" s="4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71"/>
      <c r="D23" s="371"/>
      <c r="E23" s="372"/>
      <c r="F23" s="476"/>
      <c r="G23" s="462"/>
      <c r="H23" s="462"/>
      <c r="I23" s="462"/>
      <c r="J23" s="462"/>
      <c r="K23" s="53" t="str">
        <f>IF(AND('Mapa final'!$AJ$21="Alta",'Mapa final'!$AL$21="Leve"),CONCATENATE("R2C",'Mapa final'!$S$21),"")</f>
        <v/>
      </c>
      <c r="L23" s="54" t="str">
        <f>IF(AND('Mapa final'!$AJ$22="Alta",'Mapa final'!$AL$22="Leve"),CONCATENATE("R2C",'Mapa final'!$S$22),"")</f>
        <v/>
      </c>
      <c r="M23" s="54" t="str">
        <f>IF(AND('Mapa final'!$AJ$23="Alta",'Mapa final'!$AL$23="Leve"),CONCATENATE("R2C",'Mapa final'!$S$23),"")</f>
        <v/>
      </c>
      <c r="N23" s="54" t="str">
        <f>IF(AND('Mapa final'!$AJ$24="Alta",'Mapa final'!$AL$24="Leve"),CONCATENATE("R2C",'Mapa final'!$S$24),"")</f>
        <v/>
      </c>
      <c r="O23" s="54" t="str">
        <f>IF(AND('Mapa final'!$AJ$25="Alta",'Mapa final'!$AL$25="Leve"),CONCATENATE("R2C",'Mapa final'!$S$25),"")</f>
        <v/>
      </c>
      <c r="P23" s="55" t="str">
        <f>IF(AND('Mapa final'!$AJ$26="Alta",'Mapa final'!$AL$26="Leve"),CONCATENATE("R2C",'Mapa final'!$S$26),"")</f>
        <v/>
      </c>
      <c r="Q23" s="53" t="str">
        <f>IF(AND('Mapa final'!$AJ$21="Alta",'Mapa final'!$AL$21="Menor"),CONCATENATE("R2C",'Mapa final'!$S$21),"")</f>
        <v/>
      </c>
      <c r="R23" s="54" t="str">
        <f>IF(AND('Mapa final'!$AJ$22="Alta",'Mapa final'!$AL$22="Menor"),CONCATENATE("R2C",'Mapa final'!$S$22),"")</f>
        <v/>
      </c>
      <c r="S23" s="54" t="str">
        <f>IF(AND('Mapa final'!$AJ$23="Alta",'Mapa final'!$AL$23="Menor"),CONCATENATE("R2C",'Mapa final'!$S$23),"")</f>
        <v/>
      </c>
      <c r="T23" s="54" t="str">
        <f>IF(AND('Mapa final'!$AJ$24="Alta",'Mapa final'!$AL$24="Menor"),CONCATENATE("R2C",'Mapa final'!$S$24),"")</f>
        <v/>
      </c>
      <c r="U23" s="54" t="str">
        <f>IF(AND('Mapa final'!$AJ$25="Alta",'Mapa final'!$AL$25="Menor"),CONCATENATE("R2C",'Mapa final'!$S$25),"")</f>
        <v/>
      </c>
      <c r="V23" s="55" t="str">
        <f>IF(AND('Mapa final'!$AJ$26="Alta",'Mapa final'!$AL$26="Menor"),CONCATENATE("R2C",'Mapa final'!$S$26),"")</f>
        <v/>
      </c>
      <c r="W23" s="38" t="str">
        <f>IF(AND('Mapa final'!$AJ$21="Alta",'Mapa final'!$AL$21="Moderado"),CONCATENATE("R2C",'Mapa final'!$S$21),"")</f>
        <v/>
      </c>
      <c r="X23" s="39" t="str">
        <f>IF(AND('Mapa final'!$AJ$22="Alta",'Mapa final'!$AL$22="Moderado"),CONCATENATE("R2C",'Mapa final'!$S$22),"")</f>
        <v/>
      </c>
      <c r="Y23" s="39" t="str">
        <f>IF(AND('Mapa final'!$AJ$23="Alta",'Mapa final'!$AL$23="Moderado"),CONCATENATE("R2C",'Mapa final'!$S$23),"")</f>
        <v/>
      </c>
      <c r="Z23" s="39" t="str">
        <f>IF(AND('Mapa final'!$AJ$24="Alta",'Mapa final'!$AL$24="Moderado"),CONCATENATE("R2C",'Mapa final'!$S$24),"")</f>
        <v/>
      </c>
      <c r="AA23" s="39" t="str">
        <f>IF(AND('Mapa final'!$AJ$25="Alta",'Mapa final'!$AL$25="Moderado"),CONCATENATE("R2C",'Mapa final'!$S$25),"")</f>
        <v/>
      </c>
      <c r="AB23" s="40" t="str">
        <f>IF(AND('Mapa final'!$AJ$26="Alta",'Mapa final'!$AL$26="Moderado"),CONCATENATE("R2C",'Mapa final'!$S$26),"")</f>
        <v/>
      </c>
      <c r="AC23" s="38" t="str">
        <f>IF(AND('Mapa final'!$AJ$21="Alta",'Mapa final'!$AL$21="Mayor"),CONCATENATE("R2C",'Mapa final'!$S$21),"")</f>
        <v/>
      </c>
      <c r="AD23" s="39" t="str">
        <f>IF(AND('Mapa final'!$AJ$22="Alta",'Mapa final'!$AL$22="Mayor"),CONCATENATE("R2C",'Mapa final'!$S$22),"")</f>
        <v/>
      </c>
      <c r="AE23" s="39" t="str">
        <f>IF(AND('Mapa final'!$AJ$23="Alta",'Mapa final'!$AL$23="Mayor"),CONCATENATE("R2C",'Mapa final'!$S$23),"")</f>
        <v/>
      </c>
      <c r="AF23" s="39" t="str">
        <f>IF(AND('Mapa final'!$AJ$24="Alta",'Mapa final'!$AL$24="Mayor"),CONCATENATE("R2C",'Mapa final'!$S$24),"")</f>
        <v/>
      </c>
      <c r="AG23" s="39" t="str">
        <f>IF(AND('Mapa final'!$AJ$25="Alta",'Mapa final'!$AL$25="Mayor"),CONCATENATE("R2C",'Mapa final'!$S$25),"")</f>
        <v/>
      </c>
      <c r="AH23" s="40" t="str">
        <f>IF(AND('Mapa final'!$AJ$26="Alta",'Mapa final'!$AL$26="Mayor"),CONCATENATE("R2C",'Mapa final'!$S$26),"")</f>
        <v/>
      </c>
      <c r="AI23" s="41" t="str">
        <f>IF(AND('Mapa final'!$AJ$21="Alta",'Mapa final'!$AL$21="Catastrófico"),CONCATENATE("R2C",'Mapa final'!$S$21),"")</f>
        <v/>
      </c>
      <c r="AJ23" s="42" t="str">
        <f>IF(AND('Mapa final'!$AJ$22="Alta",'Mapa final'!$AL$22="Catastrófico"),CONCATENATE("R2C",'Mapa final'!$S$22),"")</f>
        <v/>
      </c>
      <c r="AK23" s="42" t="str">
        <f>IF(AND('Mapa final'!$AJ$23="Alta",'Mapa final'!$AL$23="Catastrófico"),CONCATENATE("R2C",'Mapa final'!$S$23),"")</f>
        <v/>
      </c>
      <c r="AL23" s="42" t="str">
        <f>IF(AND('Mapa final'!$AJ$24="Alta",'Mapa final'!$AL$24="Catastrófico"),CONCATENATE("R2C",'Mapa final'!$S$24),"")</f>
        <v/>
      </c>
      <c r="AM23" s="42" t="str">
        <f>IF(AND('Mapa final'!$AJ$25="Alta",'Mapa final'!$AL$25="Catastrófico"),CONCATENATE("R2C",'Mapa final'!$S$25),"")</f>
        <v/>
      </c>
      <c r="AN23" s="43" t="str">
        <f>IF(AND('Mapa final'!$AJ$26="Alta",'Mapa final'!$AL$26="Catastrófico"),CONCATENATE("R2C",'Mapa final'!$S$26),"")</f>
        <v/>
      </c>
      <c r="AO23" s="69"/>
      <c r="AP23" s="470"/>
      <c r="AQ23" s="471"/>
      <c r="AR23" s="471"/>
      <c r="AS23" s="471"/>
      <c r="AT23" s="471"/>
      <c r="AU23" s="472"/>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71"/>
      <c r="D24" s="371"/>
      <c r="E24" s="372"/>
      <c r="F24" s="461"/>
      <c r="G24" s="462"/>
      <c r="H24" s="462"/>
      <c r="I24" s="462"/>
      <c r="J24" s="462"/>
      <c r="K24" s="53" t="str">
        <f>IF(AND('Mapa final'!$AJ$27="Alta",'Mapa final'!$AL$27="Leve"),CONCATENATE("R2C",'Mapa final'!$S$27),"")</f>
        <v/>
      </c>
      <c r="L24" s="54" t="str">
        <f>IF(AND('Mapa final'!$AJ$28="Alta",'Mapa final'!$AL$28="Leve"),CONCATENATE("R2C",'Mapa final'!$S$28),"")</f>
        <v/>
      </c>
      <c r="M24" s="54" t="str">
        <f>IF(AND('Mapa final'!$AJ$29="Alta",'Mapa final'!$AL$29="Leve"),CONCATENATE("R2C",'Mapa final'!$S$29),"")</f>
        <v/>
      </c>
      <c r="N24" s="54" t="str">
        <f>IF(AND('Mapa final'!$AJ$30="Alta",'Mapa final'!$AL$30="Leve"),CONCATENATE("R2C",'Mapa final'!$S$30),"")</f>
        <v/>
      </c>
      <c r="O24" s="54" t="str">
        <f>IF(AND('Mapa final'!$AJ$31="Alta",'Mapa final'!$AL$31="Leve"),CONCATENATE("R2C",'Mapa final'!$S$31),"")</f>
        <v/>
      </c>
      <c r="P24" s="55" t="str">
        <f>IF(AND('Mapa final'!$AJ$32="Alta",'Mapa final'!$AL$32="Leve"),CONCATENATE("R2C",'Mapa final'!$S$32),"")</f>
        <v/>
      </c>
      <c r="Q24" s="53" t="str">
        <f>IF(AND('Mapa final'!$AJ$27="Alta",'Mapa final'!$AL$27="Menor"),CONCATENATE("R2C",'Mapa final'!$S$27),"")</f>
        <v/>
      </c>
      <c r="R24" s="54" t="str">
        <f>IF(AND('Mapa final'!$AJ$28="Alta",'Mapa final'!$AL$28="Menor"),CONCATENATE("R2C",'Mapa final'!$S$28),"")</f>
        <v/>
      </c>
      <c r="S24" s="54" t="str">
        <f>IF(AND('Mapa final'!$AJ$29="Alta",'Mapa final'!$AL$29="Menor"),CONCATENATE("R2C",'Mapa final'!$S$29),"")</f>
        <v/>
      </c>
      <c r="T24" s="54" t="str">
        <f>IF(AND('Mapa final'!$AJ$30="Alta",'Mapa final'!$AL$30="Menor"),CONCATENATE("R2C",'Mapa final'!$S$30),"")</f>
        <v/>
      </c>
      <c r="U24" s="54" t="str">
        <f>IF(AND('Mapa final'!$AJ$31="Alta",'Mapa final'!$AL$31="Menor"),CONCATENATE("R2C",'Mapa final'!$S$31),"")</f>
        <v/>
      </c>
      <c r="V24" s="55" t="str">
        <f>IF(AND('Mapa final'!$AJ$32="Alta",'Mapa final'!$AL$32="Menor"),CONCATENATE("R2C",'Mapa final'!$S$32),"")</f>
        <v/>
      </c>
      <c r="W24" s="38" t="str">
        <f>IF(AND('Mapa final'!$AJ$27="Alta",'Mapa final'!$AL$27="Moderado"),CONCATENATE("R2C",'Mapa final'!$S$27),"")</f>
        <v/>
      </c>
      <c r="X24" s="39" t="str">
        <f>IF(AND('Mapa final'!$AJ$28="Alta",'Mapa final'!$AL$28="Moderado"),CONCATENATE("R2C",'Mapa final'!$S$28),"")</f>
        <v/>
      </c>
      <c r="Y24" s="39" t="str">
        <f>IF(AND('Mapa final'!$AJ$29="Alta",'Mapa final'!$AL$29="Moderado"),CONCATENATE("R2C",'Mapa final'!$S$29),"")</f>
        <v/>
      </c>
      <c r="Z24" s="39" t="str">
        <f>IF(AND('Mapa final'!$AJ$30="Alta",'Mapa final'!$AL$30="Moderado"),CONCATENATE("R2C",'Mapa final'!$S$30),"")</f>
        <v/>
      </c>
      <c r="AA24" s="39" t="str">
        <f>IF(AND('Mapa final'!$AJ$31="Alta",'Mapa final'!$AL$31="Moderado"),CONCATENATE("R2C",'Mapa final'!$S$31),"")</f>
        <v/>
      </c>
      <c r="AB24" s="40" t="str">
        <f>IF(AND('Mapa final'!$AJ$32="Alta",'Mapa final'!$AL$32="Moderado"),CONCATENATE("R2C",'Mapa final'!$S$32),"")</f>
        <v/>
      </c>
      <c r="AC24" s="38" t="str">
        <f>IF(AND('Mapa final'!$AJ$27="Alta",'Mapa final'!$AL$27="Mayor"),CONCATENATE("R2C",'Mapa final'!$S$27),"")</f>
        <v/>
      </c>
      <c r="AD24" s="39" t="str">
        <f>IF(AND('Mapa final'!$AJ$28="Alta",'Mapa final'!$AL$28="Mayor"),CONCATENATE("R2C",'Mapa final'!$S$28),"")</f>
        <v/>
      </c>
      <c r="AE24" s="39" t="str">
        <f>IF(AND('Mapa final'!$AJ$29="Alta",'Mapa final'!$AL$29="Mayor"),CONCATENATE("R2C",'Mapa final'!$S$29),"")</f>
        <v/>
      </c>
      <c r="AF24" s="39" t="str">
        <f>IF(AND('Mapa final'!$AJ$30="Alta",'Mapa final'!$AL$30="Mayor"),CONCATENATE("R2C",'Mapa final'!$S$30),"")</f>
        <v/>
      </c>
      <c r="AG24" s="39" t="str">
        <f>IF(AND('Mapa final'!$AJ$31="Alta",'Mapa final'!$AL$31="Mayor"),CONCATENATE("R2C",'Mapa final'!$S$31),"")</f>
        <v/>
      </c>
      <c r="AH24" s="40" t="str">
        <f>IF(AND('Mapa final'!$AJ$32="Alta",'Mapa final'!$AL$32="Mayor"),CONCATENATE("R2C",'Mapa final'!$S$32),"")</f>
        <v/>
      </c>
      <c r="AI24" s="41" t="str">
        <f>IF(AND('Mapa final'!$AJ$27="Alta",'Mapa final'!$AL$27="Catastrófico"),CONCATENATE("R2C",'Mapa final'!$S$27),"")</f>
        <v/>
      </c>
      <c r="AJ24" s="42" t="str">
        <f>IF(AND('Mapa final'!$AJ$28="Alta",'Mapa final'!$AL$28="Catastrófico"),CONCATENATE("R2C",'Mapa final'!$S$28),"")</f>
        <v/>
      </c>
      <c r="AK24" s="42" t="str">
        <f>IF(AND('Mapa final'!$AJ$29="Alta",'Mapa final'!$AL$29="Catastrófico"),CONCATENATE("R2C",'Mapa final'!$S$29),"")</f>
        <v/>
      </c>
      <c r="AL24" s="42" t="str">
        <f>IF(AND('Mapa final'!$AJ$30="Alta",'Mapa final'!$AL$30="Catastrófico"),CONCATENATE("R2C",'Mapa final'!$S$30),"")</f>
        <v/>
      </c>
      <c r="AM24" s="42" t="str">
        <f>IF(AND('Mapa final'!$AJ$31="Alta",'Mapa final'!$AL$31="Catastrófico"),CONCATENATE("R2C",'Mapa final'!$S$31),"")</f>
        <v/>
      </c>
      <c r="AN24" s="43" t="str">
        <f>IF(AND('Mapa final'!$AJ$32="Alta",'Mapa final'!$AL$32="Catastrófico"),CONCATENATE("R2C",'Mapa final'!$S$32),"")</f>
        <v/>
      </c>
      <c r="AO24" s="69"/>
      <c r="AP24" s="470"/>
      <c r="AQ24" s="471"/>
      <c r="AR24" s="471"/>
      <c r="AS24" s="471"/>
      <c r="AT24" s="471"/>
      <c r="AU24" s="472"/>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71"/>
      <c r="D25" s="371"/>
      <c r="E25" s="372"/>
      <c r="F25" s="461"/>
      <c r="G25" s="462"/>
      <c r="H25" s="462"/>
      <c r="I25" s="462"/>
      <c r="J25" s="462"/>
      <c r="K25" s="53" t="str">
        <f>IF(AND('Mapa final'!$AJ$33="Alta",'Mapa final'!$AL$33="Leve"),CONCATENATE("R2C",'Mapa final'!$S$33),"")</f>
        <v/>
      </c>
      <c r="L25" s="54" t="str">
        <f>IF(AND('Mapa final'!$AJ$34="Alta",'Mapa final'!$AL$34="Leve"),CONCATENATE("R2C",'Mapa final'!$S$34),"")</f>
        <v/>
      </c>
      <c r="M25" s="54" t="str">
        <f>IF(AND('Mapa final'!$AJ$35="Alta",'Mapa final'!$AL$35="Leve"),CONCATENATE("R2C",'Mapa final'!$S$35),"")</f>
        <v/>
      </c>
      <c r="N25" s="54" t="str">
        <f>IF(AND('Mapa final'!$AJ$36="Alta",'Mapa final'!$AL$36="Leve"),CONCATENATE("R2C",'Mapa final'!$S$36),"")</f>
        <v/>
      </c>
      <c r="O25" s="54" t="str">
        <f>IF(AND('Mapa final'!$AJ$37="Alta",'Mapa final'!$AL$37="Leve"),CONCATENATE("R2C",'Mapa final'!$S$37),"")</f>
        <v/>
      </c>
      <c r="P25" s="55" t="str">
        <f>IF(AND('Mapa final'!$AJ$38="Alta",'Mapa final'!$AL$38="Leve"),CONCATENATE("R2C",'Mapa final'!$S$38),"")</f>
        <v/>
      </c>
      <c r="Q25" s="53" t="str">
        <f>IF(AND('Mapa final'!$AJ$33="Alta",'Mapa final'!$AL$33="Menor"),CONCATENATE("R2C",'Mapa final'!$S$33),"")</f>
        <v/>
      </c>
      <c r="R25" s="54" t="str">
        <f>IF(AND('Mapa final'!$AJ$34="Alta",'Mapa final'!$AL$34="Menor"),CONCATENATE("R2C",'Mapa final'!$S$34),"")</f>
        <v/>
      </c>
      <c r="S25" s="54" t="str">
        <f>IF(AND('Mapa final'!$AJ$35="Alta",'Mapa final'!$AL$35="Menor"),CONCATENATE("R2C",'Mapa final'!$S$35),"")</f>
        <v/>
      </c>
      <c r="T25" s="54" t="str">
        <f>IF(AND('Mapa final'!$AJ$36="Alta",'Mapa final'!$AL$36="Menor"),CONCATENATE("R2C",'Mapa final'!$S$36),"")</f>
        <v/>
      </c>
      <c r="U25" s="54" t="str">
        <f>IF(AND('Mapa final'!$AJ$37="Alta",'Mapa final'!$AL$37="LMenor"),CONCATENATE("R2C",'Mapa final'!$S$37),"")</f>
        <v/>
      </c>
      <c r="V25" s="55" t="str">
        <f>IF(AND('Mapa final'!$AJ$38="Alta",'Mapa final'!$AL$38="Menor"),CONCATENATE("R2C",'Mapa final'!$S$38),"")</f>
        <v/>
      </c>
      <c r="W25" s="38" t="str">
        <f>IF(AND('Mapa final'!$AJ$33="Alta",'Mapa final'!$AL$33="Moderado"),CONCATENATE("R2C",'Mapa final'!$S$33),"")</f>
        <v/>
      </c>
      <c r="X25" s="39" t="str">
        <f>IF(AND('Mapa final'!$AJ$34="Alta",'Mapa final'!$AL$34="Moderado"),CONCATENATE("R2C",'Mapa final'!$S$34),"")</f>
        <v/>
      </c>
      <c r="Y25" s="39" t="str">
        <f>IF(AND('Mapa final'!$AJ$35="Alta",'Mapa final'!$AL$35="Moderado"),CONCATENATE("R2C",'Mapa final'!$S$35),"")</f>
        <v/>
      </c>
      <c r="Z25" s="39" t="str">
        <f>IF(AND('Mapa final'!$AJ$36="Alta",'Mapa final'!$AL$36="Moderado"),CONCATENATE("R2C",'Mapa final'!$S$36),"")</f>
        <v/>
      </c>
      <c r="AA25" s="39" t="str">
        <f>IF(AND('Mapa final'!$AJ$37="Alta",'Mapa final'!$AL$37="Moderado"),CONCATENATE("R2C",'Mapa final'!$S$37),"")</f>
        <v/>
      </c>
      <c r="AB25" s="40" t="str">
        <f>IF(AND('Mapa final'!$AJ$38="Alta",'Mapa final'!$AL$38="Moderado"),CONCATENATE("R2C",'Mapa final'!$S$38),"")</f>
        <v/>
      </c>
      <c r="AC25" s="38" t="str">
        <f>IF(AND('Mapa final'!$AJ$33="Alta",'Mapa final'!$AL$33="Mayor"),CONCATENATE("R2C",'Mapa final'!$S$33),"")</f>
        <v/>
      </c>
      <c r="AD25" s="39" t="str">
        <f>IF(AND('Mapa final'!$AJ$34="Alta",'Mapa final'!$AL$34="Mayor"),CONCATENATE("R2C",'Mapa final'!$S$34),"")</f>
        <v/>
      </c>
      <c r="AE25" s="39" t="str">
        <f>IF(AND('Mapa final'!$AJ$35="Alta",'Mapa final'!$AL$35="Mayor"),CONCATENATE("R2C",'Mapa final'!$S$35),"")</f>
        <v/>
      </c>
      <c r="AF25" s="39" t="str">
        <f>IF(AND('Mapa final'!$AJ$36="Alta",'Mapa final'!$AL$36="Mayor"),CONCATENATE("R2C",'Mapa final'!$S$36),"")</f>
        <v/>
      </c>
      <c r="AG25" s="39" t="str">
        <f>IF(AND('Mapa final'!$AJ$37="Alta",'Mapa final'!$AL$37="Mayor"),CONCATENATE("R2C",'Mapa final'!$S$37),"")</f>
        <v/>
      </c>
      <c r="AH25" s="40" t="str">
        <f>IF(AND('Mapa final'!$AJ$38="Alta",'Mapa final'!$AL$38="Mayor"),CONCATENATE("R2C",'Mapa final'!$S$38),"")</f>
        <v/>
      </c>
      <c r="AI25" s="41" t="str">
        <f>IF(AND('Mapa final'!$AJ$33="Alta",'Mapa final'!$AL$33="Catastrófico"),CONCATENATE("R2C",'Mapa final'!$S$33),"")</f>
        <v/>
      </c>
      <c r="AJ25" s="42" t="str">
        <f>IF(AND('Mapa final'!$AJ$34="Alta",'Mapa final'!$AL$34="Catastrófico"),CONCATENATE("R2C",'Mapa final'!$S$34),"")</f>
        <v/>
      </c>
      <c r="AK25" s="42" t="str">
        <f>IF(AND('Mapa final'!$AJ$35="Alta",'Mapa final'!$AL$35="Catastrófico"),CONCATENATE("R2C",'Mapa final'!$S$35),"")</f>
        <v/>
      </c>
      <c r="AL25" s="42" t="str">
        <f>IF(AND('Mapa final'!$AJ$36="Alta",'Mapa final'!$AL$36="Catastrófico"),CONCATENATE("R2C",'Mapa final'!$S$36),"")</f>
        <v/>
      </c>
      <c r="AM25" s="42" t="str">
        <f>IF(AND('Mapa final'!$AJ$37="Alta",'Mapa final'!$AL$37="LCatastrófico"),CONCATENATE("R2C",'Mapa final'!$S$37),"")</f>
        <v/>
      </c>
      <c r="AN25" s="43" t="str">
        <f>IF(AND('Mapa final'!$AJ$38="Alta",'Mapa final'!$AL$38="Catastrófico"),CONCATENATE("R2C",'Mapa final'!$S$38),"")</f>
        <v/>
      </c>
      <c r="AO25" s="69"/>
      <c r="AP25" s="470"/>
      <c r="AQ25" s="471"/>
      <c r="AR25" s="471"/>
      <c r="AS25" s="471"/>
      <c r="AT25" s="471"/>
      <c r="AU25" s="472"/>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71"/>
      <c r="D26" s="371"/>
      <c r="E26" s="372"/>
      <c r="F26" s="461"/>
      <c r="G26" s="462"/>
      <c r="H26" s="462"/>
      <c r="I26" s="462"/>
      <c r="J26" s="462"/>
      <c r="K26" s="53" t="str">
        <f>IF(AND('Mapa final'!$AJ$39="Alta",'Mapa final'!$AL$39="Leve"),CONCATENATE("R2C",'Mapa final'!$S$39),"")</f>
        <v/>
      </c>
      <c r="L26" s="54" t="str">
        <f>IF(AND('Mapa final'!$AJ$40="Alta",'Mapa final'!$AL$40="Leve"),CONCATENATE("R2C",'Mapa final'!$S$40),"")</f>
        <v/>
      </c>
      <c r="M26" s="54" t="str">
        <f>IF(AND('Mapa final'!$AJ$41="Alta",'Mapa final'!$AL$41="Leve"),CONCATENATE("R2C",'Mapa final'!$S$41),"")</f>
        <v/>
      </c>
      <c r="N26" s="54" t="str">
        <f>IF(AND('Mapa final'!$AJ$42="Alta",'Mapa final'!$AL$42="Leve"),CONCATENATE("R2C",'Mapa final'!$S$42),"")</f>
        <v/>
      </c>
      <c r="O26" s="54" t="str">
        <f>IF(AND('Mapa final'!$AJ$43="Alta",'Mapa final'!$AL$43="Leve"),CONCATENATE("R2C",'Mapa final'!$S$43),"")</f>
        <v/>
      </c>
      <c r="P26" s="55" t="str">
        <f>IF(AND('Mapa final'!$AJ$44="Alta",'Mapa final'!$AL$44="Leve"),CONCATENATE("R2C",'Mapa final'!$S$44),"")</f>
        <v/>
      </c>
      <c r="Q26" s="53" t="str">
        <f>IF(AND('Mapa final'!$AJ$39="Alta",'Mapa final'!$AL$39="Menor"),CONCATENATE("R2C",'Mapa final'!$S$39),"")</f>
        <v/>
      </c>
      <c r="R26" s="54" t="str">
        <f>IF(AND('Mapa final'!$AJ$40="Alta",'Mapa final'!$AL$40="Menor"),CONCATENATE("R2C",'Mapa final'!$S$40),"")</f>
        <v/>
      </c>
      <c r="S26" s="54" t="str">
        <f>IF(AND('Mapa final'!$AJ$41="Alta",'Mapa final'!$AL$41="Menor"),CONCATENATE("R2C",'Mapa final'!$S$41),"")</f>
        <v/>
      </c>
      <c r="T26" s="54" t="str">
        <f>IF(AND('Mapa final'!$AJ$42="Alta",'Mapa final'!$AL$42="Menor"),CONCATENATE("R2C",'Mapa final'!$S$42),"")</f>
        <v/>
      </c>
      <c r="U26" s="54" t="str">
        <f>IF(AND('Mapa final'!$AJ$43="Alta",'Mapa final'!$AL$43="Menor"),CONCATENATE("R2C",'Mapa final'!$S$43),"")</f>
        <v/>
      </c>
      <c r="V26" s="55" t="str">
        <f>IF(AND('Mapa final'!$AJ$44="Alta",'Mapa final'!$AL$44="Menor"),CONCATENATE("R2C",'Mapa final'!$S$44),"")</f>
        <v/>
      </c>
      <c r="W26" s="38" t="str">
        <f>IF(AND('Mapa final'!$AJ$39="Alta",'Mapa final'!$AL$39="Moderado"),CONCATENATE("R2C",'Mapa final'!$S$39),"")</f>
        <v/>
      </c>
      <c r="X26" s="39" t="str">
        <f>IF(AND('Mapa final'!$AJ$40="Alta",'Mapa final'!$AL$40="Moderado"),CONCATENATE("R2C",'Mapa final'!$S$40),"")</f>
        <v/>
      </c>
      <c r="Y26" s="39" t="str">
        <f>IF(AND('Mapa final'!$AJ$41="Alta",'Mapa final'!$AL$41="Moderado"),CONCATENATE("R2C",'Mapa final'!$S$41),"")</f>
        <v/>
      </c>
      <c r="Z26" s="39" t="str">
        <f>IF(AND('Mapa final'!$AJ$42="Alta",'Mapa final'!$AL$42="Moderado"),CONCATENATE("R2C",'Mapa final'!$S$42),"")</f>
        <v/>
      </c>
      <c r="AA26" s="39" t="str">
        <f>IF(AND('Mapa final'!$AJ$43="Alta",'Mapa final'!$AL$43="Moderado"),CONCATENATE("R2C",'Mapa final'!$S$43),"")</f>
        <v/>
      </c>
      <c r="AB26" s="40" t="str">
        <f>IF(AND('Mapa final'!$AJ$44="Alta",'Mapa final'!$AL$44="Moderado"),CONCATENATE("R2C",'Mapa final'!$S$44),"")</f>
        <v/>
      </c>
      <c r="AC26" s="38" t="str">
        <f>IF(AND('Mapa final'!$AJ$39="Alta",'Mapa final'!$AL$39="Mayor"),CONCATENATE("R2C",'Mapa final'!$S$39),"")</f>
        <v/>
      </c>
      <c r="AD26" s="39" t="str">
        <f>IF(AND('Mapa final'!$AJ$40="Alta",'Mapa final'!$AL$40="Mayor"),CONCATENATE("R2C",'Mapa final'!$S$40),"")</f>
        <v/>
      </c>
      <c r="AE26" s="39" t="str">
        <f>IF(AND('Mapa final'!$AJ$41="Alta",'Mapa final'!$AL$41="Mayor"),CONCATENATE("R2C",'Mapa final'!$S$41),"")</f>
        <v/>
      </c>
      <c r="AF26" s="39" t="str">
        <f>IF(AND('Mapa final'!$AJ$42="Alta",'Mapa final'!$AL$42="Mayor"),CONCATENATE("R2C",'Mapa final'!$S$42),"")</f>
        <v/>
      </c>
      <c r="AG26" s="39" t="str">
        <f>IF(AND('Mapa final'!$AJ$43="Alta",'Mapa final'!$AL$43="Mayor"),CONCATENATE("R2C",'Mapa final'!$S$43),"")</f>
        <v/>
      </c>
      <c r="AH26" s="40" t="str">
        <f>IF(AND('Mapa final'!$AJ$44="Alta",'Mapa final'!$AL$44="Mayor"),CONCATENATE("R2C",'Mapa final'!$S$44),"")</f>
        <v/>
      </c>
      <c r="AI26" s="41" t="str">
        <f>IF(AND('Mapa final'!$AJ$39="Alta",'Mapa final'!$AL$39="Catastrófico"),CONCATENATE("R2C",'Mapa final'!$S$39),"")</f>
        <v/>
      </c>
      <c r="AJ26" s="42" t="str">
        <f>IF(AND('Mapa final'!$AJ$40="Alta",'Mapa final'!$AL$40="Catastrófico"),CONCATENATE("R2C",'Mapa final'!$S$40),"")</f>
        <v/>
      </c>
      <c r="AK26" s="42" t="str">
        <f>IF(AND('Mapa final'!$AJ$41="Alta",'Mapa final'!$AL$41="Catastrófico"),CONCATENATE("R2C",'Mapa final'!$S$41),"")</f>
        <v/>
      </c>
      <c r="AL26" s="42" t="str">
        <f>IF(AND('Mapa final'!$AJ$42="Alta",'Mapa final'!$AL$42="Catastrófico"),CONCATENATE("R2C",'Mapa final'!$S$42),"")</f>
        <v/>
      </c>
      <c r="AM26" s="42" t="str">
        <f>IF(AND('Mapa final'!$AJ$43="Alta",'Mapa final'!$AL$43="Catastrófico"),CONCATENATE("R2C",'Mapa final'!$S$43),"")</f>
        <v/>
      </c>
      <c r="AN26" s="43" t="str">
        <f>IF(AND('Mapa final'!$AJ$44="Alta",'Mapa final'!$AL$44="Catastrófico"),CONCATENATE("R2C",'Mapa final'!$S$44),"")</f>
        <v/>
      </c>
      <c r="AO26" s="69"/>
      <c r="AP26" s="470"/>
      <c r="AQ26" s="471"/>
      <c r="AR26" s="471"/>
      <c r="AS26" s="471"/>
      <c r="AT26" s="471"/>
      <c r="AU26" s="472"/>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71"/>
      <c r="D27" s="371"/>
      <c r="E27" s="372"/>
      <c r="F27" s="461"/>
      <c r="G27" s="462"/>
      <c r="H27" s="462"/>
      <c r="I27" s="462"/>
      <c r="J27" s="462"/>
      <c r="K27" s="53" t="str">
        <f>IF(AND('Mapa final'!$AJ$45="Alta",'Mapa final'!$AL$45="Leve"),CONCATENATE("R2C",'Mapa final'!$S$45),"")</f>
        <v/>
      </c>
      <c r="L27" s="54" t="str">
        <f>IF(AND('Mapa final'!$AJ$46="Alta",'Mapa final'!$AL$46="Leve"),CONCATENATE("R2C",'Mapa final'!$S$46),"")</f>
        <v/>
      </c>
      <c r="M27" s="54" t="str">
        <f>IF(AND('Mapa final'!$AJ$47="Alta",'Mapa final'!$AL$47="Leve"),CONCATENATE("R2C",'Mapa final'!$S$47),"")</f>
        <v/>
      </c>
      <c r="N27" s="54" t="str">
        <f>IF(AND('Mapa final'!$AJ$48="Alta",'Mapa final'!$AL$48="Leve"),CONCATENATE("R2C",'Mapa final'!$S$48),"")</f>
        <v/>
      </c>
      <c r="O27" s="54" t="str">
        <f>IF(AND('Mapa final'!$AJ$49="Alta",'Mapa final'!$AL$49="Leve"),CONCATENATE("R2C",'Mapa final'!$S$49),"")</f>
        <v/>
      </c>
      <c r="P27" s="55" t="str">
        <f>IF(AND('Mapa final'!$AJ$60="Alta",'Mapa final'!$AL$50="Leve"),CONCATENATE("R2C",'Mapa final'!$S$50),"")</f>
        <v/>
      </c>
      <c r="Q27" s="53" t="str">
        <f>IF(AND('Mapa final'!$AJ$45="Alta",'Mapa final'!$AL$45="Menor"),CONCATENATE("R2C",'Mapa final'!$S$45),"")</f>
        <v/>
      </c>
      <c r="R27" s="54" t="str">
        <f>IF(AND('Mapa final'!$AJ$46="Alta",'Mapa final'!$AL$46="Menor"),CONCATENATE("R2C",'Mapa final'!$S$46),"")</f>
        <v/>
      </c>
      <c r="S27" s="54" t="str">
        <f>IF(AND('Mapa final'!$AJ$47="Alta",'Mapa final'!$AL$47="Menor"),CONCATENATE("R2C",'Mapa final'!$S$47),"")</f>
        <v/>
      </c>
      <c r="T27" s="54" t="str">
        <f>IF(AND('Mapa final'!$AJ$48="Alta",'Mapa final'!$AL$48="Menor"),CONCATENATE("R2C",'Mapa final'!$S$48),"")</f>
        <v/>
      </c>
      <c r="U27" s="54" t="str">
        <f>IF(AND('Mapa final'!$AJ$49="Alta",'Mapa final'!$AL$49="Menor"),CONCATENATE("R2C",'Mapa final'!$S$49),"")</f>
        <v/>
      </c>
      <c r="V27" s="55" t="str">
        <f>IF(AND('Mapa final'!$AJ$60="Alta",'Mapa final'!$AL$50="Menor"),CONCATENATE("R2C",'Mapa final'!$S$50),"")</f>
        <v/>
      </c>
      <c r="W27" s="38" t="str">
        <f>IF(AND('Mapa final'!$AJ$45="Alta",'Mapa final'!$AL$45="Moderado"),CONCATENATE("R2C",'Mapa final'!$S$45),"")</f>
        <v/>
      </c>
      <c r="X27" s="39" t="str">
        <f>IF(AND('Mapa final'!$AJ$46="Alta",'Mapa final'!$AL$46="Moderado"),CONCATENATE("R2C",'Mapa final'!$S$46),"")</f>
        <v/>
      </c>
      <c r="Y27" s="39" t="str">
        <f>IF(AND('Mapa final'!$AJ$47="Alta",'Mapa final'!$AL$47="Moderado"),CONCATENATE("R2C",'Mapa final'!$S$47),"")</f>
        <v/>
      </c>
      <c r="Z27" s="39" t="str">
        <f>IF(AND('Mapa final'!$AJ$48="Alta",'Mapa final'!$AL$48="Moderado"),CONCATENATE("R2C",'Mapa final'!$S$48),"")</f>
        <v/>
      </c>
      <c r="AA27" s="39" t="str">
        <f>IF(AND('Mapa final'!$AJ$49="Alta",'Mapa final'!$AL$49="Moderado"),CONCATENATE("R2C",'Mapa final'!$S$49),"")</f>
        <v/>
      </c>
      <c r="AB27" s="40" t="str">
        <f>IF(AND('Mapa final'!$AJ$60="Alta",'Mapa final'!$AL$50="Moderado"),CONCATENATE("R2C",'Mapa final'!$S$50),"")</f>
        <v/>
      </c>
      <c r="AC27" s="38" t="str">
        <f>IF(AND('Mapa final'!$AJ$45="Alta",'Mapa final'!$AL$45="Mayor"),CONCATENATE("R2C",'Mapa final'!$S$45),"")</f>
        <v/>
      </c>
      <c r="AD27" s="39" t="str">
        <f>IF(AND('Mapa final'!$AJ$46="Alta",'Mapa final'!$AL$46="Mayor"),CONCATENATE("R2C",'Mapa final'!$S$46),"")</f>
        <v/>
      </c>
      <c r="AE27" s="39" t="str">
        <f>IF(AND('Mapa final'!$AJ$47="Alta",'Mapa final'!$AL$47="Mayor"),CONCATENATE("R2C",'Mapa final'!$S$47),"")</f>
        <v/>
      </c>
      <c r="AF27" s="39" t="str">
        <f>IF(AND('Mapa final'!$AJ$48="Alta",'Mapa final'!$AL$48="Mayor"),CONCATENATE("R2C",'Mapa final'!$S$48),"")</f>
        <v/>
      </c>
      <c r="AG27" s="39" t="str">
        <f>IF(AND('Mapa final'!$AJ$49="Alta",'Mapa final'!$AL$49="Mayor"),CONCATENATE("R2C",'Mapa final'!$S$49),"")</f>
        <v/>
      </c>
      <c r="AH27" s="40" t="str">
        <f>IF(AND('Mapa final'!$AJ$60="Alta",'Mapa final'!$AL$50="Mayor"),CONCATENATE("R2C",'Mapa final'!$S$50),"")</f>
        <v/>
      </c>
      <c r="AI27" s="41" t="str">
        <f>IF(AND('Mapa final'!$AJ$45="Alta",'Mapa final'!$AL$45="Catastrófico"),CONCATENATE("R2C",'Mapa final'!$S$45),"")</f>
        <v/>
      </c>
      <c r="AJ27" s="42" t="str">
        <f>IF(AND('Mapa final'!$AJ$46="Alta",'Mapa final'!$AL$46="Catastrófico"),CONCATENATE("R2C",'Mapa final'!$S$46),"")</f>
        <v/>
      </c>
      <c r="AK27" s="42" t="str">
        <f>IF(AND('Mapa final'!$AJ$47="Alta",'Mapa final'!$AL$47="Catastrófico"),CONCATENATE("R2C",'Mapa final'!$S$47),"")</f>
        <v/>
      </c>
      <c r="AL27" s="42" t="str">
        <f>IF(AND('Mapa final'!$AJ$48="Alta",'Mapa final'!$AL$48="Catastrófico"),CONCATENATE("R2C",'Mapa final'!$S$48),"")</f>
        <v/>
      </c>
      <c r="AM27" s="42" t="str">
        <f>IF(AND('Mapa final'!$AJ$49="Alta",'Mapa final'!$AL$49="Catastrófico"),CONCATENATE("R2C",'Mapa final'!$S$49),"")</f>
        <v/>
      </c>
      <c r="AN27" s="43" t="str">
        <f>IF(AND('Mapa final'!$AJ$60="Alta",'Mapa final'!$AL$50="Catastrófico"),CONCATENATE("R2C",'Mapa final'!$S$50),"")</f>
        <v/>
      </c>
      <c r="AO27" s="69"/>
      <c r="AP27" s="470"/>
      <c r="AQ27" s="471"/>
      <c r="AR27" s="471"/>
      <c r="AS27" s="471"/>
      <c r="AT27" s="471"/>
      <c r="AU27" s="472"/>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71"/>
      <c r="D28" s="371"/>
      <c r="E28" s="372"/>
      <c r="F28" s="461"/>
      <c r="G28" s="462"/>
      <c r="H28" s="462"/>
      <c r="I28" s="462"/>
      <c r="J28" s="462"/>
      <c r="K28" s="53" t="str">
        <f>IF(AND('Mapa final'!$AJ$51="Alta",'Mapa final'!$AL$51="Leve"),CONCATENATE("R2C",'Mapa final'!$S$51),"")</f>
        <v/>
      </c>
      <c r="L28" s="54" t="str">
        <f>IF(AND('Mapa final'!$AJ$52="Alta",'Mapa final'!$AL$52="Leve"),CONCATENATE("R2C",'Mapa final'!$S$52),"")</f>
        <v/>
      </c>
      <c r="M28" s="54" t="str">
        <f>IF(AND('Mapa final'!$AJ$53="Alta",'Mapa final'!$AL$53="Leve"),CONCATENATE("R2C",'Mapa final'!$S$53),"")</f>
        <v/>
      </c>
      <c r="N28" s="54" t="str">
        <f>IF(AND('Mapa final'!$AJ$54="Alta",'Mapa final'!$AL$54="Leve"),CONCATENATE("R2C",'Mapa final'!$S$54),"")</f>
        <v/>
      </c>
      <c r="O28" s="54" t="str">
        <f>IF(AND('Mapa final'!$AJ$55="Alta",'Mapa final'!$AL$55="Leve"),CONCATENATE("R2C",'Mapa final'!$S$55),"")</f>
        <v/>
      </c>
      <c r="P28" s="55" t="str">
        <f>IF(AND('Mapa final'!$AJ$56="Alta",'Mapa final'!$AL$56="Leve"),CONCATENATE("R2C",'Mapa final'!$S$56),"")</f>
        <v/>
      </c>
      <c r="Q28" s="53" t="str">
        <f>IF(AND('Mapa final'!$AJ$51="Alta",'Mapa final'!$AL$51="Menor"),CONCATENATE("R2C",'Mapa final'!$S$51),"")</f>
        <v/>
      </c>
      <c r="R28" s="54" t="str">
        <f>IF(AND('Mapa final'!$AJ$52="Alta",'Mapa final'!$AL$52="Menor"),CONCATENATE("R2C",'Mapa final'!$S$52),"")</f>
        <v/>
      </c>
      <c r="S28" s="54" t="str">
        <f>IF(AND('Mapa final'!$AJ$53="Alta",'Mapa final'!$AL$53="Menor"),CONCATENATE("R2C",'Mapa final'!$S$53),"")</f>
        <v/>
      </c>
      <c r="T28" s="54" t="str">
        <f>IF(AND('Mapa final'!$AJ$54="Alta",'Mapa final'!$AL$54="Menor"),CONCATENATE("R2C",'Mapa final'!$S$54),"")</f>
        <v/>
      </c>
      <c r="U28" s="54" t="str">
        <f>IF(AND('Mapa final'!$AJ$55="Alta",'Mapa final'!$AL$55="Menor"),CONCATENATE("R2C",'Mapa final'!$S$55),"")</f>
        <v/>
      </c>
      <c r="V28" s="55" t="str">
        <f>IF(AND('Mapa final'!$AJ$56="Alta",'Mapa final'!$AL$56="Menor"),CONCATENATE("R2C",'Mapa final'!$S$56),"")</f>
        <v/>
      </c>
      <c r="W28" s="38" t="str">
        <f>IF(AND('Mapa final'!$AJ$51="Alta",'Mapa final'!$AL$51="Moderado"),CONCATENATE("R2C",'Mapa final'!$S$51),"")</f>
        <v/>
      </c>
      <c r="X28" s="39" t="str">
        <f>IF(AND('Mapa final'!$AJ$52="Alta",'Mapa final'!$AL$52="Moderado"),CONCATENATE("R2C",'Mapa final'!$S$52),"")</f>
        <v/>
      </c>
      <c r="Y28" s="39" t="str">
        <f>IF(AND('Mapa final'!$AJ$53="Alta",'Mapa final'!$AL$53="Moderado"),CONCATENATE("R2C",'Mapa final'!$S$53),"")</f>
        <v/>
      </c>
      <c r="Z28" s="39" t="str">
        <f>IF(AND('Mapa final'!$AJ$54="Alta",'Mapa final'!$AL$54="Moderado"),CONCATENATE("R2C",'Mapa final'!$S$54),"")</f>
        <v/>
      </c>
      <c r="AA28" s="39" t="str">
        <f>IF(AND('Mapa final'!$AJ$55="Alta",'Mapa final'!$AL$55="Moderado"),CONCATENATE("R2C",'Mapa final'!$S$55),"")</f>
        <v/>
      </c>
      <c r="AB28" s="40" t="str">
        <f>IF(AND('Mapa final'!$AJ$56="Alta",'Mapa final'!$AL$56="Moderado"),CONCATENATE("R2C",'Mapa final'!$S$56),"")</f>
        <v/>
      </c>
      <c r="AC28" s="38" t="str">
        <f>IF(AND('Mapa final'!$AJ$51="Alta",'Mapa final'!$AL$51="Mayor"),CONCATENATE("R2C",'Mapa final'!$S$51),"")</f>
        <v/>
      </c>
      <c r="AD28" s="39" t="str">
        <f>IF(AND('Mapa final'!$AJ$52="Alta",'Mapa final'!$AL$52="Mayor"),CONCATENATE("R2C",'Mapa final'!$S$52),"")</f>
        <v/>
      </c>
      <c r="AE28" s="39" t="str">
        <f>IF(AND('Mapa final'!$AJ$53="Alta",'Mapa final'!$AL$53="Mayor"),CONCATENATE("R2C",'Mapa final'!$S$53),"")</f>
        <v/>
      </c>
      <c r="AF28" s="39" t="str">
        <f>IF(AND('Mapa final'!$AJ$54="Alta",'Mapa final'!$AL$54="Mayor"),CONCATENATE("R2C",'Mapa final'!$S$54),"")</f>
        <v/>
      </c>
      <c r="AG28" s="39" t="str">
        <f>IF(AND('Mapa final'!$AJ$55="Alta",'Mapa final'!$AL$55="Mayor"),CONCATENATE("R2C",'Mapa final'!$S$55),"")</f>
        <v/>
      </c>
      <c r="AH28" s="40" t="str">
        <f>IF(AND('Mapa final'!$AJ$56="Alta",'Mapa final'!$AL$56="Mayor"),CONCATENATE("R2C",'Mapa final'!$S$56),"")</f>
        <v/>
      </c>
      <c r="AI28" s="41" t="str">
        <f>IF(AND('Mapa final'!$AJ$51="Alta",'Mapa final'!$AL$51="Catastrófico"),CONCATENATE("R2C",'Mapa final'!$S$51),"")</f>
        <v/>
      </c>
      <c r="AJ28" s="42" t="str">
        <f>IF(AND('Mapa final'!$AJ$52="Alta",'Mapa final'!$AL$52="Catastrófico"),CONCATENATE("R2C",'Mapa final'!$S$52),"")</f>
        <v/>
      </c>
      <c r="AK28" s="42" t="str">
        <f>IF(AND('Mapa final'!$AJ$53="Alta",'Mapa final'!$AL$53="Catastrófico"),CONCATENATE("R2C",'Mapa final'!$S$53),"")</f>
        <v/>
      </c>
      <c r="AL28" s="42" t="str">
        <f>IF(AND('Mapa final'!$AJ$54="Alta",'Mapa final'!$AL$54="Catastrófico"),CONCATENATE("R2C",'Mapa final'!$S$54),"")</f>
        <v/>
      </c>
      <c r="AM28" s="42" t="str">
        <f>IF(AND('Mapa final'!$AJ$55="Alta",'Mapa final'!$AL$55="Catastrófico"),CONCATENATE("R2C",'Mapa final'!$S$55),"")</f>
        <v/>
      </c>
      <c r="AN28" s="43" t="str">
        <f>IF(AND('Mapa final'!$AJ$56="Alta",'Mapa final'!$AL$56="Catastrófico"),CONCATENATE("R2C",'Mapa final'!$S$56),"")</f>
        <v/>
      </c>
      <c r="AO28" s="69"/>
      <c r="AP28" s="470"/>
      <c r="AQ28" s="471"/>
      <c r="AR28" s="471"/>
      <c r="AS28" s="471"/>
      <c r="AT28" s="471"/>
      <c r="AU28" s="472"/>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71"/>
      <c r="D29" s="371"/>
      <c r="E29" s="372"/>
      <c r="F29" s="461"/>
      <c r="G29" s="462"/>
      <c r="H29" s="462"/>
      <c r="I29" s="462"/>
      <c r="J29" s="462"/>
      <c r="K29" s="53" t="str">
        <f>IF(AND('Mapa final'!$AJ$57="Alta",'Mapa final'!$AL$57="Leve"),CONCATENATE("R2C",'Mapa final'!$S$57),"")</f>
        <v/>
      </c>
      <c r="L29" s="54" t="str">
        <f>IF(AND('Mapa final'!$AJ$58="Alta",'Mapa final'!$AL$58="Leve"),CONCATENATE("R2C",'Mapa final'!$S$58),"")</f>
        <v/>
      </c>
      <c r="M29" s="54" t="str">
        <f>IF(AND('Mapa final'!$AJ$59="Alta",'Mapa final'!$AL$59="Leve"),CONCATENATE("R2C",'Mapa final'!$S$59),"")</f>
        <v/>
      </c>
      <c r="N29" s="54" t="str">
        <f>IF(AND('Mapa final'!$AJ$60="Alta",'Mapa final'!$AL$60="Leve"),CONCATENATE("R2C",'Mapa final'!$S$60),"")</f>
        <v/>
      </c>
      <c r="O29" s="54" t="str">
        <f>IF(AND('Mapa final'!$AJ$61="Alta",'Mapa final'!$AL$61="Leve"),CONCATENATE("R2C",'Mapa final'!$S$61),"")</f>
        <v/>
      </c>
      <c r="P29" s="55" t="str">
        <f>IF(AND('Mapa final'!$AJ$62="Alta",'Mapa final'!$AL$62="Leve"),CONCATENATE("R2C",'Mapa final'!$S$62),"")</f>
        <v/>
      </c>
      <c r="Q29" s="53" t="str">
        <f>IF(AND('Mapa final'!$AJ$57="Alta",'Mapa final'!$AL$57="Menor"),CONCATENATE("R2C",'Mapa final'!$S$57),"")</f>
        <v/>
      </c>
      <c r="R29" s="54" t="str">
        <f>IF(AND('Mapa final'!$AJ$58="Alta",'Mapa final'!$AL$58="Menor"),CONCATENATE("R2C",'Mapa final'!$S$58),"")</f>
        <v/>
      </c>
      <c r="S29" s="54" t="str">
        <f>IF(AND('Mapa final'!$AJ$59="Alta",'Mapa final'!$AL$59="Menor"),CONCATENATE("R2C",'Mapa final'!$S$59),"")</f>
        <v/>
      </c>
      <c r="T29" s="54" t="str">
        <f>IF(AND('Mapa final'!$AJ$60="Alta",'Mapa final'!$AL$60="Menor"),CONCATENATE("R2C",'Mapa final'!$S$60),"")</f>
        <v/>
      </c>
      <c r="U29" s="54" t="str">
        <f>IF(AND('Mapa final'!$AJ$61="Alta",'Mapa final'!$AL$61="Menor"),CONCATENATE("R2C",'Mapa final'!$S$61),"")</f>
        <v/>
      </c>
      <c r="V29" s="55" t="str">
        <f>IF(AND('Mapa final'!$AJ$62="Alta",'Mapa final'!$AL$62="Menor"),CONCATENATE("R2C",'Mapa final'!$S$62),"")</f>
        <v/>
      </c>
      <c r="W29" s="38" t="str">
        <f>IF(AND('Mapa final'!$AJ$57="Alta",'Mapa final'!$AL$57="Moderado"),CONCATENATE("R2C",'Mapa final'!$S$57),"")</f>
        <v/>
      </c>
      <c r="X29" s="39" t="str">
        <f>IF(AND('Mapa final'!$AJ$58="Alta",'Mapa final'!$AL$58="Moderado"),CONCATENATE("R2C",'Mapa final'!$S$58),"")</f>
        <v/>
      </c>
      <c r="Y29" s="39" t="str">
        <f>IF(AND('Mapa final'!$AJ$59="Alta",'Mapa final'!$AL$59="Moderado"),CONCATENATE("R2C",'Mapa final'!$S$59),"")</f>
        <v/>
      </c>
      <c r="Z29" s="39" t="str">
        <f>IF(AND('Mapa final'!$AJ$60="Alta",'Mapa final'!$AL$60="Moderado"),CONCATENATE("R2C",'Mapa final'!$S$60),"")</f>
        <v/>
      </c>
      <c r="AA29" s="39" t="str">
        <f>IF(AND('Mapa final'!$AJ$61="Alta",'Mapa final'!$AL$61="Moderado"),CONCATENATE("R2C",'Mapa final'!$S$61),"")</f>
        <v/>
      </c>
      <c r="AB29" s="40" t="str">
        <f>IF(AND('Mapa final'!$AJ$62="Alta",'Mapa final'!$AL$62="Moderado"),CONCATENATE("R2C",'Mapa final'!$S$62),"")</f>
        <v/>
      </c>
      <c r="AC29" s="38" t="str">
        <f>IF(AND('Mapa final'!$AJ$57="Alta",'Mapa final'!$AL$57="Mayor"),CONCATENATE("R2C",'Mapa final'!$S$57),"")</f>
        <v/>
      </c>
      <c r="AD29" s="39" t="str">
        <f>IF(AND('Mapa final'!$AJ$58="Alta",'Mapa final'!$AL$58="Mayor"),CONCATENATE("R2C",'Mapa final'!$S$58),"")</f>
        <v/>
      </c>
      <c r="AE29" s="39" t="str">
        <f>IF(AND('Mapa final'!$AJ$59="Alta",'Mapa final'!$AL$59="Mayor"),CONCATENATE("R2C",'Mapa final'!$S$59),"")</f>
        <v/>
      </c>
      <c r="AF29" s="39" t="str">
        <f>IF(AND('Mapa final'!$AJ$60="Alta",'Mapa final'!$AL$60="Mayor"),CONCATENATE("R2C",'Mapa final'!$S$60),"")</f>
        <v/>
      </c>
      <c r="AG29" s="39" t="str">
        <f>IF(AND('Mapa final'!$AJ$61="Alta",'Mapa final'!$AL$61="Mayor"),CONCATENATE("R2C",'Mapa final'!$S$61),"")</f>
        <v/>
      </c>
      <c r="AH29" s="40" t="str">
        <f>IF(AND('Mapa final'!$AJ$62="Alta",'Mapa final'!$AL$62="Mayor"),CONCATENATE("R2C",'Mapa final'!$S$62),"")</f>
        <v/>
      </c>
      <c r="AI29" s="41" t="str">
        <f>IF(AND('Mapa final'!$AJ$57="Alta",'Mapa final'!$AL$57="Catastrófico"),CONCATENATE("R2C",'Mapa final'!$S$57),"")</f>
        <v/>
      </c>
      <c r="AJ29" s="42" t="str">
        <f>IF(AND('Mapa final'!$AJ$58="Alta",'Mapa final'!$AL$58="Catastrófico"),CONCATENATE("R2C",'Mapa final'!$S$58),"")</f>
        <v/>
      </c>
      <c r="AK29" s="42" t="str">
        <f>IF(AND('Mapa final'!$AJ$59="Alta",'Mapa final'!$AL$59="Catastrófico"),CONCATENATE("R2C",'Mapa final'!$S$59),"")</f>
        <v/>
      </c>
      <c r="AL29" s="42" t="str">
        <f>IF(AND('Mapa final'!$AJ$60="Alta",'Mapa final'!$AL$60="Catastrófico"),CONCATENATE("R2C",'Mapa final'!$S$60),"")</f>
        <v/>
      </c>
      <c r="AM29" s="42" t="str">
        <f>IF(AND('Mapa final'!$AJ$61="Alta",'Mapa final'!$AL$61="Catastrófico"),CONCATENATE("R2C",'Mapa final'!$S$61),"")</f>
        <v/>
      </c>
      <c r="AN29" s="43" t="str">
        <f>IF(AND('Mapa final'!$AJ$62="Alta",'Mapa final'!$AL$62="Catastrófico"),CONCATENATE("R2C",'Mapa final'!$S$62),"")</f>
        <v/>
      </c>
      <c r="AO29" s="69"/>
      <c r="AP29" s="470"/>
      <c r="AQ29" s="471"/>
      <c r="AR29" s="471"/>
      <c r="AS29" s="471"/>
      <c r="AT29" s="471"/>
      <c r="AU29" s="472"/>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71"/>
      <c r="D30" s="371"/>
      <c r="E30" s="372"/>
      <c r="F30" s="461"/>
      <c r="G30" s="462"/>
      <c r="H30" s="462"/>
      <c r="I30" s="462"/>
      <c r="J30" s="462"/>
      <c r="K30" s="53" t="str">
        <f>IF(AND('Mapa final'!$AJ$63="Alta",'Mapa final'!$AL$63="Leve"),CONCATENATE("R2C",'Mapa final'!$S$63),"")</f>
        <v/>
      </c>
      <c r="L30" s="54" t="str">
        <f>IF(AND('Mapa final'!$AJ$64="Alta",'Mapa final'!$AL$64="Leve"),CONCATENATE("R2C",'Mapa final'!$S$64),"")</f>
        <v/>
      </c>
      <c r="M30" s="54" t="str">
        <f>IF(AND('Mapa final'!$AJ$65="Alta",'Mapa final'!$AL$65="Leve"),CONCATENATE("R2C",'Mapa final'!$S$65),"")</f>
        <v/>
      </c>
      <c r="N30" s="54" t="str">
        <f>IF(AND('Mapa final'!$AJ$66="Alta",'Mapa final'!$AL$66="Leve"),CONCATENATE("R2C",'Mapa final'!$S$66),"")</f>
        <v/>
      </c>
      <c r="O30" s="54" t="str">
        <f>IF(AND('Mapa final'!$AJ$67="Alta",'Mapa final'!$AL$67="Leve"),CONCATENATE("R2C",'Mapa final'!$S$67),"")</f>
        <v/>
      </c>
      <c r="P30" s="55" t="str">
        <f>IF(AND('Mapa final'!$AJ$68="Alta",'Mapa final'!$AL$68="Leve"),CONCATENATE("R2C",'Mapa final'!$S$68),"")</f>
        <v/>
      </c>
      <c r="Q30" s="53" t="str">
        <f>IF(AND('Mapa final'!$AJ$63="Alta",'Mapa final'!$AL$63="Menor"),CONCATENATE("R2C",'Mapa final'!$S$63),"")</f>
        <v/>
      </c>
      <c r="R30" s="54" t="str">
        <f>IF(AND('Mapa final'!$AJ$64="Alta",'Mapa final'!$AL$64="Menor"),CONCATENATE("R2C",'Mapa final'!$S$64),"")</f>
        <v/>
      </c>
      <c r="S30" s="54" t="str">
        <f>IF(AND('Mapa final'!$AJ$65="Alta",'Mapa final'!$AL$65="Menor"),CONCATENATE("R2C",'Mapa final'!$S$65),"")</f>
        <v/>
      </c>
      <c r="T30" s="54" t="str">
        <f>IF(AND('Mapa final'!$AJ$66="Alta",'Mapa final'!$AL$66="Menor"),CONCATENATE("R2C",'Mapa final'!$S$66),"")</f>
        <v/>
      </c>
      <c r="U30" s="54" t="str">
        <f>IF(AND('Mapa final'!$AJ$67="Alta",'Mapa final'!$AL$67="Menor"),CONCATENATE("R2C",'Mapa final'!$S$67),"")</f>
        <v/>
      </c>
      <c r="V30" s="55" t="str">
        <f>IF(AND('Mapa final'!$AJ$68="Alta",'Mapa final'!$AL$68="Menor"),CONCATENATE("R2C",'Mapa final'!$S$68),"")</f>
        <v/>
      </c>
      <c r="W30" s="38" t="str">
        <f>IF(AND('Mapa final'!$AJ$63="Alta",'Mapa final'!$AL$63="Moderado"),CONCATENATE("R2C",'Mapa final'!$S$63),"")</f>
        <v/>
      </c>
      <c r="X30" s="39" t="str">
        <f>IF(AND('Mapa final'!$AJ$64="Alta",'Mapa final'!$AL$64="Moderado"),CONCATENATE("R2C",'Mapa final'!$S$64),"")</f>
        <v/>
      </c>
      <c r="Y30" s="39" t="str">
        <f>IF(AND('Mapa final'!$AJ$65="Alta",'Mapa final'!$AL$65="Moderado"),CONCATENATE("R2C",'Mapa final'!$S$65),"")</f>
        <v/>
      </c>
      <c r="Z30" s="39" t="str">
        <f>IF(AND('Mapa final'!$AJ$66="Alta",'Mapa final'!$AL$66="Moderado"),CONCATENATE("R2C",'Mapa final'!$S$66),"")</f>
        <v/>
      </c>
      <c r="AA30" s="39" t="str">
        <f>IF(AND('Mapa final'!$AJ$67="Alta",'Mapa final'!$AL$67="Moderado"),CONCATENATE("R2C",'Mapa final'!$S$67),"")</f>
        <v/>
      </c>
      <c r="AB30" s="40" t="str">
        <f>IF(AND('Mapa final'!$AJ$68="Alta",'Mapa final'!$AL$68="Moderado"),CONCATENATE("R2C",'Mapa final'!$S$68),"")</f>
        <v/>
      </c>
      <c r="AC30" s="38" t="str">
        <f>IF(AND('Mapa final'!$AJ$63="Alta",'Mapa final'!$AL$63="Mayor"),CONCATENATE("R2C",'Mapa final'!$S$63),"")</f>
        <v/>
      </c>
      <c r="AD30" s="39" t="str">
        <f>IF(AND('Mapa final'!$AJ$64="Alta",'Mapa final'!$AL$64="Mayor"),CONCATENATE("R2C",'Mapa final'!$S$64),"")</f>
        <v/>
      </c>
      <c r="AE30" s="39" t="str">
        <f>IF(AND('Mapa final'!$AJ$65="Alta",'Mapa final'!$AL$65="Mayor"),CONCATENATE("R2C",'Mapa final'!$S$65),"")</f>
        <v/>
      </c>
      <c r="AF30" s="39" t="str">
        <f>IF(AND('Mapa final'!$AJ$66="Alta",'Mapa final'!$AL$66="Mayor"),CONCATENATE("R2C",'Mapa final'!$S$66),"")</f>
        <v/>
      </c>
      <c r="AG30" s="39" t="str">
        <f>IF(AND('Mapa final'!$AJ$67="Alta",'Mapa final'!$AL$67="Mayor"),CONCATENATE("R2C",'Mapa final'!$S$67),"")</f>
        <v/>
      </c>
      <c r="AH30" s="40" t="str">
        <f>IF(AND('Mapa final'!$AJ$68="Alta",'Mapa final'!$AL$68="Mayor"),CONCATENATE("R2C",'Mapa final'!$S$68),"")</f>
        <v/>
      </c>
      <c r="AI30" s="41" t="str">
        <f>IF(AND('Mapa final'!$AJ$63="Alta",'Mapa final'!$AL$63="Catastrófico"),CONCATENATE("R2C",'Mapa final'!$S$63),"")</f>
        <v/>
      </c>
      <c r="AJ30" s="42" t="str">
        <f>IF(AND('Mapa final'!$AJ$64="Alta",'Mapa final'!$AL$64="Catastrófico"),CONCATENATE("R2C",'Mapa final'!$S$64),"")</f>
        <v/>
      </c>
      <c r="AK30" s="42" t="str">
        <f>IF(AND('Mapa final'!$AJ$65="Alta",'Mapa final'!$AL$65="Catastrófico"),CONCATENATE("R2C",'Mapa final'!$S$65),"")</f>
        <v/>
      </c>
      <c r="AL30" s="42" t="str">
        <f>IF(AND('Mapa final'!$AJ$66="Alta",'Mapa final'!$AL$66="Catastrófico"),CONCATENATE("R2C",'Mapa final'!$S$66),"")</f>
        <v/>
      </c>
      <c r="AM30" s="42" t="str">
        <f>IF(AND('Mapa final'!$AJ$67="Alta",'Mapa final'!$AL$67="Catastrófico"),CONCATENATE("R2C",'Mapa final'!$S$67),"")</f>
        <v/>
      </c>
      <c r="AN30" s="43" t="str">
        <f>IF(AND('Mapa final'!$AJ$68="Alta",'Mapa final'!$AL$68="Catastrófico"),CONCATENATE("R2C",'Mapa final'!$S$68),"")</f>
        <v/>
      </c>
      <c r="AO30" s="69"/>
      <c r="AP30" s="470"/>
      <c r="AQ30" s="471"/>
      <c r="AR30" s="471"/>
      <c r="AS30" s="471"/>
      <c r="AT30" s="471"/>
      <c r="AU30" s="472"/>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71"/>
      <c r="D31" s="371"/>
      <c r="E31" s="372"/>
      <c r="F31" s="464"/>
      <c r="G31" s="465"/>
      <c r="H31" s="465"/>
      <c r="I31" s="465"/>
      <c r="J31" s="465"/>
      <c r="K31" s="56" t="str">
        <f>IF(AND('Mapa final'!$AJ$69="Alta",'Mapa final'!$AL$69="Leve"),CONCATENATE("R2C",'Mapa final'!$S$69),"")</f>
        <v/>
      </c>
      <c r="L31" s="57" t="str">
        <f>IF(AND('Mapa final'!$AJ$70="Alta",'Mapa final'!$AL$70="Leve"),CONCATENATE("R2C",'Mapa final'!$S$70),"")</f>
        <v/>
      </c>
      <c r="M31" s="57" t="str">
        <f>IF(AND('Mapa final'!$AJ$71="Alta",'Mapa final'!$AL$71="Leve"),CONCATENATE("R2C",'Mapa final'!$S$71),"")</f>
        <v/>
      </c>
      <c r="N31" s="57" t="str">
        <f>IF(AND('Mapa final'!$AJ$72="Alta",'Mapa final'!$AL$72="Leve"),CONCATENATE("R2C",'Mapa final'!$S$72),"")</f>
        <v/>
      </c>
      <c r="O31" s="57" t="str">
        <f>IF(AND('Mapa final'!$AJ$74="Alta",'Mapa final'!$AL$74="Leve"),CONCATENATE("R2C",'Mapa final'!$S$74),"")</f>
        <v/>
      </c>
      <c r="P31" s="58" t="str">
        <f>IF(AND('Mapa final'!$AJ$75="Alta",'Mapa final'!$AL$75="Leve"),CONCATENATE("R2C",'Mapa final'!$S$75),"")</f>
        <v/>
      </c>
      <c r="Q31" s="56" t="str">
        <f>IF(AND('Mapa final'!$AJ$69="Alta",'Mapa final'!$AL$69="Menor"),CONCATENATE("R2C",'Mapa final'!$S$69),"")</f>
        <v/>
      </c>
      <c r="R31" s="57" t="str">
        <f>IF(AND('Mapa final'!$AJ$70="Alta",'Mapa final'!$AL$70="Menor"),CONCATENATE("R2C",'Mapa final'!$S$70),"")</f>
        <v/>
      </c>
      <c r="S31" s="57" t="str">
        <f>IF(AND('Mapa final'!$AJ$71="Alta",'Mapa final'!$AL$71="Menor"),CONCATENATE("R2C",'Mapa final'!$S$71),"")</f>
        <v/>
      </c>
      <c r="T31" s="57" t="str">
        <f>IF(AND('Mapa final'!$AJ$72="Alta",'Mapa final'!$AL$72="Menor"),CONCATENATE("R2C",'Mapa final'!$S$72),"")</f>
        <v/>
      </c>
      <c r="U31" s="57" t="str">
        <f>IF(AND('Mapa final'!$AJ$74="Alta",'Mapa final'!$AL$74="Menor"),CONCATENATE("R2C",'Mapa final'!$S$74),"")</f>
        <v/>
      </c>
      <c r="V31" s="58" t="str">
        <f>IF(AND('Mapa final'!$AJ$75="Alta",'Mapa final'!$AL$75="Menor"),CONCATENATE("R2C",'Mapa final'!$S$75),"")</f>
        <v/>
      </c>
      <c r="W31" s="44" t="str">
        <f>IF(AND('Mapa final'!$AJ$69="Alta",'Mapa final'!$AL$69="Moderado"),CONCATENATE("R2C",'Mapa final'!$S$69),"")</f>
        <v/>
      </c>
      <c r="X31" s="45" t="str">
        <f>IF(AND('Mapa final'!$AJ$70="Alta",'Mapa final'!$AL$70="Moderado"),CONCATENATE("R2C",'Mapa final'!$S$70),"")</f>
        <v/>
      </c>
      <c r="Y31" s="45" t="str">
        <f>IF(AND('Mapa final'!$AJ$71="Alta",'Mapa final'!$AL$71="Moderado"),CONCATENATE("R2C",'Mapa final'!$S$71),"")</f>
        <v/>
      </c>
      <c r="Z31" s="45" t="str">
        <f>IF(AND('Mapa final'!$AJ$72="Alta",'Mapa final'!$AL$72="Moderado"),CONCATENATE("R2C",'Mapa final'!$S$72),"")</f>
        <v/>
      </c>
      <c r="AA31" s="45" t="str">
        <f>IF(AND('Mapa final'!$AJ$74="Alta",'Mapa final'!$AL$74="Moderado"),CONCATENATE("R2C",'Mapa final'!$S$74),"")</f>
        <v/>
      </c>
      <c r="AB31" s="46" t="str">
        <f>IF(AND('Mapa final'!$AJ$75="Alta",'Mapa final'!$AL$75="Moderado"),CONCATENATE("R2C",'Mapa final'!$S$75),"")</f>
        <v/>
      </c>
      <c r="AC31" s="44" t="str">
        <f>IF(AND('Mapa final'!$AJ$69="Alta",'Mapa final'!$AL$69="Mayor"),CONCATENATE("R2C",'Mapa final'!$S$69),"")</f>
        <v/>
      </c>
      <c r="AD31" s="45" t="str">
        <f>IF(AND('Mapa final'!$AJ$70="Alta",'Mapa final'!$AL$70="Mayor"),CONCATENATE("R2C",'Mapa final'!$S$70),"")</f>
        <v/>
      </c>
      <c r="AE31" s="45" t="str">
        <f>IF(AND('Mapa final'!$AJ$71="Alta",'Mapa final'!$AL$71="Mayor"),CONCATENATE("R2C",'Mapa final'!$S$71),"")</f>
        <v/>
      </c>
      <c r="AF31" s="45" t="str">
        <f>IF(AND('Mapa final'!$AJ$72="Alta",'Mapa final'!$AL$72="Mayor"),CONCATENATE("R2C",'Mapa final'!$S$72),"")</f>
        <v/>
      </c>
      <c r="AG31" s="45" t="str">
        <f>IF(AND('Mapa final'!$AJ$74="Alta",'Mapa final'!$AL$74="Mayor"),CONCATENATE("R2C",'Mapa final'!$S$74),"")</f>
        <v/>
      </c>
      <c r="AH31" s="46" t="str">
        <f>IF(AND('Mapa final'!$AJ$75="Alta",'Mapa final'!$AL$75="Mayor"),CONCATENATE("R2C",'Mapa final'!$S$75),"")</f>
        <v/>
      </c>
      <c r="AI31" s="47" t="str">
        <f>IF(AND('Mapa final'!$AJ$69="Alta",'Mapa final'!$AL$69="Catastrófico"),CONCATENATE("R2C",'Mapa final'!$S$69),"")</f>
        <v/>
      </c>
      <c r="AJ31" s="48" t="str">
        <f>IF(AND('Mapa final'!$AJ$70="Alta",'Mapa final'!$AL$70="Catastrófico"),CONCATENATE("R2C",'Mapa final'!$S$70),"")</f>
        <v/>
      </c>
      <c r="AK31" s="48" t="str">
        <f>IF(AND('Mapa final'!$AJ$71="Alta",'Mapa final'!$AL$71="Catastrófico"),CONCATENATE("R2C",'Mapa final'!$S$71),"")</f>
        <v/>
      </c>
      <c r="AL31" s="48" t="str">
        <f>IF(AND('Mapa final'!$AJ$72="Alta",'Mapa final'!$AL$72="Catastrófico"),CONCATENATE("R2C",'Mapa final'!$S$72),"")</f>
        <v/>
      </c>
      <c r="AM31" s="48" t="str">
        <f>IF(AND('Mapa final'!$AJ$74="Alta",'Mapa final'!$AL$74="Catastrófico"),CONCATENATE("R2C",'Mapa final'!$S$74),"")</f>
        <v/>
      </c>
      <c r="AN31" s="49" t="str">
        <f>IF(AND('Mapa final'!$AJ$75="Muy Alta",'Mapa final'!$AL$75="Catastrófico"),CONCATENATE("R2C",'Mapa final'!$S$75),"")</f>
        <v/>
      </c>
      <c r="AO31" s="69"/>
      <c r="AP31" s="473"/>
      <c r="AQ31" s="474"/>
      <c r="AR31" s="474"/>
      <c r="AS31" s="474"/>
      <c r="AT31" s="474"/>
      <c r="AU31" s="475"/>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71"/>
      <c r="D32" s="371"/>
      <c r="E32" s="372"/>
      <c r="F32" s="458" t="s">
        <v>116</v>
      </c>
      <c r="G32" s="459"/>
      <c r="H32" s="459"/>
      <c r="I32" s="459"/>
      <c r="J32" s="460"/>
      <c r="K32" s="50" t="str">
        <f>IF(AND('Mapa final'!$AJ$15="Media",'Mapa final'!$AL$15="Leve"),CONCATENATE("R2C",'Mapa final'!$S$15),"")</f>
        <v/>
      </c>
      <c r="L32" s="51" t="str">
        <f>IF(AND('Mapa final'!$AJ$16="Media",'Mapa final'!$AL$16="Leve"),CONCATENATE("R2C",'Mapa final'!$S$16),"")</f>
        <v/>
      </c>
      <c r="M32" s="51" t="str">
        <f>IF(AND('Mapa final'!$AJ$17="Media",'Mapa final'!$AL$17="Leve"),CONCATENATE("R2C",'Mapa final'!$S$17),"")</f>
        <v/>
      </c>
      <c r="N32" s="51" t="str">
        <f>IF(AND('Mapa final'!$AJ$18="Media",'Mapa final'!$AL$18="Leve"),CONCATENATE("R2C",'Mapa final'!$S$18),"")</f>
        <v/>
      </c>
      <c r="O32" s="51" t="str">
        <f>IF(AND('Mapa final'!$AJ$19="Media",'Mapa final'!$AL$19="Leve"),CONCATENATE("R2C",'Mapa final'!$S$19),"")</f>
        <v/>
      </c>
      <c r="P32" s="52" t="str">
        <f>IF(AND('Mapa final'!$AJ$20="Media",'Mapa final'!$AL$20="Leve"),CONCATENATE("R2C",'Mapa final'!$S$20),"")</f>
        <v/>
      </c>
      <c r="Q32" s="50" t="str">
        <f>IF(AND('Mapa final'!$AJ$15="Media",'Mapa final'!$AL$15="Menor"),CONCATENATE("R2C",'Mapa final'!$S$15),"")</f>
        <v/>
      </c>
      <c r="R32" s="51" t="str">
        <f>IF(AND('Mapa final'!$AJ$16="Media",'Mapa final'!$AL$16="Menore"),CONCATENATE("R2C",'Mapa final'!$S$16),"")</f>
        <v/>
      </c>
      <c r="S32" s="51" t="str">
        <f>IF(AND('Mapa final'!$AJ$17="Media",'Mapa final'!$AL$17="Menor"),CONCATENATE("R2C",'Mapa final'!$S$17),"")</f>
        <v/>
      </c>
      <c r="T32" s="51" t="str">
        <f>IF(AND('Mapa final'!$AJ$18="Media",'Mapa final'!$AL$18="Menor"),CONCATENATE("R2C",'Mapa final'!$S$18),"")</f>
        <v/>
      </c>
      <c r="U32" s="51" t="str">
        <f>IF(AND('Mapa final'!$AJ$19="Media",'Mapa final'!$AL$19="Menor"),CONCATENATE("R2C",'Mapa final'!$S$19),"")</f>
        <v/>
      </c>
      <c r="V32" s="52" t="str">
        <f>IF(AND('Mapa final'!$AJ$20="Media",'Mapa final'!$AL$20="Menor"),CONCATENATE("R2C",'Mapa final'!$S$20),"")</f>
        <v/>
      </c>
      <c r="W32" s="50" t="str">
        <f>IF(AND('Mapa final'!$AJ$15="Media",'Mapa final'!$AL$15="Moderado"),CONCATENATE("R2C",'Mapa final'!$D$15),"")</f>
        <v>R2C1</v>
      </c>
      <c r="X32" s="51" t="str">
        <f>IF(AND('Mapa final'!$AJ$16="Media",'Mapa final'!$AL$16="Moderado"),CONCATENATE("R2C",'Mapa final'!$S$16),"")</f>
        <v/>
      </c>
      <c r="Y32" s="51"/>
      <c r="Z32" s="51" t="str">
        <f>IF(AND('Mapa final'!$AJ$18="Media",'Mapa final'!$AL$18="Moderado"),CONCATENATE("R2C",'Mapa final'!$S$18),"")</f>
        <v/>
      </c>
      <c r="AA32" s="51" t="str">
        <f>IF(AND('Mapa final'!$AJ$19="Media",'Mapa final'!$AL$19="Moderado"),CONCATENATE("R2C",'Mapa final'!$S$19),"")</f>
        <v/>
      </c>
      <c r="AB32" s="52" t="str">
        <f>IF(AND('Mapa final'!$AJ$20="Media",'Mapa final'!$AL$20="Moderado"),CONCATENATE("R2C",'Mapa final'!$S$20),"")</f>
        <v/>
      </c>
      <c r="AC32" s="32" t="str">
        <f>IF(AND('Mapa final'!$AJ$15="Media",'Mapa final'!$AL$15="Mayor"),CONCATENATE("R2C",'Mapa final'!$S$15),"")</f>
        <v/>
      </c>
      <c r="AD32" s="33" t="str">
        <f>IF(AND('Mapa final'!$AJ$16="Media",'Mapa final'!$AL$16="Mayor"),CONCATENATE("R2C",'Mapa final'!$S$16),"")</f>
        <v/>
      </c>
      <c r="AE32" s="33" t="str">
        <f>IF(AND('Mapa final'!$AJ$17="Media",'Mapa final'!$AL$17="Mayor"),CONCATENATE("R2C",'Mapa final'!$D$17),"")</f>
        <v/>
      </c>
      <c r="AF32" s="33" t="str">
        <f>IF(AND('Mapa final'!$AJ$18="Media",'Mapa final'!$AL$18="Mayor"),CONCATENATE("R2C",'Mapa final'!$S$18),"")</f>
        <v/>
      </c>
      <c r="AG32" s="33" t="str">
        <f>IF(AND('Mapa final'!$AJ$19="Media",'Mapa final'!$AL$19="Mayor"),CONCATENATE("R2C",'Mapa final'!$S$19),"")</f>
        <v/>
      </c>
      <c r="AH32" s="34" t="str">
        <f>IF(AND('Mapa final'!$AJ$20="Media",'Mapa final'!$AL$20="Mayor"),CONCATENATE("R2C",'Mapa final'!$S$20),"")</f>
        <v/>
      </c>
      <c r="AI32" s="35" t="str">
        <f>IF(AND('Mapa final'!$AJ$15="Media",'Mapa final'!$AL$15="Catastrófico"),CONCATENATE("R2C",'Mapa final'!$S$15),"")</f>
        <v/>
      </c>
      <c r="AJ32" s="36" t="str">
        <f>IF(AND('Mapa final'!$AJ$16="Media",'Mapa final'!$AL$16="Catastrófico"),CONCATENATE("R2C",'Mapa final'!$S$16),"")</f>
        <v/>
      </c>
      <c r="AK32" s="36" t="str">
        <f>IF(AND('Mapa final'!$AJ$17="Media",'Mapa final'!$AL$17="Catastrófico"),CONCATENATE("R2C",'Mapa final'!$S$17),"")</f>
        <v/>
      </c>
      <c r="AL32" s="36" t="str">
        <f>IF(AND('Mapa final'!$AJ$18="Media",'Mapa final'!$AL$18="Catastrófico"),CONCATENATE("R2C",'Mapa final'!$S$18),"")</f>
        <v/>
      </c>
      <c r="AM32" s="36" t="str">
        <f>IF(AND('Mapa final'!$AJ$19="Media",'Mapa final'!$AL$19="Catastrófico"),CONCATENATE("R2C",'Mapa final'!$S$19),"")</f>
        <v/>
      </c>
      <c r="AN32" s="37" t="str">
        <f>IF(AND('Mapa final'!$AJ$20="Media",'Mapa final'!$AL$20="Catastrófico"),CONCATENATE("R2C",'Mapa final'!$S$20),"")</f>
        <v/>
      </c>
      <c r="AO32" s="69"/>
      <c r="AP32" s="498" t="s">
        <v>80</v>
      </c>
      <c r="AQ32" s="499"/>
      <c r="AR32" s="499"/>
      <c r="AS32" s="499"/>
      <c r="AT32" s="499"/>
      <c r="AU32" s="500"/>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71"/>
      <c r="D33" s="371"/>
      <c r="E33" s="372"/>
      <c r="F33" s="476"/>
      <c r="G33" s="462"/>
      <c r="H33" s="462"/>
      <c r="I33" s="462"/>
      <c r="J33" s="463"/>
      <c r="K33" s="53" t="str">
        <f>IF(AND('Mapa final'!$AJ$21="Media",'Mapa final'!$AL$21="Leve"),CONCATENATE("R2C",'Mapa final'!$S$21),"")</f>
        <v/>
      </c>
      <c r="L33" s="54" t="str">
        <f>IF(AND('Mapa final'!$AJ$22="Media",'Mapa final'!$AL$22="Leve"),CONCATENATE("R2C",'Mapa final'!$S$22),"")</f>
        <v/>
      </c>
      <c r="M33" s="54" t="str">
        <f>IF(AND('Mapa final'!$AJ$23="Media",'Mapa final'!$AL$23="Leve"),CONCATENATE("R2C",'Mapa final'!$S$23),"")</f>
        <v/>
      </c>
      <c r="N33" s="54" t="str">
        <f>IF(AND('Mapa final'!$AJ$24="Media",'Mapa final'!$AL$24="Leve"),CONCATENATE("R2C",'Mapa final'!$S$24),"")</f>
        <v/>
      </c>
      <c r="O33" s="54" t="str">
        <f>IF(AND('Mapa final'!$AJ$25="Media",'Mapa final'!$AL$25="Leve"),CONCATENATE("R2C",'Mapa final'!$S$25),"")</f>
        <v/>
      </c>
      <c r="P33" s="55" t="str">
        <f>IF(AND('Mapa final'!$AJ$26="Media",'Mapa final'!$AL$26="Leve"),CONCATENATE("R2C",'Mapa final'!$S$26),"")</f>
        <v/>
      </c>
      <c r="Q33" s="53" t="str">
        <f>IF(AND('Mapa final'!$AJ$21="Media",'Mapa final'!$AL$21="Menor"),CONCATENATE("R2C",'Mapa final'!$S$21),"")</f>
        <v/>
      </c>
      <c r="R33" s="54" t="str">
        <f>IF(AND('Mapa final'!$AJ$22="Media",'Mapa final'!$AL$22="Menor"),CONCATENATE("R2C",'Mapa final'!$S$22),"")</f>
        <v/>
      </c>
      <c r="S33" s="54" t="str">
        <f>IF(AND('Mapa final'!$AJ$23="Media",'Mapa final'!$AL$23="Menor"),CONCATENATE("R2C",'Mapa final'!$S$23),"")</f>
        <v/>
      </c>
      <c r="T33" s="54" t="str">
        <f>IF(AND('Mapa final'!$AJ$24="Media",'Mapa final'!$AL$24="Menor"),CONCATENATE("R2C",'Mapa final'!$S$24),"")</f>
        <v/>
      </c>
      <c r="U33" s="54" t="str">
        <f>IF(AND('Mapa final'!$AJ$25="Media",'Mapa final'!$AL$25="Menor"),CONCATENATE("R2C",'Mapa final'!$S$25),"")</f>
        <v/>
      </c>
      <c r="V33" s="55" t="str">
        <f>IF(AND('Mapa final'!$AJ$26="Media",'Mapa final'!$AL$26="Menor"),CONCATENATE("R2C",'Mapa final'!$S$26),"")</f>
        <v/>
      </c>
      <c r="W33" s="53" t="str">
        <f>IF(AND('Mapa final'!$AJ$21="Media",'Mapa final'!$AL$21="Moderado"),CONCATENATE("R2C",'Mapa final'!$S$21),"")</f>
        <v/>
      </c>
      <c r="X33" s="54" t="str">
        <f>IF(AND('Mapa final'!$AJ$22="Media",'Mapa final'!$AL$22="Moderado"),CONCATENATE("R2C",'Mapa final'!$S$22),"")</f>
        <v/>
      </c>
      <c r="Y33" s="54" t="str">
        <f>IF(AND('Mapa final'!$AJ$23="Media",'Mapa final'!$AL$23="Moderado"),CONCATENATE("R2C",'Mapa final'!$S$23),"")</f>
        <v/>
      </c>
      <c r="Z33" s="54" t="str">
        <f>IF(AND('Mapa final'!$AJ$24="Media",'Mapa final'!$AL$24="Moderado"),CONCATENATE("R2C",'Mapa final'!$S$24),"")</f>
        <v/>
      </c>
      <c r="AA33" s="54" t="str">
        <f>IF(AND('Mapa final'!$AJ$25="Media",'Mapa final'!$AL$25="Moderado"),CONCATENATE("R2C",'Mapa final'!$S$25),"")</f>
        <v/>
      </c>
      <c r="AB33" s="55" t="str">
        <f>IF(AND('Mapa final'!$AJ$26="Media",'Mapa final'!$AL$26="Moderado"),CONCATENATE("R2C",'Mapa final'!$S$26),"")</f>
        <v/>
      </c>
      <c r="AC33" s="38" t="str">
        <f>IF(AND('Mapa final'!$AJ$21="Media",'Mapa final'!$AL$21="Mayor"),CONCATENATE("R2C",'Mapa final'!$S$21),"")</f>
        <v/>
      </c>
      <c r="AD33" s="39" t="str">
        <f>IF(AND('Mapa final'!$AJ$22="Muy Alta",'Mapa final'!$AL$22="Mayor"),CONCATENATE("R2C",'Mapa final'!$S$22),"")</f>
        <v/>
      </c>
      <c r="AE33" s="39" t="str">
        <f>IF(AND('Mapa final'!$AJ$23="Media",'Mapa final'!$AL$23="Mayor"),CONCATENATE("R2C",'Mapa final'!$S$23),"")</f>
        <v/>
      </c>
      <c r="AF33" s="39" t="str">
        <f>IF(AND('Mapa final'!$AJ$24="Media",'Mapa final'!$AL$24="Mayor"),CONCATENATE("R2C",'Mapa final'!$S$24),"")</f>
        <v/>
      </c>
      <c r="AG33" s="39" t="str">
        <f>IF(AND('Mapa final'!$AJ$25="Media",'Mapa final'!$AL$25="Mayor"),CONCATENATE("R2C",'Mapa final'!$S$25),"")</f>
        <v/>
      </c>
      <c r="AH33" s="40" t="str">
        <f>IF(AND('Mapa final'!$AJ$26="Media",'Mapa final'!$AL$26="Mayor"),CONCATENATE("R2C",'Mapa final'!$S$26),"")</f>
        <v/>
      </c>
      <c r="AI33" s="41" t="str">
        <f>IF(AND('Mapa final'!$AJ$21="Media",'Mapa final'!$AL$21="Catastrófico"),CONCATENATE("R2C",'Mapa final'!$S$21),"")</f>
        <v/>
      </c>
      <c r="AJ33" s="42" t="str">
        <f>IF(AND('Mapa final'!$AJ$22="Media",'Mapa final'!$AL$22="Catastrófico"),CONCATENATE("R2C",'Mapa final'!$S$22),"")</f>
        <v/>
      </c>
      <c r="AK33" s="42" t="str">
        <f>IF(AND('Mapa final'!$AJ$23="Media",'Mapa final'!$AL$23="Catastrófico"),CONCATENATE("R2C",'Mapa final'!$S$23),"")</f>
        <v/>
      </c>
      <c r="AL33" s="42" t="str">
        <f>IF(AND('Mapa final'!$AJ$24="Media",'Mapa final'!$AL$24="Catastrófico"),CONCATENATE("R2C",'Mapa final'!$S$24),"")</f>
        <v/>
      </c>
      <c r="AM33" s="42" t="str">
        <f>IF(AND('Mapa final'!$AJ$25="Media",'Mapa final'!$AL$25="Catastrófico"),CONCATENATE("R2C",'Mapa final'!$S$25),"")</f>
        <v/>
      </c>
      <c r="AN33" s="43" t="str">
        <f>IF(AND('Mapa final'!$AJ$26="Media",'Mapa final'!$AL$26="Catastrófico"),CONCATENATE("R2C",'Mapa final'!$S$26),"")</f>
        <v/>
      </c>
      <c r="AO33" s="69"/>
      <c r="AP33" s="501"/>
      <c r="AQ33" s="502"/>
      <c r="AR33" s="502"/>
      <c r="AS33" s="502"/>
      <c r="AT33" s="502"/>
      <c r="AU33" s="503"/>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71"/>
      <c r="D34" s="371"/>
      <c r="E34" s="372"/>
      <c r="F34" s="461"/>
      <c r="G34" s="462"/>
      <c r="H34" s="462"/>
      <c r="I34" s="462"/>
      <c r="J34" s="463"/>
      <c r="K34" s="53" t="str">
        <f>IF(AND('Mapa final'!$AJ$27="Media",'Mapa final'!$AL$27="Leve"),CONCATENATE("R2C",'Mapa final'!$S$27),"")</f>
        <v/>
      </c>
      <c r="L34" s="54" t="str">
        <f>IF(AND('Mapa final'!$AJ$28="Media",'Mapa final'!$AL$28="Leve"),CONCATENATE("R2C",'Mapa final'!$S$28),"")</f>
        <v/>
      </c>
      <c r="M34" s="54" t="str">
        <f>IF(AND('Mapa final'!$AJ$29="Media",'Mapa final'!$AL$29="Leve"),CONCATENATE("R2C",'Mapa final'!$S$29),"")</f>
        <v/>
      </c>
      <c r="N34" s="54" t="str">
        <f>IF(AND('Mapa final'!$AJ$30="Media",'Mapa final'!$AL$30="Leve"),CONCATENATE("R2C",'Mapa final'!$S$30),"")</f>
        <v/>
      </c>
      <c r="O34" s="54" t="str">
        <f>IF(AND('Mapa final'!$AJ$31="Media",'Mapa final'!$AL$31="Leve"),CONCATENATE("R2C",'Mapa final'!$S$31),"")</f>
        <v/>
      </c>
      <c r="P34" s="55" t="str">
        <f>IF(AND('Mapa final'!$AJ$32="Media",'Mapa final'!$AL$32="Leve"),CONCATENATE("R2C",'Mapa final'!$S$32),"")</f>
        <v/>
      </c>
      <c r="Q34" s="53" t="str">
        <f>IF(AND('Mapa final'!$AJ$27="Media",'Mapa final'!$AL$27="Menor"),CONCATENATE("R2C",'Mapa final'!$S$27),"")</f>
        <v/>
      </c>
      <c r="R34" s="54" t="str">
        <f>IF(AND('Mapa final'!$AJ$28="Media",'Mapa final'!$AL$28="Menor"),CONCATENATE("R2C",'Mapa final'!$S$28),"")</f>
        <v/>
      </c>
      <c r="S34" s="54" t="str">
        <f>IF(AND('Mapa final'!$AJ$29="Media",'Mapa final'!$AL$29="Menor"),CONCATENATE("R2C",'Mapa final'!$S$29),"")</f>
        <v/>
      </c>
      <c r="T34" s="54" t="str">
        <f>IF(AND('Mapa final'!$AJ$30="Media",'Mapa final'!$AL$30="Menor"),CONCATENATE("R2C",'Mapa final'!$S$30),"")</f>
        <v/>
      </c>
      <c r="U34" s="54" t="str">
        <f>IF(AND('Mapa final'!$AJ$31="Media",'Mapa final'!$AL$31="Menor"),CONCATENATE("R2C",'Mapa final'!$S$31),"")</f>
        <v/>
      </c>
      <c r="V34" s="55" t="str">
        <f>IF(AND('Mapa final'!$AJ$32="Media",'Mapa final'!$AL$32="Menor"),CONCATENATE("R2C",'Mapa final'!$S$32),"")</f>
        <v/>
      </c>
      <c r="W34" s="53" t="str">
        <f>IF(AND('Mapa final'!$AJ$27="Media",'Mapa final'!$AL$27="Moderado"),CONCATENATE("R2C",'Mapa final'!$S$27),"")</f>
        <v/>
      </c>
      <c r="X34" s="54" t="str">
        <f>IF(AND('Mapa final'!$AJ$28="Media",'Mapa final'!$AL$28="Moderado"),CONCATENATE("R2C",'Mapa final'!$S$28),"")</f>
        <v/>
      </c>
      <c r="Y34" s="54" t="str">
        <f>IF(AND('Mapa final'!$AJ$29="Media",'Mapa final'!$AL$29="Moderado"),CONCATENATE("R2C",'Mapa final'!$S$29),"")</f>
        <v/>
      </c>
      <c r="Z34" s="54" t="str">
        <f>IF(AND('Mapa final'!$AJ$30="Media",'Mapa final'!$AL$30="Moderado"),CONCATENATE("R2C",'Mapa final'!$S$30),"")</f>
        <v/>
      </c>
      <c r="AA34" s="54" t="str">
        <f>IF(AND('Mapa final'!$AJ$31="Media",'Mapa final'!$AL$31="Moderado"),CONCATENATE("R2C",'Mapa final'!$S$31),"")</f>
        <v/>
      </c>
      <c r="AB34" s="55" t="str">
        <f>IF(AND('Mapa final'!$AJ$32="Media",'Mapa final'!$AL$32="Moderado"),CONCATENATE("R2C",'Mapa final'!$S$32),"")</f>
        <v/>
      </c>
      <c r="AC34" s="38" t="str">
        <f>IF(AND('Mapa final'!$AJ$27="Media",'Mapa final'!$AL$27="Mayor"),CONCATENATE("R2C",'Mapa final'!$S$27),"")</f>
        <v/>
      </c>
      <c r="AD34" s="39" t="str">
        <f>IF(AND('Mapa final'!$AJ$28="Media",'Mapa final'!$AL$28="Mayor"),CONCATENATE("R2C",'Mapa final'!$S$28),"")</f>
        <v/>
      </c>
      <c r="AE34" s="39" t="str">
        <f>IF(AND('Mapa final'!$AJ$29="Media",'Mapa final'!$AL$29="Mayor"),CONCATENATE("R2C",'Mapa final'!$S$29),"")</f>
        <v/>
      </c>
      <c r="AF34" s="39" t="str">
        <f>IF(AND('Mapa final'!$AJ$30="Media",'Mapa final'!$AL$30="Mayor"),CONCATENATE("R2C",'Mapa final'!$S$30),"")</f>
        <v/>
      </c>
      <c r="AG34" s="39" t="str">
        <f>IF(AND('Mapa final'!$AJ$31="Media",'Mapa final'!$AL$31="Mayor"),CONCATENATE("R2C",'Mapa final'!$S$31),"")</f>
        <v/>
      </c>
      <c r="AH34" s="40" t="str">
        <f>IF(AND('Mapa final'!$AJ$32="Media",'Mapa final'!$AL$32="Mayor"),CONCATENATE("R2C",'Mapa final'!$S$32),"")</f>
        <v/>
      </c>
      <c r="AI34" s="41" t="str">
        <f>IF(AND('Mapa final'!$AJ$27="Media",'Mapa final'!$AL$27="Catastrófico"),CONCATENATE("R2C",'Mapa final'!$S$27),"")</f>
        <v/>
      </c>
      <c r="AJ34" s="42" t="str">
        <f>IF(AND('Mapa final'!$AJ$28="Media",'Mapa final'!$AL$28="Catastrófico"),CONCATENATE("R2C",'Mapa final'!$S$28),"")</f>
        <v/>
      </c>
      <c r="AK34" s="42" t="str">
        <f>IF(AND('Mapa final'!$AJ$29="Media",'Mapa final'!$AL$29="Catastrófico"),CONCATENATE("R2C",'Mapa final'!$S$29),"")</f>
        <v/>
      </c>
      <c r="AL34" s="42" t="str">
        <f>IF(AND('Mapa final'!$AJ$30="Media",'Mapa final'!$AL$30="Catastrófico"),CONCATENATE("R2C",'Mapa final'!$S$30),"")</f>
        <v/>
      </c>
      <c r="AM34" s="42" t="str">
        <f>IF(AND('Mapa final'!$AJ$31="Media",'Mapa final'!$AL$31="Catastrófico"),CONCATENATE("R2C",'Mapa final'!$S$31),"")</f>
        <v/>
      </c>
      <c r="AN34" s="43" t="str">
        <f>IF(AND('Mapa final'!$AJ$32="Media",'Mapa final'!$AL$32="Catastrófico"),CONCATENATE("R2C",'Mapa final'!$S$32),"")</f>
        <v/>
      </c>
      <c r="AO34" s="69"/>
      <c r="AP34" s="501"/>
      <c r="AQ34" s="502"/>
      <c r="AR34" s="502"/>
      <c r="AS34" s="502"/>
      <c r="AT34" s="502"/>
      <c r="AU34" s="503"/>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71"/>
      <c r="D35" s="371"/>
      <c r="E35" s="372"/>
      <c r="F35" s="461"/>
      <c r="G35" s="462"/>
      <c r="H35" s="462"/>
      <c r="I35" s="462"/>
      <c r="J35" s="463"/>
      <c r="K35" s="53" t="str">
        <f>IF(AND('Mapa final'!$AJ$33="Media",'Mapa final'!$AL$33="Leve"),CONCATENATE("R2C",'Mapa final'!$S$33),"")</f>
        <v/>
      </c>
      <c r="L35" s="54" t="str">
        <f>IF(AND('Mapa final'!$AJ$34="Media",'Mapa final'!$AL$34="Leve"),CONCATENATE("R2C",'Mapa final'!$S$34),"")</f>
        <v/>
      </c>
      <c r="M35" s="54" t="str">
        <f>IF(AND('Mapa final'!$AJ$35="Media",'Mapa final'!$AL$35="Leve"),CONCATENATE("R2C",'Mapa final'!$S$35),"")</f>
        <v/>
      </c>
      <c r="N35" s="54" t="str">
        <f>IF(AND('Mapa final'!$AJ$36="Media",'Mapa final'!$AL$36="Leve"),CONCATENATE("R2C",'Mapa final'!$S$36),"")</f>
        <v/>
      </c>
      <c r="O35" s="54" t="str">
        <f>IF(AND('Mapa final'!$AJ$37="Media",'Mapa final'!$AL$37="Leve"),CONCATENATE("R2C",'Mapa final'!$S$37),"")</f>
        <v/>
      </c>
      <c r="P35" s="55" t="str">
        <f>IF(AND('Mapa final'!$AJ$38="Media",'Mapa final'!$AL$38="Leve"),CONCATENATE("R2C",'Mapa final'!$S$38),"")</f>
        <v/>
      </c>
      <c r="Q35" s="53" t="str">
        <f>IF(AND('Mapa final'!$AJ$33="Media",'Mapa final'!$AL$33="Menor"),CONCATENATE("R2C",'Mapa final'!$S$33),"")</f>
        <v/>
      </c>
      <c r="R35" s="54" t="str">
        <f>IF(AND('Mapa final'!$AJ$34="Media",'Mapa final'!$AL$34="Menor"),CONCATENATE("R2C",'Mapa final'!$S$34),"")</f>
        <v/>
      </c>
      <c r="S35" s="54" t="str">
        <f>IF(AND('Mapa final'!$AJ$35="Media",'Mapa final'!$AL$35="Menor"),CONCATENATE("R2C",'Mapa final'!$S$35),"")</f>
        <v/>
      </c>
      <c r="T35" s="54" t="str">
        <f>IF(AND('Mapa final'!$AJ$36="Media",'Mapa final'!$AL$36="Menor"),CONCATENATE("R2C",'Mapa final'!$S$36),"")</f>
        <v/>
      </c>
      <c r="U35" s="54" t="str">
        <f>IF(AND('Mapa final'!$AJ$37="Media",'Mapa final'!$AL$37="LMenor"),CONCATENATE("R2C",'Mapa final'!$S$37),"")</f>
        <v/>
      </c>
      <c r="V35" s="55" t="str">
        <f>IF(AND('Mapa final'!$AJ$38="Media",'Mapa final'!$AL$38="Menor"),CONCATENATE("R2C",'Mapa final'!$S$38),"")</f>
        <v/>
      </c>
      <c r="W35" s="53" t="str">
        <f>IF(AND('Mapa final'!$AJ$33="Media",'Mapa final'!$AL$33="Moderado"),CONCATENATE("R2C",'Mapa final'!$S$33),"")</f>
        <v/>
      </c>
      <c r="X35" s="54" t="str">
        <f>IF(AND('Mapa final'!$AJ$34="Media",'Mapa final'!$AL$34="Moderado"),CONCATENATE("R2C",'Mapa final'!$S$34),"")</f>
        <v/>
      </c>
      <c r="Y35" s="54" t="str">
        <f>IF(AND('Mapa final'!$AJ$35="Media",'Mapa final'!$AL$35="Moderado"),CONCATENATE("R2C",'Mapa final'!$S$35),"")</f>
        <v/>
      </c>
      <c r="Z35" s="54" t="str">
        <f>IF(AND('Mapa final'!$AJ$36="Media",'Mapa final'!$AL$36="Moderado"),CONCATENATE("R2C",'Mapa final'!$S$36),"")</f>
        <v/>
      </c>
      <c r="AA35" s="54" t="str">
        <f>IF(AND('Mapa final'!$AJ$37="Media",'Mapa final'!$AL$37="Moderado"),CONCATENATE("R2C",'Mapa final'!$S$37),"")</f>
        <v/>
      </c>
      <c r="AB35" s="55" t="str">
        <f>IF(AND('Mapa final'!$AJ$38="Media",'Mapa final'!$AL$38="Moderado"),CONCATENATE("R2C",'Mapa final'!$S$38),"")</f>
        <v/>
      </c>
      <c r="AC35" s="38" t="str">
        <f>IF(AND('Mapa final'!$AJ$33="Media",'Mapa final'!$AL$33="Mayor"),CONCATENATE("R2C",'Mapa final'!$S$33),"")</f>
        <v/>
      </c>
      <c r="AD35" s="39" t="str">
        <f>IF(AND('Mapa final'!$AJ$34="Media",'Mapa final'!$AL$34="Mayor"),CONCATENATE("R2C",'Mapa final'!$S$34),"")</f>
        <v/>
      </c>
      <c r="AE35" s="39" t="str">
        <f>IF(AND('Mapa final'!$AJ$35="Media",'Mapa final'!$AL$35="Mayor"),CONCATENATE("R2C",'Mapa final'!$S$35),"")</f>
        <v/>
      </c>
      <c r="AF35" s="39" t="str">
        <f>IF(AND('Mapa final'!$AJ$36="Media",'Mapa final'!$AL$36="Mayor"),CONCATENATE("R2C",'Mapa final'!$S$36),"")</f>
        <v/>
      </c>
      <c r="AG35" s="39" t="str">
        <f>IF(AND('Mapa final'!$AJ$37="Media",'Mapa final'!$AL$37="Mayor"),CONCATENATE("R2C",'Mapa final'!$S$37),"")</f>
        <v/>
      </c>
      <c r="AH35" s="40" t="str">
        <f>IF(AND('Mapa final'!$AJ$38="Media",'Mapa final'!$AL$38="Mayor"),CONCATENATE("R2C",'Mapa final'!$S$38),"")</f>
        <v/>
      </c>
      <c r="AI35" s="41" t="str">
        <f>IF(AND('Mapa final'!$AJ$33="Media",'Mapa final'!$AL$33="Catastrófico"),CONCATENATE("R2C",'Mapa final'!$S$33),"")</f>
        <v/>
      </c>
      <c r="AJ35" s="42" t="str">
        <f>IF(AND('Mapa final'!$AJ$34="Media",'Mapa final'!$AL$34="Catastrófico"),CONCATENATE("R2C",'Mapa final'!$S$34),"")</f>
        <v/>
      </c>
      <c r="AK35" s="42" t="str">
        <f>IF(AND('Mapa final'!$AJ$35="Media",'Mapa final'!$AL$35="Catastrófico"),CONCATENATE("R2C",'Mapa final'!$S$35),"")</f>
        <v/>
      </c>
      <c r="AL35" s="42" t="str">
        <f>IF(AND('Mapa final'!$AJ$36="Media",'Mapa final'!$AL$36="Catastrófico"),CONCATENATE("R2C",'Mapa final'!$S$36),"")</f>
        <v/>
      </c>
      <c r="AM35" s="42" t="str">
        <f>IF(AND('Mapa final'!$AJ$37="Media",'Mapa final'!$AL$37="LCatastrófico"),CONCATENATE("R2C",'Mapa final'!$S$37),"")</f>
        <v/>
      </c>
      <c r="AN35" s="43" t="str">
        <f>IF(AND('Mapa final'!$AJ$38="Media",'Mapa final'!$AL$38="Catastrófico"),CONCATENATE("R2C",'Mapa final'!$S$38),"")</f>
        <v/>
      </c>
      <c r="AO35" s="69"/>
      <c r="AP35" s="501"/>
      <c r="AQ35" s="502"/>
      <c r="AR35" s="502"/>
      <c r="AS35" s="502"/>
      <c r="AT35" s="502"/>
      <c r="AU35" s="503"/>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71"/>
      <c r="D36" s="371"/>
      <c r="E36" s="372"/>
      <c r="F36" s="461"/>
      <c r="G36" s="462"/>
      <c r="H36" s="462"/>
      <c r="I36" s="462"/>
      <c r="J36" s="463"/>
      <c r="K36" s="53" t="str">
        <f>IF(AND('Mapa final'!$AJ$39="Media",'Mapa final'!$AL$39="Leve"),CONCATENATE("R2C",'Mapa final'!$S$39),"")</f>
        <v/>
      </c>
      <c r="L36" s="54" t="str">
        <f>IF(AND('Mapa final'!$AJ$40="Media",'Mapa final'!$AL$40="Leve"),CONCATENATE("R2C",'Mapa final'!$S$40),"")</f>
        <v/>
      </c>
      <c r="M36" s="54" t="str">
        <f>IF(AND('Mapa final'!$AJ$41="Media",'Mapa final'!$AL$41="Leve"),CONCATENATE("R2C",'Mapa final'!$S$41),"")</f>
        <v/>
      </c>
      <c r="N36" s="54" t="str">
        <f>IF(AND('Mapa final'!$AJ$42="Media",'Mapa final'!$AL$42="Leve"),CONCATENATE("R2C",'Mapa final'!$S$42),"")</f>
        <v/>
      </c>
      <c r="O36" s="54" t="str">
        <f>IF(AND('Mapa final'!$AJ$43="Media",'Mapa final'!$AL$43="Leve"),CONCATENATE("R2C",'Mapa final'!$S$43),"")</f>
        <v/>
      </c>
      <c r="P36" s="55" t="str">
        <f>IF(AND('Mapa final'!$AJ$44="Media",'Mapa final'!$AL$44="Leve"),CONCATENATE("R2C",'Mapa final'!$S$44),"")</f>
        <v/>
      </c>
      <c r="Q36" s="53" t="str">
        <f>IF(AND('Mapa final'!$AJ$39="Media",'Mapa final'!$AL$39="Menor"),CONCATENATE("R2C",'Mapa final'!$S$39),"")</f>
        <v/>
      </c>
      <c r="R36" s="54" t="str">
        <f>IF(AND('Mapa final'!$AJ$40="Media",'Mapa final'!$AL$40="Menor"),CONCATENATE("R2C",'Mapa final'!$S$40),"")</f>
        <v/>
      </c>
      <c r="S36" s="54" t="str">
        <f>IF(AND('Mapa final'!$AJ$41="Media",'Mapa final'!$AL$41="Menor"),CONCATENATE("R2C",'Mapa final'!$S$41),"")</f>
        <v/>
      </c>
      <c r="T36" s="54" t="str">
        <f>IF(AND('Mapa final'!$AJ$42="Media",'Mapa final'!$AL$42="Menor"),CONCATENATE("R2C",'Mapa final'!$S$42),"")</f>
        <v/>
      </c>
      <c r="U36" s="54" t="str">
        <f>IF(AND('Mapa final'!$AJ$43="Media",'Mapa final'!$AL$43="Menor"),CONCATENATE("R2C",'Mapa final'!$S$43),"")</f>
        <v/>
      </c>
      <c r="V36" s="55" t="str">
        <f>IF(AND('Mapa final'!$AJ$44="Media",'Mapa final'!$AL$44="Menor"),CONCATENATE("R2C",'Mapa final'!$S$44),"")</f>
        <v/>
      </c>
      <c r="W36" s="53" t="str">
        <f>IF(AND('Mapa final'!$AJ$39="Media",'Mapa final'!$AL$39="Moderado"),CONCATENATE("R2C",'Mapa final'!$S$39),"")</f>
        <v/>
      </c>
      <c r="X36" s="54" t="str">
        <f>IF(AND('Mapa final'!$AJ$40="Media",'Mapa final'!$AL$40="Moderado"),CONCATENATE("R2C",'Mapa final'!$S$40),"")</f>
        <v/>
      </c>
      <c r="Y36" s="54" t="str">
        <f>IF(AND('Mapa final'!$AJ$41="Media",'Mapa final'!$AL$41="Moderado"),CONCATENATE("R2C",'Mapa final'!$S$41),"")</f>
        <v/>
      </c>
      <c r="Z36" s="54" t="str">
        <f>IF(AND('Mapa final'!$AJ$42="Media",'Mapa final'!$AL$42="Moderado"),CONCATENATE("R2C",'Mapa final'!$S$42),"")</f>
        <v/>
      </c>
      <c r="AA36" s="54" t="str">
        <f>IF(AND('Mapa final'!$AJ$43="Media",'Mapa final'!$AL$43="Moderado"),CONCATENATE("R2C",'Mapa final'!$S$43),"")</f>
        <v/>
      </c>
      <c r="AB36" s="55" t="str">
        <f>IF(AND('Mapa final'!$AJ$44="Media",'Mapa final'!$AL$44="Moderado"),CONCATENATE("R2C",'Mapa final'!$S$44),"")</f>
        <v/>
      </c>
      <c r="AC36" s="38" t="str">
        <f>IF(AND('Mapa final'!$AJ$39="Media",'Mapa final'!$AL$39="Mayor"),CONCATENATE("R2C",'Mapa final'!$S$39),"")</f>
        <v/>
      </c>
      <c r="AD36" s="39" t="str">
        <f>IF(AND('Mapa final'!$AJ$40="Media",'Mapa final'!$AL$40="Mayor"),CONCATENATE("R2C",'Mapa final'!$S$40),"")</f>
        <v/>
      </c>
      <c r="AE36" s="39" t="str">
        <f>IF(AND('Mapa final'!$AJ$41="Media",'Mapa final'!$AL$41="Mayor"),CONCATENATE("R2C",'Mapa final'!$S$41),"")</f>
        <v/>
      </c>
      <c r="AF36" s="39" t="str">
        <f>IF(AND('Mapa final'!$AJ$42="Media",'Mapa final'!$AL$42="Mayor"),CONCATENATE("R2C",'Mapa final'!$S$42),"")</f>
        <v/>
      </c>
      <c r="AG36" s="39" t="str">
        <f>IF(AND('Mapa final'!$AJ$43="Media",'Mapa final'!$AL$43="Mayor"),CONCATENATE("R2C",'Mapa final'!$S$43),"")</f>
        <v/>
      </c>
      <c r="AH36" s="40" t="str">
        <f>IF(AND('Mapa final'!$AJ$44="Media",'Mapa final'!$AL$44="Mayor"),CONCATENATE("R2C",'Mapa final'!$S$44),"")</f>
        <v/>
      </c>
      <c r="AI36" s="41" t="str">
        <f>IF(AND('Mapa final'!$AJ$39="Media",'Mapa final'!$AL$39="Catastrófico"),CONCATENATE("R2C",'Mapa final'!$S$39),"")</f>
        <v/>
      </c>
      <c r="AJ36" s="42" t="str">
        <f>IF(AND('Mapa final'!$AJ$40="Media",'Mapa final'!$AL$40="Catastrófico"),CONCATENATE("R2C",'Mapa final'!$S$40),"")</f>
        <v/>
      </c>
      <c r="AK36" s="42" t="str">
        <f>IF(AND('Mapa final'!$AJ$41="Media",'Mapa final'!$AL$41="Catastrófico"),CONCATENATE("R2C",'Mapa final'!$S$41),"")</f>
        <v/>
      </c>
      <c r="AL36" s="42" t="str">
        <f>IF(AND('Mapa final'!$AJ$42="Media",'Mapa final'!$AL$42="Catastrófico"),CONCATENATE("R2C",'Mapa final'!$S$42),"")</f>
        <v/>
      </c>
      <c r="AM36" s="42" t="str">
        <f>IF(AND('Mapa final'!$AJ$43="Media",'Mapa final'!$AL$43="Catastrófico"),CONCATENATE("R2C",'Mapa final'!$S$43),"")</f>
        <v/>
      </c>
      <c r="AN36" s="43" t="str">
        <f>IF(AND('Mapa final'!$AJ$44="Media",'Mapa final'!$AL$44="Catastrófico"),CONCATENATE("R2C",'Mapa final'!$S$44),"")</f>
        <v/>
      </c>
      <c r="AO36" s="69"/>
      <c r="AP36" s="501"/>
      <c r="AQ36" s="502"/>
      <c r="AR36" s="502"/>
      <c r="AS36" s="502"/>
      <c r="AT36" s="502"/>
      <c r="AU36" s="503"/>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71"/>
      <c r="D37" s="371"/>
      <c r="E37" s="372"/>
      <c r="F37" s="461"/>
      <c r="G37" s="462"/>
      <c r="H37" s="462"/>
      <c r="I37" s="462"/>
      <c r="J37" s="463"/>
      <c r="K37" s="53" t="str">
        <f>IF(AND('Mapa final'!$AJ$45="Media",'Mapa final'!$AL$45="Leve"),CONCATENATE("R2C",'Mapa final'!$S$45),"")</f>
        <v/>
      </c>
      <c r="L37" s="54" t="str">
        <f>IF(AND('Mapa final'!$AJ$46="Media",'Mapa final'!$AL$46="Leve"),CONCATENATE("R2C",'Mapa final'!$S$46),"")</f>
        <v/>
      </c>
      <c r="M37" s="54" t="str">
        <f>IF(AND('Mapa final'!$AJ$47="Media",'Mapa final'!$AL$47="Leve"),CONCATENATE("R2C",'Mapa final'!$S$47),"")</f>
        <v/>
      </c>
      <c r="N37" s="54" t="str">
        <f>IF(AND('Mapa final'!$AJ$48="Media",'Mapa final'!$AL$48="Leve"),CONCATENATE("R2C",'Mapa final'!$S$48),"")</f>
        <v/>
      </c>
      <c r="O37" s="54" t="str">
        <f>IF(AND('Mapa final'!$AJ$49="Media",'Mapa final'!$AL$49="Leve"),CONCATENATE("R2C",'Mapa final'!$S$49),"")</f>
        <v/>
      </c>
      <c r="P37" s="55" t="str">
        <f>IF(AND('Mapa final'!$AJ$60="Media",'Mapa final'!$AL$50="Leve"),CONCATENATE("R2C",'Mapa final'!$S$50),"")</f>
        <v/>
      </c>
      <c r="Q37" s="53" t="str">
        <f>IF(AND('Mapa final'!$AJ$45="Media",'Mapa final'!$AL$45="Menor"),CONCATENATE("R2C",'Mapa final'!$S$45),"")</f>
        <v/>
      </c>
      <c r="R37" s="54" t="str">
        <f>IF(AND('Mapa final'!$AJ$46="Media",'Mapa final'!$AL$46="Menor"),CONCATENATE("R2C",'Mapa final'!$S$46),"")</f>
        <v/>
      </c>
      <c r="S37" s="54" t="str">
        <f>IF(AND('Mapa final'!$AJ$47="Media",'Mapa final'!$AL$47="Menor"),CONCATENATE("R2C",'Mapa final'!$S$47),"")</f>
        <v/>
      </c>
      <c r="T37" s="54" t="str">
        <f>IF(AND('Mapa final'!$AJ$48="Media",'Mapa final'!$AL$48="Menor"),CONCATENATE("R2C",'Mapa final'!$S$48),"")</f>
        <v/>
      </c>
      <c r="U37" s="54" t="str">
        <f>IF(AND('Mapa final'!$AJ$49="Media",'Mapa final'!$AL$49="Menor"),CONCATENATE("R2C",'Mapa final'!$S$49),"")</f>
        <v/>
      </c>
      <c r="V37" s="55" t="str">
        <f>IF(AND('Mapa final'!$AJ$60="Media",'Mapa final'!$AL$50="Menor"),CONCATENATE("R2C",'Mapa final'!$S$50),"")</f>
        <v/>
      </c>
      <c r="W37" s="53" t="str">
        <f>IF(AND('Mapa final'!$AJ$45="Media",'Mapa final'!$AL$45="Moderado"),CONCATENATE("R2C",'Mapa final'!$S$45),"")</f>
        <v/>
      </c>
      <c r="X37" s="54" t="str">
        <f>IF(AND('Mapa final'!$AJ$46="Media",'Mapa final'!$AL$46="Moderado"),CONCATENATE("R2C",'Mapa final'!$S$46),"")</f>
        <v/>
      </c>
      <c r="Y37" s="54" t="str">
        <f>IF(AND('Mapa final'!$AJ$47="Media",'Mapa final'!$AL$47="Moderado"),CONCATENATE("R2C",'Mapa final'!$S$47),"")</f>
        <v/>
      </c>
      <c r="Z37" s="54" t="str">
        <f>IF(AND('Mapa final'!$AJ$48="Media",'Mapa final'!$AL$48="Moderado"),CONCATENATE("R2C",'Mapa final'!$S$48),"")</f>
        <v/>
      </c>
      <c r="AA37" s="54" t="str">
        <f>IF(AND('Mapa final'!$AJ$49="Media",'Mapa final'!$AL$49="Moderado"),CONCATENATE("R2C",'Mapa final'!$S$49),"")</f>
        <v/>
      </c>
      <c r="AB37" s="55" t="str">
        <f>IF(AND('Mapa final'!$AJ$60="Media",'Mapa final'!$AL$50="Moderado"),CONCATENATE("R2C",'Mapa final'!$S$50),"")</f>
        <v/>
      </c>
      <c r="AC37" s="38" t="str">
        <f>IF(AND('Mapa final'!$AJ$45="Media",'Mapa final'!$AL$45="Mayor"),CONCATENATE("R2C",'Mapa final'!$S$45),"")</f>
        <v/>
      </c>
      <c r="AD37" s="39" t="str">
        <f>IF(AND('Mapa final'!$AJ$46="Media",'Mapa final'!$AL$46="Mayor"),CONCATENATE("R2C",'Mapa final'!$S$46),"")</f>
        <v/>
      </c>
      <c r="AE37" s="39" t="str">
        <f>IF(AND('Mapa final'!$AJ$47="Media",'Mapa final'!$AL$47="Mayor"),CONCATENATE("R2C",'Mapa final'!$S$47),"")</f>
        <v/>
      </c>
      <c r="AF37" s="39" t="str">
        <f>IF(AND('Mapa final'!$AJ$48="Media",'Mapa final'!$AL$48="Mayor"),CONCATENATE("R2C",'Mapa final'!$S$48),"")</f>
        <v/>
      </c>
      <c r="AG37" s="39" t="str">
        <f>IF(AND('Mapa final'!$AJ$49="Media",'Mapa final'!$AL$49="Mayor"),CONCATENATE("R2C",'Mapa final'!$S$49),"")</f>
        <v/>
      </c>
      <c r="AH37" s="40" t="str">
        <f>IF(AND('Mapa final'!$AJ$60="Media",'Mapa final'!$AL$50="Mayor"),CONCATENATE("R2C",'Mapa final'!$S$50),"")</f>
        <v/>
      </c>
      <c r="AI37" s="41" t="str">
        <f>IF(AND('Mapa final'!$AJ$45="Media",'Mapa final'!$AL$45="Catastrófico"),CONCATENATE("R2C",'Mapa final'!$S$45),"")</f>
        <v/>
      </c>
      <c r="AJ37" s="42" t="str">
        <f>IF(AND('Mapa final'!$AJ$46="Media",'Mapa final'!$AL$46="Catastrófico"),CONCATENATE("R2C",'Mapa final'!$S$46),"")</f>
        <v/>
      </c>
      <c r="AK37" s="42" t="str">
        <f>IF(AND('Mapa final'!$AJ$47="Media",'Mapa final'!$AL$47="Catastrófico"),CONCATENATE("R2C",'Mapa final'!$S$47),"")</f>
        <v/>
      </c>
      <c r="AL37" s="42" t="str">
        <f>IF(AND('Mapa final'!$AJ$48="Media",'Mapa final'!$AL$48="Catastrófico"),CONCATENATE("R2C",'Mapa final'!$S$48),"")</f>
        <v/>
      </c>
      <c r="AM37" s="42" t="str">
        <f>IF(AND('Mapa final'!$AJ$49="Media",'Mapa final'!$AL$49="Catastrófico"),CONCATENATE("R2C",'Mapa final'!$S$49),"")</f>
        <v/>
      </c>
      <c r="AN37" s="43" t="str">
        <f>IF(AND('Mapa final'!$AJ$60="Media",'Mapa final'!$AL$50="Catastrófico"),CONCATENATE("R2C",'Mapa final'!$S$50),"")</f>
        <v/>
      </c>
      <c r="AO37" s="69"/>
      <c r="AP37" s="501"/>
      <c r="AQ37" s="502"/>
      <c r="AR37" s="502"/>
      <c r="AS37" s="502"/>
      <c r="AT37" s="502"/>
      <c r="AU37" s="503"/>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71"/>
      <c r="D38" s="371"/>
      <c r="E38" s="372"/>
      <c r="F38" s="461"/>
      <c r="G38" s="462"/>
      <c r="H38" s="462"/>
      <c r="I38" s="462"/>
      <c r="J38" s="463"/>
      <c r="K38" s="53" t="str">
        <f>IF(AND('Mapa final'!$AJ$51="Media",'Mapa final'!$AL$51="Leve"),CONCATENATE("R2C",'Mapa final'!$S$51),"")</f>
        <v/>
      </c>
      <c r="L38" s="54" t="str">
        <f>IF(AND('Mapa final'!$AJ$52="Media",'Mapa final'!$AL$52="Leve"),CONCATENATE("R2C",'Mapa final'!$S$52),"")</f>
        <v/>
      </c>
      <c r="M38" s="54" t="str">
        <f>IF(AND('Mapa final'!$AJ$53="Media",'Mapa final'!$AL$53="Leve"),CONCATENATE("R2C",'Mapa final'!$S$53),"")</f>
        <v/>
      </c>
      <c r="N38" s="54" t="str">
        <f>IF(AND('Mapa final'!$AJ$54="Media",'Mapa final'!$AL$54="Leve"),CONCATENATE("R2C",'Mapa final'!$S$54),"")</f>
        <v/>
      </c>
      <c r="O38" s="54" t="str">
        <f>IF(AND('Mapa final'!$AJ$55="Media",'Mapa final'!$AL$55="Leve"),CONCATENATE("R2C",'Mapa final'!$S$55),"")</f>
        <v/>
      </c>
      <c r="P38" s="55" t="str">
        <f>IF(AND('Mapa final'!$AJ$56="Media",'Mapa final'!$AL$56="Leve"),CONCATENATE("R2C",'Mapa final'!$S$56),"")</f>
        <v/>
      </c>
      <c r="Q38" s="53" t="str">
        <f>IF(AND('Mapa final'!$AJ$51="Media",'Mapa final'!$AL$51="Menor"),CONCATENATE("R2C",'Mapa final'!$S$51),"")</f>
        <v/>
      </c>
      <c r="R38" s="54" t="str">
        <f>IF(AND('Mapa final'!$AJ$52="Media",'Mapa final'!$AL$52="Menor"),CONCATENATE("R2C",'Mapa final'!$S$52),"")</f>
        <v/>
      </c>
      <c r="S38" s="54" t="str">
        <f>IF(AND('Mapa final'!$AJ$53="Media",'Mapa final'!$AL$53="Menor"),CONCATENATE("R2C",'Mapa final'!$S$53),"")</f>
        <v/>
      </c>
      <c r="T38" s="54" t="str">
        <f>IF(AND('Mapa final'!$AJ$54="Media",'Mapa final'!$AL$54="Menor"),CONCATENATE("R2C",'Mapa final'!$S$54),"")</f>
        <v/>
      </c>
      <c r="U38" s="54" t="str">
        <f>IF(AND('Mapa final'!$AJ$55="Media",'Mapa final'!$AL$55="Menor"),CONCATENATE("R2C",'Mapa final'!$S$55),"")</f>
        <v/>
      </c>
      <c r="V38" s="55" t="str">
        <f>IF(AND('Mapa final'!$AJ$56="Media",'Mapa final'!$AL$56="Menor"),CONCATENATE("R2C",'Mapa final'!$S$56),"")</f>
        <v/>
      </c>
      <c r="W38" s="53" t="str">
        <f>IF(AND('Mapa final'!$AJ$51="Media",'Mapa final'!$AL$51="Moderado"),CONCATENATE("R2C",'Mapa final'!$S$51),"")</f>
        <v/>
      </c>
      <c r="X38" s="54" t="str">
        <f>IF(AND('Mapa final'!$AJ$52="Media",'Mapa final'!$AL$52="Moderado"),CONCATENATE("R2C",'Mapa final'!$S$52),"")</f>
        <v/>
      </c>
      <c r="Y38" s="54" t="str">
        <f>IF(AND('Mapa final'!$AJ$53="Media",'Mapa final'!$AL$53="Moderado"),CONCATENATE("R2C",'Mapa final'!$S$53),"")</f>
        <v/>
      </c>
      <c r="Z38" s="54" t="str">
        <f>IF(AND('Mapa final'!$AJ$54="Media",'Mapa final'!$AL$54="Moderado"),CONCATENATE("R2C",'Mapa final'!$S$54),"")</f>
        <v/>
      </c>
      <c r="AA38" s="54" t="str">
        <f>IF(AND('Mapa final'!$AJ$55="Media",'Mapa final'!$AL$55="Moderado"),CONCATENATE("R2C",'Mapa final'!$S$55),"")</f>
        <v/>
      </c>
      <c r="AB38" s="55" t="str">
        <f>IF(AND('Mapa final'!$AJ$56="Media",'Mapa final'!$AL$56="Moderado"),CONCATENATE("R2C",'Mapa final'!$S$56),"")</f>
        <v/>
      </c>
      <c r="AC38" s="38" t="str">
        <f>IF(AND('Mapa final'!$AJ$51="Media",'Mapa final'!$AL$51="Mayor"),CONCATENATE("R2C",'Mapa final'!$S$51),"")</f>
        <v/>
      </c>
      <c r="AD38" s="39" t="str">
        <f>IF(AND('Mapa final'!$AJ$52="Media",'Mapa final'!$AL$52="Mayor"),CONCATENATE("R2C",'Mapa final'!$S$52),"")</f>
        <v/>
      </c>
      <c r="AE38" s="39" t="str">
        <f>IF(AND('Mapa final'!$AJ$53="Media",'Mapa final'!$AL$53="Mayor"),CONCATENATE("R2C",'Mapa final'!$S$53),"")</f>
        <v/>
      </c>
      <c r="AF38" s="39" t="str">
        <f>IF(AND('Mapa final'!$AJ$54="Media",'Mapa final'!$AL$54="Mayor"),CONCATENATE("R2C",'Mapa final'!$S$54),"")</f>
        <v/>
      </c>
      <c r="AG38" s="39" t="str">
        <f>IF(AND('Mapa final'!$AJ$55="Media",'Mapa final'!$AL$55="Mayor"),CONCATENATE("R2C",'Mapa final'!$S$55),"")</f>
        <v/>
      </c>
      <c r="AH38" s="40" t="str">
        <f>IF(AND('Mapa final'!$AJ$56="Media",'Mapa final'!$AL$56="Mayor"),CONCATENATE("R2C",'Mapa final'!$S$56),"")</f>
        <v/>
      </c>
      <c r="AI38" s="41" t="str">
        <f>IF(AND('Mapa final'!$AJ$51="Media",'Mapa final'!$AL$51="Catastrófico"),CONCATENATE("R2C",'Mapa final'!$S$51),"")</f>
        <v/>
      </c>
      <c r="AJ38" s="42" t="str">
        <f>IF(AND('Mapa final'!$AJ$52="Media",'Mapa final'!$AL$52="Catastrófico"),CONCATENATE("R2C",'Mapa final'!$S$52),"")</f>
        <v/>
      </c>
      <c r="AK38" s="42" t="str">
        <f>IF(AND('Mapa final'!$AJ$53="Media",'Mapa final'!$AL$53="Catastrófico"),CONCATENATE("R2C",'Mapa final'!$S$53),"")</f>
        <v/>
      </c>
      <c r="AL38" s="42" t="str">
        <f>IF(AND('Mapa final'!$AJ$54="Media",'Mapa final'!$AL$54="Catastrófico"),CONCATENATE("R2C",'Mapa final'!$S$54),"")</f>
        <v/>
      </c>
      <c r="AM38" s="42" t="str">
        <f>IF(AND('Mapa final'!$AJ$55="Media",'Mapa final'!$AL$55="Catastrófico"),CONCATENATE("R2C",'Mapa final'!$S$55),"")</f>
        <v/>
      </c>
      <c r="AN38" s="43" t="str">
        <f>IF(AND('Mapa final'!$AJ$56="Media",'Mapa final'!$AL$56="Catastrófico"),CONCATENATE("R2C",'Mapa final'!$S$56),"")</f>
        <v/>
      </c>
      <c r="AO38" s="69"/>
      <c r="AP38" s="501"/>
      <c r="AQ38" s="502"/>
      <c r="AR38" s="502"/>
      <c r="AS38" s="502"/>
      <c r="AT38" s="502"/>
      <c r="AU38" s="503"/>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71"/>
      <c r="D39" s="371"/>
      <c r="E39" s="372"/>
      <c r="F39" s="461"/>
      <c r="G39" s="462"/>
      <c r="H39" s="462"/>
      <c r="I39" s="462"/>
      <c r="J39" s="463"/>
      <c r="K39" s="53" t="str">
        <f>IF(AND('Mapa final'!$AJ$57="Media",'Mapa final'!$AL$57="Leve"),CONCATENATE("R2C",'Mapa final'!$S$57),"")</f>
        <v/>
      </c>
      <c r="L39" s="54" t="str">
        <f>IF(AND('Mapa final'!$AJ$58="Media",'Mapa final'!$AL$58="Leve"),CONCATENATE("R2C",'Mapa final'!$S$58),"")</f>
        <v/>
      </c>
      <c r="M39" s="54" t="str">
        <f>IF(AND('Mapa final'!$AJ$59="Media",'Mapa final'!$AL$59="Leve"),CONCATENATE("R2C",'Mapa final'!$S$59),"")</f>
        <v/>
      </c>
      <c r="N39" s="54" t="str">
        <f>IF(AND('Mapa final'!$AJ$60="Media",'Mapa final'!$AL$60="Leve"),CONCATENATE("R2C",'Mapa final'!$S$60),"")</f>
        <v/>
      </c>
      <c r="O39" s="54" t="str">
        <f>IF(AND('Mapa final'!$AJ$61="Media",'Mapa final'!$AL$61="Leve"),CONCATENATE("R2C",'Mapa final'!$S$61),"")</f>
        <v/>
      </c>
      <c r="P39" s="55" t="str">
        <f>IF(AND('Mapa final'!$AJ$62="Media",'Mapa final'!$AL$62="Leve"),CONCATENATE("R2C",'Mapa final'!$S$62),"")</f>
        <v/>
      </c>
      <c r="Q39" s="53" t="str">
        <f>IF(AND('Mapa final'!$AJ$57="Media",'Mapa final'!$AL$57="Menor"),CONCATENATE("R2C",'Mapa final'!$S$57),"")</f>
        <v/>
      </c>
      <c r="R39" s="54" t="str">
        <f>IF(AND('Mapa final'!$AJ$58="Media",'Mapa final'!$AL$58="Menor"),CONCATENATE("R2C",'Mapa final'!$S$58),"")</f>
        <v/>
      </c>
      <c r="S39" s="54" t="str">
        <f>IF(AND('Mapa final'!$AJ$59="Media",'Mapa final'!$AL$59="Menor"),CONCATENATE("R2C",'Mapa final'!$S$59),"")</f>
        <v/>
      </c>
      <c r="T39" s="54" t="str">
        <f>IF(AND('Mapa final'!$AJ$60="Media",'Mapa final'!$AL$60="Menor"),CONCATENATE("R2C",'Mapa final'!$S$60),"")</f>
        <v/>
      </c>
      <c r="U39" s="54" t="str">
        <f>IF(AND('Mapa final'!$AJ$61="Media",'Mapa final'!$AL$61="Menor"),CONCATENATE("R2C",'Mapa final'!$S$61),"")</f>
        <v/>
      </c>
      <c r="V39" s="55" t="str">
        <f>IF(AND('Mapa final'!$AJ$62="Media",'Mapa final'!$AL$62="Menor"),CONCATENATE("R2C",'Mapa final'!$S$62),"")</f>
        <v/>
      </c>
      <c r="W39" s="53" t="str">
        <f>IF(AND('Mapa final'!$AJ$57="Media",'Mapa final'!$AL$57="Moderado"),CONCATENATE("R2C",'Mapa final'!$S$57),"")</f>
        <v/>
      </c>
      <c r="X39" s="54" t="str">
        <f>IF(AND('Mapa final'!$AJ$58="Media",'Mapa final'!$AL$58="Moderado"),CONCATENATE("R2C",'Mapa final'!$S$58),"")</f>
        <v/>
      </c>
      <c r="Y39" s="54" t="str">
        <f>IF(AND('Mapa final'!$AJ$59="Media",'Mapa final'!$AL$59="Moderado"),CONCATENATE("R2C",'Mapa final'!$S$59),"")</f>
        <v/>
      </c>
      <c r="Z39" s="54" t="str">
        <f>IF(AND('Mapa final'!$AJ$60="Media",'Mapa final'!$AL$60="Moderado"),CONCATENATE("R2C",'Mapa final'!$S$60),"")</f>
        <v/>
      </c>
      <c r="AA39" s="54" t="str">
        <f>IF(AND('Mapa final'!$AJ$61="Media",'Mapa final'!$AL$61="Moderado"),CONCATENATE("R2C",'Mapa final'!$S$61),"")</f>
        <v/>
      </c>
      <c r="AB39" s="55" t="str">
        <f>IF(AND('Mapa final'!$AJ$62="Media",'Mapa final'!$AL$62="Moderado"),CONCATENATE("R2C",'Mapa final'!$S$62),"")</f>
        <v/>
      </c>
      <c r="AC39" s="38" t="str">
        <f>IF(AND('Mapa final'!$AJ$57="Media",'Mapa final'!$AL$57="Mayor"),CONCATENATE("R2C",'Mapa final'!$S$57),"")</f>
        <v/>
      </c>
      <c r="AD39" s="39" t="str">
        <f>IF(AND('Mapa final'!$AJ$58="Media",'Mapa final'!$AL$58="Mayor"),CONCATENATE("R2C",'Mapa final'!$S$58),"")</f>
        <v/>
      </c>
      <c r="AE39" s="39" t="str">
        <f>IF(AND('Mapa final'!$AJ$59="Media",'Mapa final'!$AL$59="Mayor"),CONCATENATE("R2C",'Mapa final'!$S$59),"")</f>
        <v/>
      </c>
      <c r="AF39" s="39" t="str">
        <f>IF(AND('Mapa final'!$AJ$60="Media",'Mapa final'!$AL$60="Mayor"),CONCATENATE("R2C",'Mapa final'!$S$60),"")</f>
        <v/>
      </c>
      <c r="AG39" s="39" t="str">
        <f>IF(AND('Mapa final'!$AJ$61="Media",'Mapa final'!$AL$61="Mayor"),CONCATENATE("R2C",'Mapa final'!$S$61),"")</f>
        <v/>
      </c>
      <c r="AH39" s="40" t="str">
        <f>IF(AND('Mapa final'!$AJ$62="Media",'Mapa final'!$AL$62="Mayor"),CONCATENATE("R2C",'Mapa final'!$S$62),"")</f>
        <v/>
      </c>
      <c r="AI39" s="41" t="str">
        <f>IF(AND('Mapa final'!$AJ$57="Media",'Mapa final'!$AL$57="Catastrófico"),CONCATENATE("R2C",'Mapa final'!$S$57),"")</f>
        <v/>
      </c>
      <c r="AJ39" s="42" t="str">
        <f>IF(AND('Mapa final'!$AJ$58="Media",'Mapa final'!$AL$58="Catastrófico"),CONCATENATE("R2C",'Mapa final'!$S$58),"")</f>
        <v/>
      </c>
      <c r="AK39" s="42" t="str">
        <f>IF(AND('Mapa final'!$AJ$59="Media",'Mapa final'!$AL$59="Catastrófico"),CONCATENATE("R2C",'Mapa final'!$S$59),"")</f>
        <v/>
      </c>
      <c r="AL39" s="42" t="str">
        <f>IF(AND('Mapa final'!$AJ$60="Media",'Mapa final'!$AL$60="Catastrófico"),CONCATENATE("R2C",'Mapa final'!$S$60),"")</f>
        <v/>
      </c>
      <c r="AM39" s="42" t="str">
        <f>IF(AND('Mapa final'!$AJ$61="Media",'Mapa final'!$AL$61="Catastrófico"),CONCATENATE("R2C",'Mapa final'!$S$61),"")</f>
        <v/>
      </c>
      <c r="AN39" s="43" t="str">
        <f>IF(AND('Mapa final'!$AJ$62="Media",'Mapa final'!$AL$62="Catastrófico"),CONCATENATE("R2C",'Mapa final'!$S$62),"")</f>
        <v/>
      </c>
      <c r="AO39" s="69"/>
      <c r="AP39" s="501"/>
      <c r="AQ39" s="502"/>
      <c r="AR39" s="502"/>
      <c r="AS39" s="502"/>
      <c r="AT39" s="502"/>
      <c r="AU39" s="503"/>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71"/>
      <c r="D40" s="371"/>
      <c r="E40" s="372"/>
      <c r="F40" s="461"/>
      <c r="G40" s="462"/>
      <c r="H40" s="462"/>
      <c r="I40" s="462"/>
      <c r="J40" s="463"/>
      <c r="K40" s="53" t="str">
        <f>IF(AND('Mapa final'!$AJ$63="Media",'Mapa final'!$AL$63="Leve"),CONCATENATE("R2C",'Mapa final'!$S$63),"")</f>
        <v/>
      </c>
      <c r="L40" s="54" t="str">
        <f>IF(AND('Mapa final'!$AJ$64="Media",'Mapa final'!$AL$64="Leve"),CONCATENATE("R2C",'Mapa final'!$S$64),"")</f>
        <v/>
      </c>
      <c r="M40" s="54" t="str">
        <f>IF(AND('Mapa final'!$AJ$65="Media",'Mapa final'!$AL$65="Leve"),CONCATENATE("R2C",'Mapa final'!$S$65),"")</f>
        <v/>
      </c>
      <c r="N40" s="54" t="str">
        <f>IF(AND('Mapa final'!$AJ$66="Media",'Mapa final'!$AL$66="Leve"),CONCATENATE("R2C",'Mapa final'!$S$66),"")</f>
        <v/>
      </c>
      <c r="O40" s="54" t="str">
        <f>IF(AND('Mapa final'!$AJ$67="Media",'Mapa final'!$AL$67="Leve"),CONCATENATE("R2C",'Mapa final'!$S$67),"")</f>
        <v/>
      </c>
      <c r="P40" s="55" t="str">
        <f>IF(AND('Mapa final'!$AJ$68="Media",'Mapa final'!$AL$68="Leve"),CONCATENATE("R2C",'Mapa final'!$S$68),"")</f>
        <v/>
      </c>
      <c r="Q40" s="53" t="str">
        <f>IF(AND('Mapa final'!$AJ$63="Media",'Mapa final'!$AL$63="Menor"),CONCATENATE("R2C",'Mapa final'!$S$63),"")</f>
        <v/>
      </c>
      <c r="R40" s="54" t="str">
        <f>IF(AND('Mapa final'!$AJ$64="Media",'Mapa final'!$AL$64="Menor"),CONCATENATE("R2C",'Mapa final'!$S$64),"")</f>
        <v/>
      </c>
      <c r="S40" s="54" t="str">
        <f>IF(AND('Mapa final'!$AJ$65="Media",'Mapa final'!$AL$65="Menor"),CONCATENATE("R2C",'Mapa final'!$S$65),"")</f>
        <v/>
      </c>
      <c r="T40" s="54" t="str">
        <f>IF(AND('Mapa final'!$AJ$66="Media",'Mapa final'!$AL$66="Menor"),CONCATENATE("R2C",'Mapa final'!$S$66),"")</f>
        <v/>
      </c>
      <c r="U40" s="54" t="str">
        <f>IF(AND('Mapa final'!$AJ$67="Media",'Mapa final'!$AL$67="Menor"),CONCATENATE("R2C",'Mapa final'!$S$67),"")</f>
        <v/>
      </c>
      <c r="V40" s="55" t="str">
        <f>IF(AND('Mapa final'!$AJ$68="Media",'Mapa final'!$AL$68="Menor"),CONCATENATE("R2C",'Mapa final'!$S$68),"")</f>
        <v/>
      </c>
      <c r="W40" s="53" t="str">
        <f>IF(AND('Mapa final'!$AJ$63="Media",'Mapa final'!$AL$63="Moderado"),CONCATENATE("R2C",'Mapa final'!$S$63),"")</f>
        <v/>
      </c>
      <c r="X40" s="54" t="str">
        <f>IF(AND('Mapa final'!$AJ$64="Media",'Mapa final'!$AL$64="Moderado"),CONCATENATE("R2C",'Mapa final'!$S$64),"")</f>
        <v/>
      </c>
      <c r="Y40" s="54" t="str">
        <f>IF(AND('Mapa final'!$AJ$65="Media",'Mapa final'!$AL$65="Moderado"),CONCATENATE("R2C",'Mapa final'!$S$65),"")</f>
        <v/>
      </c>
      <c r="Z40" s="54" t="str">
        <f>IF(AND('Mapa final'!$AJ$66="Media",'Mapa final'!$AL$66="Moderado"),CONCATENATE("R2C",'Mapa final'!$S$66),"")</f>
        <v/>
      </c>
      <c r="AA40" s="54" t="str">
        <f>IF(AND('Mapa final'!$AJ$67="Media",'Mapa final'!$AL$67="Moderado"),CONCATENATE("R2C",'Mapa final'!$S$67),"")</f>
        <v/>
      </c>
      <c r="AB40" s="55" t="str">
        <f>IF(AND('Mapa final'!$AJ$68="Media",'Mapa final'!$AL$68="Moderado"),CONCATENATE("R2C",'Mapa final'!$S$68),"")</f>
        <v/>
      </c>
      <c r="AC40" s="38" t="str">
        <f>IF(AND('Mapa final'!$AJ$63="Media",'Mapa final'!$AL$63="Mayor"),CONCATENATE("R2C",'Mapa final'!$S$63),"")</f>
        <v/>
      </c>
      <c r="AD40" s="39" t="str">
        <f>IF(AND('Mapa final'!$AJ$64="Media",'Mapa final'!$AL$64="Mayor"),CONCATENATE("R2C",'Mapa final'!$S$64),"")</f>
        <v/>
      </c>
      <c r="AE40" s="39" t="str">
        <f>IF(AND('Mapa final'!$AJ$65="Media",'Mapa final'!$AL$65="Mayor"),CONCATENATE("R2C",'Mapa final'!$S$65),"")</f>
        <v/>
      </c>
      <c r="AF40" s="39" t="str">
        <f>IF(AND('Mapa final'!$AJ$66="Media",'Mapa final'!$AL$66="Mayor"),CONCATENATE("R2C",'Mapa final'!$S$66),"")</f>
        <v/>
      </c>
      <c r="AG40" s="39" t="str">
        <f>IF(AND('Mapa final'!$AJ$67="Media",'Mapa final'!$AL$67="Mayor"),CONCATENATE("R2C",'Mapa final'!$S$67),"")</f>
        <v/>
      </c>
      <c r="AH40" s="40" t="str">
        <f>IF(AND('Mapa final'!$AJ$68="Media",'Mapa final'!$AL$68="Mayor"),CONCATENATE("R2C",'Mapa final'!$S$68),"")</f>
        <v/>
      </c>
      <c r="AI40" s="41" t="str">
        <f>IF(AND('Mapa final'!$AJ$63="Media",'Mapa final'!$AL$63="Catastrófico"),CONCATENATE("R2C",'Mapa final'!$S$63),"")</f>
        <v/>
      </c>
      <c r="AJ40" s="42" t="str">
        <f>IF(AND('Mapa final'!$AJ$64="Media",'Mapa final'!$AL$64="Catastrófico"),CONCATENATE("R2C",'Mapa final'!$S$64),"")</f>
        <v/>
      </c>
      <c r="AK40" s="42" t="str">
        <f>IF(AND('Mapa final'!$AJ$65="Media",'Mapa final'!$AL$65="Catastrófico"),CONCATENATE("R2C",'Mapa final'!$S$65),"")</f>
        <v/>
      </c>
      <c r="AL40" s="42" t="str">
        <f>IF(AND('Mapa final'!$AJ$66="Media",'Mapa final'!$AL$66="Catastrófico"),CONCATENATE("R2C",'Mapa final'!$S$66),"")</f>
        <v/>
      </c>
      <c r="AM40" s="42" t="str">
        <f>IF(AND('Mapa final'!$AJ$67="Media",'Mapa final'!$AL$67="Catastrófico"),CONCATENATE("R2C",'Mapa final'!$S$67),"")</f>
        <v/>
      </c>
      <c r="AN40" s="43" t="str">
        <f>IF(AND('Mapa final'!$AJ$68="Media",'Mapa final'!$AL$68="Catastrófico"),CONCATENATE("R2C",'Mapa final'!$S$68),"")</f>
        <v/>
      </c>
      <c r="AO40" s="69"/>
      <c r="AP40" s="501"/>
      <c r="AQ40" s="502"/>
      <c r="AR40" s="502"/>
      <c r="AS40" s="502"/>
      <c r="AT40" s="502"/>
      <c r="AU40" s="503"/>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71"/>
      <c r="D41" s="371"/>
      <c r="E41" s="372"/>
      <c r="F41" s="464"/>
      <c r="G41" s="465"/>
      <c r="H41" s="465"/>
      <c r="I41" s="465"/>
      <c r="J41" s="466"/>
      <c r="K41" s="53" t="str">
        <f>IF(AND('Mapa final'!$AJ$69="Media",'Mapa final'!$AL$69="Leve"),CONCATENATE("R2C",'Mapa final'!$S$69),"")</f>
        <v/>
      </c>
      <c r="L41" s="54" t="str">
        <f>IF(AND('Mapa final'!$AJ$70="Media",'Mapa final'!$AL$70="Leve"),CONCATENATE("R2C",'Mapa final'!$S$70),"")</f>
        <v/>
      </c>
      <c r="M41" s="54" t="str">
        <f>IF(AND('Mapa final'!$AJ$71="Media",'Mapa final'!$AL$71="Leve"),CONCATENATE("R2C",'Mapa final'!$S$71),"")</f>
        <v/>
      </c>
      <c r="N41" s="54" t="str">
        <f>IF(AND('Mapa final'!$AJ$72="Media",'Mapa final'!$AL$72="Leve"),CONCATENATE("R2C",'Mapa final'!$S$72),"")</f>
        <v/>
      </c>
      <c r="O41" s="54" t="str">
        <f>IF(AND('Mapa final'!$AJ$74="Media",'Mapa final'!$AL$74="Leve"),CONCATENATE("R2C",'Mapa final'!$S$74),"")</f>
        <v/>
      </c>
      <c r="P41" s="55" t="str">
        <f>IF(AND('Mapa final'!$AJ$75="Media",'Mapa final'!$AL$75="Leve"),CONCATENATE("R2C",'Mapa final'!$S$75),"")</f>
        <v/>
      </c>
      <c r="Q41" s="53" t="str">
        <f>IF(AND('Mapa final'!$AJ$69="Media",'Mapa final'!$AL$69="Menor"),CONCATENATE("R2C",'Mapa final'!$S$69),"")</f>
        <v/>
      </c>
      <c r="R41" s="54" t="str">
        <f>IF(AND('Mapa final'!$AJ$70="Media",'Mapa final'!$AL$70="Menor"),CONCATENATE("R2C",'Mapa final'!$S$70),"")</f>
        <v/>
      </c>
      <c r="S41" s="54" t="str">
        <f>IF(AND('Mapa final'!$AJ$71="Media",'Mapa final'!$AL$71="Menor"),CONCATENATE("R2C",'Mapa final'!$S$71),"")</f>
        <v/>
      </c>
      <c r="T41" s="54" t="str">
        <f>IF(AND('Mapa final'!$AJ$72="Media",'Mapa final'!$AL$72="Menor"),CONCATENATE("R2C",'Mapa final'!$S$72),"")</f>
        <v/>
      </c>
      <c r="U41" s="54" t="str">
        <f>IF(AND('Mapa final'!$AJ$74="Media",'Mapa final'!$AL$74="Menor"),CONCATENATE("R2C",'Mapa final'!$S$74),"")</f>
        <v/>
      </c>
      <c r="V41" s="55" t="str">
        <f>IF(AND('Mapa final'!$AJ$75="Media",'Mapa final'!$AL$75="Menor"),CONCATENATE("R2C",'Mapa final'!$S$75),"")</f>
        <v/>
      </c>
      <c r="W41" s="53" t="str">
        <f>IF(AND('Mapa final'!$AJ$69="Media",'Mapa final'!$AL$69="Moderado"),CONCATENATE("R2C",'Mapa final'!$S$69),"")</f>
        <v/>
      </c>
      <c r="X41" s="54" t="str">
        <f>IF(AND('Mapa final'!$AJ$70="Media",'Mapa final'!$AL$70="Moderado"),CONCATENATE("R2C",'Mapa final'!$S$70),"")</f>
        <v/>
      </c>
      <c r="Y41" s="54" t="str">
        <f>IF(AND('Mapa final'!$AJ$71="Media",'Mapa final'!$AL$71="Moderado"),CONCATENATE("R2C",'Mapa final'!$S$71),"")</f>
        <v/>
      </c>
      <c r="Z41" s="54" t="str">
        <f>IF(AND('Mapa final'!$AJ$72="Media",'Mapa final'!$AL$72="Moderado"),CONCATENATE("R2C",'Mapa final'!$S$72),"")</f>
        <v/>
      </c>
      <c r="AA41" s="54" t="str">
        <f>IF(AND('Mapa final'!$AJ$74="Media",'Mapa final'!$AL$74="Moderado"),CONCATENATE("R2C",'Mapa final'!$S$74),"")</f>
        <v/>
      </c>
      <c r="AB41" s="55" t="str">
        <f>IF(AND('Mapa final'!$AJ$75="Media",'Mapa final'!$AL$75="Moderado"),CONCATENATE("R2C",'Mapa final'!$S$75),"")</f>
        <v/>
      </c>
      <c r="AC41" s="38" t="str">
        <f>IF(AND('Mapa final'!$AJ$69="Media",'Mapa final'!$AL$69="Mayor"),CONCATENATE("R2C",'Mapa final'!$S$69),"")</f>
        <v/>
      </c>
      <c r="AD41" s="39" t="str">
        <f>IF(AND('Mapa final'!$AJ$70="Media",'Mapa final'!$AL$70="Mayor"),CONCATENATE("R2C",'Mapa final'!$S$70),"")</f>
        <v/>
      </c>
      <c r="AE41" s="39" t="str">
        <f>IF(AND('Mapa final'!$AJ$71="Media",'Mapa final'!$AL$71="Mayor"),CONCATENATE("R2C",'Mapa final'!$S$71),"")</f>
        <v/>
      </c>
      <c r="AF41" s="39" t="str">
        <f>IF(AND('Mapa final'!$AJ$72="Media",'Mapa final'!$AL$72="Mayor"),CONCATENATE("R2C",'Mapa final'!$S$72),"")</f>
        <v/>
      </c>
      <c r="AG41" s="39" t="str">
        <f>IF(AND('Mapa final'!$AJ$74="Media",'Mapa final'!$AL$74="Mayor"),CONCATENATE("R2C",'Mapa final'!$S$74),"")</f>
        <v/>
      </c>
      <c r="AH41" s="40" t="str">
        <f>IF(AND('Mapa final'!$AJ$75="Media",'Mapa final'!$AL$75="Mayor"),CONCATENATE("R2C",'Mapa final'!$S$75),"")</f>
        <v/>
      </c>
      <c r="AI41" s="47" t="str">
        <f>IF(AND('Mapa final'!$AJ$69="Media",'Mapa final'!$AL$69="Catastrófico"),CONCATENATE("R2C",'Mapa final'!$S$69),"")</f>
        <v/>
      </c>
      <c r="AJ41" s="48" t="str">
        <f>IF(AND('Mapa final'!$AJ$70="Media",'Mapa final'!$AL$70="Catastrófico"),CONCATENATE("R2C",'Mapa final'!$S$70),"")</f>
        <v/>
      </c>
      <c r="AK41" s="48" t="str">
        <f>IF(AND('Mapa final'!$AJ$71="Media",'Mapa final'!$AL$71="Catastrófico"),CONCATENATE("R2C",'Mapa final'!$S$71),"")</f>
        <v/>
      </c>
      <c r="AL41" s="48" t="str">
        <f>IF(AND('Mapa final'!$AJ$72="Media",'Mapa final'!$AL$72="Catastrófico"),CONCATENATE("R2C",'Mapa final'!$S$72),"")</f>
        <v/>
      </c>
      <c r="AM41" s="48" t="str">
        <f>IF(AND('Mapa final'!$AJ$74="Media",'Mapa final'!$AL$74="Catastrófico"),CONCATENATE("R2C",'Mapa final'!$S$74),"")</f>
        <v/>
      </c>
      <c r="AN41" s="49" t="str">
        <f>IF(AND('Mapa final'!$AJ$75="Muy Alta",'Mapa final'!$AL$75="Catastrófico"),CONCATENATE("R2C",'Mapa final'!$S$75),"")</f>
        <v/>
      </c>
      <c r="AO41" s="69"/>
      <c r="AP41" s="504"/>
      <c r="AQ41" s="505"/>
      <c r="AR41" s="505"/>
      <c r="AS41" s="505"/>
      <c r="AT41" s="505"/>
      <c r="AU41" s="506"/>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71"/>
      <c r="D42" s="371"/>
      <c r="E42" s="372"/>
      <c r="F42" s="458" t="s">
        <v>113</v>
      </c>
      <c r="G42" s="459"/>
      <c r="H42" s="459"/>
      <c r="I42" s="459"/>
      <c r="J42" s="459"/>
      <c r="K42" s="59" t="str">
        <f>IF(AND('Mapa final'!$AJ$15="Baja",'Mapa final'!$AL$15="Leve"),CONCATENATE("R2C",'Mapa final'!$S$15),"")</f>
        <v/>
      </c>
      <c r="L42" s="60" t="str">
        <f>IF(AND('Mapa final'!$AJ$17="Baja",'Mapa final'!$AL$17="Leve"),CONCATENATE("R2C",'Mapa final'!$D$17),"")</f>
        <v/>
      </c>
      <c r="M42" s="60" t="str">
        <f>IF(AND('Mapa final'!$AJ$18="Baja",'Mapa final'!$AL$18="Leve"),CONCATENATE("R2C",'Mapa final'!$S$18),"")</f>
        <v/>
      </c>
      <c r="N42" s="60" t="str">
        <f>IF(AND('Mapa final'!$AJ$18="Baja",'Mapa final'!$AL$18="Leve"),CONCATENATE("R2C",'Mapa final'!$S$18),"")</f>
        <v/>
      </c>
      <c r="O42" s="60" t="str">
        <f>IF(AND('Mapa final'!$AJ$19="Baja",'Mapa final'!$AL$19="Leve"),CONCATENATE("R2C",'Mapa final'!$S$19),"")</f>
        <v/>
      </c>
      <c r="P42" s="61" t="str">
        <f>IF(AND('Mapa final'!$AJ$20="Baja",'Mapa final'!$AL$20="Leve"),CONCATENATE("R2C",'Mapa final'!$S$20),"")</f>
        <v/>
      </c>
      <c r="Q42" s="50" t="str">
        <f>IF(AND('Mapa final'!$AJ$15="Baja",'Mapa final'!$AL$15="Menor"),CONCATENATE("R2C",'Mapa final'!$S$15),"")</f>
        <v/>
      </c>
      <c r="R42" s="51" t="str">
        <f>IF(AND('Mapa final'!$AJ$16="Baja",'Mapa final'!$AL$16="Menore"),CONCATENATE("R2C",'Mapa final'!$S$16),"")</f>
        <v/>
      </c>
      <c r="S42" s="51" t="str">
        <f>IF(AND('Mapa final'!$AJ$17="Baja",'Mapa final'!$AL$17="Menor"),CONCATENATE("R2C",'Mapa final'!$S$17),"")</f>
        <v/>
      </c>
      <c r="T42" s="51" t="str">
        <f>IF(AND('Mapa final'!$AJ$18="Baja",'Mapa final'!$AL$18="Menor"),CONCATENATE("R2C",'Mapa final'!$S$18),"")</f>
        <v/>
      </c>
      <c r="U42" s="51" t="str">
        <f>IF(AND('Mapa final'!$AJ$19="Baja",'Mapa final'!$AL$19="Menor"),CONCATENATE("R2C",'Mapa final'!$S$19),"")</f>
        <v/>
      </c>
      <c r="V42" s="52" t="str">
        <f>IF(AND('Mapa final'!$AJ$20="Baja",'Mapa final'!$AL$20="Menor"),CONCATENATE("R2C",'Mapa final'!$S$20),"")</f>
        <v/>
      </c>
      <c r="W42" s="50" t="str">
        <f>IF(AND('Mapa final'!$AJ$15="Baja",'Mapa final'!$AL$15="Moderado"),CONCATENATE("R2C",'Mapa final'!$S$15),"")</f>
        <v/>
      </c>
      <c r="X42" s="51" t="str">
        <f>IF(AND('Mapa final'!$AJ$16="Baja",'Mapa final'!$AL$16="Moderado"),CONCATENATE("R2C",'Mapa final'!$S$16),"")</f>
        <v/>
      </c>
      <c r="Y42" s="51"/>
      <c r="Z42" s="51" t="str">
        <f>IF(AND('Mapa final'!$AJ$18="Baja",'Mapa final'!$AL$18="Moderado"),CONCATENATE("R2C",'Mapa final'!$D$18),"")</f>
        <v>R2C4</v>
      </c>
      <c r="AA42" s="51" t="str">
        <f>IF(AND('Mapa final'!$AJ$19="Baja",'Mapa final'!$AL$19="Moderado"),CONCATENATE("R2C",'Mapa final'!$D$19),"")</f>
        <v>R2C5</v>
      </c>
      <c r="AB42" s="52" t="str">
        <f>IF(AND('Mapa final'!$AJ$20="Baja",'Mapa final'!$AL$20="Moderado"),CONCATENATE("R2C",'Mapa final'!$S$20),"")</f>
        <v/>
      </c>
      <c r="AC42" s="32" t="str">
        <f>IF(AND('Mapa final'!$AJ$15="Baja",'Mapa final'!$AL$15="Mayor"),CONCATENATE("R2C",'Mapa final'!$D$15),"")</f>
        <v/>
      </c>
      <c r="AD42" s="33" t="str">
        <f>IF(AND('Mapa final'!$AJ$16="Baja",'Mapa final'!$AL$16="Mayor"),CONCATENATE("R2C",'Mapa final'!$D$16),"")</f>
        <v>R2C2</v>
      </c>
      <c r="AE42" s="33" t="str">
        <f>IF(AND('Mapa final'!$AJ$17="Baja",'Mapa final'!$AL$17="Mayor"),CONCATENATE("R2C",'Mapa final'!$D$17),"")</f>
        <v/>
      </c>
      <c r="AF42" s="33" t="str">
        <f>IF(AND('Mapa final'!$AJ$17="Baja",'Mapa final'!$AL$17="Mayor"),CONCATENATE("R2C",'Mapa final'!$D$17),"")</f>
        <v/>
      </c>
      <c r="AG42" s="33" t="str">
        <f>IF(AND('Mapa final'!$AJ$19="Baja",'Mapa final'!$AL$19="Mayor"),CONCATENATE("R2C",'Mapa final'!$S$19),"")</f>
        <v/>
      </c>
      <c r="AH42" s="34" t="str">
        <f>IF(AND('Mapa final'!$AJ$20="Baja",'Mapa final'!$AL$20="Mayor"),CONCATENATE("R2C",'Mapa final'!$S$20),"")</f>
        <v/>
      </c>
      <c r="AI42" s="35" t="str">
        <f>IF(AND('Mapa final'!$AJ$15="Baja",'Mapa final'!$AL$15="Catastrófico"),CONCATENATE("R2C",'Mapa final'!$S$15),"")</f>
        <v/>
      </c>
      <c r="AJ42" s="36" t="str">
        <f>IF(AND('Mapa final'!$AJ$16="Baja",'Mapa final'!$AL$16="Catastrófico"),CONCATENATE("R2C",'Mapa final'!$S$16),"")</f>
        <v/>
      </c>
      <c r="AK42" s="36" t="str">
        <f>IF(AND('Mapa final'!$AJ$17="Baja",'Mapa final'!$AL$17="Catastrófico"),CONCATENATE("R2C",'Mapa final'!$D$17),"")</f>
        <v>R2C3</v>
      </c>
      <c r="AL42" s="36" t="str">
        <f>IF(AND('Mapa final'!$AJ$18="Baja",'Mapa final'!$AL$18="Catastrófico"),CONCATENATE("R2C",'Mapa final'!$S$18),"")</f>
        <v/>
      </c>
      <c r="AM42" s="36" t="str">
        <f>IF(AND('Mapa final'!$AJ$19="Baja",'Mapa final'!$AL$19="Catastrófico"),CONCATENATE("R2C",'Mapa final'!$S$19),"")</f>
        <v/>
      </c>
      <c r="AN42" s="37" t="str">
        <f>IF(AND('Mapa final'!$AJ$20="Baja",'Mapa final'!$AL$20="Catastrófico"),CONCATENATE("R2C",'Mapa final'!$D$20),"")</f>
        <v>R2C6</v>
      </c>
      <c r="AO42" s="69"/>
      <c r="AP42" s="489" t="s">
        <v>81</v>
      </c>
      <c r="AQ42" s="490"/>
      <c r="AR42" s="490"/>
      <c r="AS42" s="490"/>
      <c r="AT42" s="490"/>
      <c r="AU42" s="491"/>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71"/>
      <c r="D43" s="371"/>
      <c r="E43" s="372"/>
      <c r="F43" s="476"/>
      <c r="G43" s="462"/>
      <c r="H43" s="462"/>
      <c r="I43" s="462"/>
      <c r="J43" s="462"/>
      <c r="K43" s="62" t="str">
        <f>IF(AND('Mapa final'!$AJ$21="Baja",'Mapa final'!$AL$21="Leve"),CONCATENATE("R2C",'Mapa final'!$S$21),"")</f>
        <v/>
      </c>
      <c r="L43" s="63" t="str">
        <f>IF(AND('Mapa final'!$AJ$22="Baja",'Mapa final'!$AL$22="Leve"),CONCATENATE("R2C",'Mapa final'!$S$22),"")</f>
        <v/>
      </c>
      <c r="M43" s="63" t="str">
        <f>IF(AND('Mapa final'!$AJ$23="Baja",'Mapa final'!$AL$23="Leve"),CONCATENATE("R2C",'Mapa final'!$S$23),"")</f>
        <v/>
      </c>
      <c r="N43" s="63" t="str">
        <f>IF(AND('Mapa final'!$AJ$24="Baja",'Mapa final'!$AL$24="Leve"),CONCATENATE("R2C",'Mapa final'!$S$24),"")</f>
        <v/>
      </c>
      <c r="O43" s="63" t="str">
        <f>IF(AND('Mapa final'!$AJ$25="Baja",'Mapa final'!$AL$25="Leve"),CONCATENATE("R2C",'Mapa final'!$S$25),"")</f>
        <v/>
      </c>
      <c r="P43" s="64" t="str">
        <f>IF(AND('Mapa final'!$AJ$26="Baja",'Mapa final'!$AL$26="Leve"),CONCATENATE("R2C",'Mapa final'!$S$26),"")</f>
        <v/>
      </c>
      <c r="Q43" s="53" t="str">
        <f>IF(AND('Mapa final'!$AJ$21="Baja",'Mapa final'!$AL$21="Menor"),CONCATENATE("R2C",'Mapa final'!$S$21),"")</f>
        <v/>
      </c>
      <c r="R43" s="54" t="str">
        <f>IF(AND('Mapa final'!$AJ$22="Baja",'Mapa final'!$AL$22="Menor"),CONCATENATE("R2C",'Mapa final'!$S$22),"")</f>
        <v/>
      </c>
      <c r="S43" s="54" t="str">
        <f>IF(AND('Mapa final'!$AJ$23="Baja",'Mapa final'!$AL$23="Menor"),CONCATENATE("R2C",'Mapa final'!$S$23),"")</f>
        <v/>
      </c>
      <c r="T43" s="54" t="str">
        <f>IF(AND('Mapa final'!$AJ$24="Baja",'Mapa final'!$AL$24="Menor"),CONCATENATE("R2C",'Mapa final'!$S$24),"")</f>
        <v/>
      </c>
      <c r="U43" s="54" t="str">
        <f>IF(AND('Mapa final'!$AJ$25="Baja",'Mapa final'!$AL$25="Menor"),CONCATENATE("R2C",'Mapa final'!$S$25),"")</f>
        <v/>
      </c>
      <c r="V43" s="55" t="str">
        <f>IF(AND('Mapa final'!$AJ$26="Baja",'Mapa final'!$AL$26="Menor"),CONCATENATE("R2C",'Mapa final'!$S$26),"")</f>
        <v/>
      </c>
      <c r="W43" s="53" t="str">
        <f>IF(AND('Mapa final'!$AJ$21="Baja",'Mapa final'!$AL$21="Moderado"),CONCATENATE("R2C",'Mapa final'!$S$21),"")</f>
        <v/>
      </c>
      <c r="X43" s="54" t="str">
        <f>IF(AND('Mapa final'!$AJ$22="Baja",'Mapa final'!$AL$22="Moderado"),CONCATENATE("R2C",'Mapa final'!$S$22),"")</f>
        <v/>
      </c>
      <c r="Y43" s="54" t="str">
        <f>IF(AND('Mapa final'!$AJ$23="Baja",'Mapa final'!$AL$23="Moderado"),CONCATENATE("R2C",'Mapa final'!$S$23),"")</f>
        <v/>
      </c>
      <c r="Z43" s="54" t="str">
        <f>IF(AND('Mapa final'!$AJ$24="Baja",'Mapa final'!$AL$24="Moderado"),CONCATENATE("R2C",'Mapa final'!$S$24),"")</f>
        <v/>
      </c>
      <c r="AA43" s="54" t="str">
        <f>IF(AND('Mapa final'!$AJ$25="Baja",'Mapa final'!$AL$25="Moderado"),CONCATENATE("R2C",'Mapa final'!$S$25),"")</f>
        <v/>
      </c>
      <c r="AB43" s="55" t="str">
        <f>IF(AND('Mapa final'!$AJ$26="Baja",'Mapa final'!$AL$26="Moderado"),CONCATENATE("R2C",'Mapa final'!$S$26),"")</f>
        <v/>
      </c>
      <c r="AC43" s="38" t="str">
        <f>IF(AND('Mapa final'!$AJ$21="Baja",'Mapa final'!$AL$21="Mayor"),CONCATENATE("R2C",'Mapa final'!$S$21),"")</f>
        <v/>
      </c>
      <c r="AD43" s="39" t="str">
        <f>IF(AND('Mapa final'!$AJ$22="Baja",'Mapa final'!$AL$22="Mayor"),CONCATENATE("R2C",'Mapa final'!$S$22),"")</f>
        <v/>
      </c>
      <c r="AE43" s="39" t="str">
        <f>IF(AND('Mapa final'!$AJ$23="Baja",'Mapa final'!$AL$23="Mayor"),CONCATENATE("R2C",'Mapa final'!$S$23),"")</f>
        <v/>
      </c>
      <c r="AF43" s="39" t="str">
        <f>IF(AND('Mapa final'!$AJ$24="Baja",'Mapa final'!$AL$24="Mayor"),CONCATENATE("R2C",'Mapa final'!$S$24),"")</f>
        <v/>
      </c>
      <c r="AG43" s="39" t="str">
        <f>IF(AND('Mapa final'!$AJ$25="Baja",'Mapa final'!$AL$25="Mayor"),CONCATENATE("R2C",'Mapa final'!$S$25),"")</f>
        <v/>
      </c>
      <c r="AH43" s="40" t="str">
        <f>IF(AND('Mapa final'!$AJ$26="Baja",'Mapa final'!$AL$26="Mayor"),CONCATENATE("R2C",'Mapa final'!$S$26),"")</f>
        <v/>
      </c>
      <c r="AI43" s="41" t="str">
        <f>IF(AND('Mapa final'!$AJ$21="Baja",'Mapa final'!$AL$21="Catastrófico"),CONCATENATE("R2C",'Mapa final'!$S$21),"")</f>
        <v/>
      </c>
      <c r="AJ43" s="42" t="str">
        <f>IF(AND('Mapa final'!$AJ$22="Baja",'Mapa final'!$AL$22="Catastrófico"),CONCATENATE("R2C",'Mapa final'!$S$22),"")</f>
        <v/>
      </c>
      <c r="AK43" s="42" t="str">
        <f>IF(AND('Mapa final'!$AJ$23="Baja",'Mapa final'!$AL$23="Catastrófico"),CONCATENATE("R2C",'Mapa final'!$S$23),"")</f>
        <v/>
      </c>
      <c r="AL43" s="42" t="str">
        <f>IF(AND('Mapa final'!$AJ$24="Baja",'Mapa final'!$AL$24="Catastrófico"),CONCATENATE("R2C",'Mapa final'!$S$24),"")</f>
        <v/>
      </c>
      <c r="AM43" s="42" t="str">
        <f>IF(AND('Mapa final'!$AJ$25="Baja",'Mapa final'!$AL$25="Catastrófico"),CONCATENATE("R2C",'Mapa final'!$S$25),"")</f>
        <v/>
      </c>
      <c r="AN43" s="43" t="str">
        <f>IF(AND('Mapa final'!$AJ$26="Baja",'Mapa final'!$AL$26="Catastrófico"),CONCATENATE("R2C",'Mapa final'!$S$26),"")</f>
        <v/>
      </c>
      <c r="AO43" s="69"/>
      <c r="AP43" s="492"/>
      <c r="AQ43" s="493"/>
      <c r="AR43" s="493"/>
      <c r="AS43" s="493"/>
      <c r="AT43" s="493"/>
      <c r="AU43" s="494"/>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71"/>
      <c r="D44" s="371"/>
      <c r="E44" s="372"/>
      <c r="F44" s="461"/>
      <c r="G44" s="462"/>
      <c r="H44" s="462"/>
      <c r="I44" s="462"/>
      <c r="J44" s="462"/>
      <c r="K44" s="62" t="str">
        <f>IF(AND('Mapa final'!$AJ$27="Baja",'Mapa final'!$AL$27="Leve"),CONCATENATE("R2C",'Mapa final'!$S$27),"")</f>
        <v/>
      </c>
      <c r="L44" s="63" t="str">
        <f>IF(AND('Mapa final'!$AJ$28="Baja",'Mapa final'!$AL$28="Leve"),CONCATENATE("R2C",'Mapa final'!$S$28),"")</f>
        <v/>
      </c>
      <c r="M44" s="63" t="str">
        <f>IF(AND('Mapa final'!$AJ$29="Baja",'Mapa final'!$AL$29="Leve"),CONCATENATE("R2C",'Mapa final'!$S$29),"")</f>
        <v/>
      </c>
      <c r="N44" s="63" t="str">
        <f>IF(AND('Mapa final'!$AJ$30="Baja",'Mapa final'!$AL$30="Leve"),CONCATENATE("R2C",'Mapa final'!$S$30),"")</f>
        <v/>
      </c>
      <c r="O44" s="63" t="str">
        <f>IF(AND('Mapa final'!$AJ$31="Baja",'Mapa final'!$AL$31="Leve"),CONCATENATE("R2C",'Mapa final'!$S$31),"")</f>
        <v/>
      </c>
      <c r="P44" s="64" t="str">
        <f>IF(AND('Mapa final'!$AJ$32="Baja",'Mapa final'!$AL$32="Leve"),CONCATENATE("R2C",'Mapa final'!$S$32),"")</f>
        <v/>
      </c>
      <c r="Q44" s="53" t="str">
        <f>IF(AND('Mapa final'!$AJ$27="Baja",'Mapa final'!$AL$27="Menor"),CONCATENATE("R2C",'Mapa final'!$S$27),"")</f>
        <v/>
      </c>
      <c r="R44" s="54" t="str">
        <f>IF(AND('Mapa final'!$AJ$28="Baja",'Mapa final'!$AL$28="Menor"),CONCATENATE("R2C",'Mapa final'!$S$28),"")</f>
        <v/>
      </c>
      <c r="S44" s="54" t="str">
        <f>IF(AND('Mapa final'!$AJ$29="Baja",'Mapa final'!$AL$29="Menor"),CONCATENATE("R2C",'Mapa final'!$S$29),"")</f>
        <v/>
      </c>
      <c r="T44" s="54" t="str">
        <f>IF(AND('Mapa final'!$AJ$30="Baja",'Mapa final'!$AL$30="Menor"),CONCATENATE("R2C",'Mapa final'!$S$30),"")</f>
        <v/>
      </c>
      <c r="U44" s="54" t="str">
        <f>IF(AND('Mapa final'!$AJ$31="Baja",'Mapa final'!$AL$31="Menor"),CONCATENATE("R2C",'Mapa final'!$S$31),"")</f>
        <v/>
      </c>
      <c r="V44" s="55" t="str">
        <f>IF(AND('Mapa final'!$AJ$32="Baja",'Mapa final'!$AL$32="Menor"),CONCATENATE("R2C",'Mapa final'!$S$32),"")</f>
        <v/>
      </c>
      <c r="W44" s="53" t="str">
        <f>IF(AND('Mapa final'!$AJ$27="Baja",'Mapa final'!$AL$27="Moderado"),CONCATENATE("R2C",'Mapa final'!$S$27),"")</f>
        <v/>
      </c>
      <c r="X44" s="54" t="str">
        <f>IF(AND('Mapa final'!$AJ$28="Baja",'Mapa final'!$AL$28="Moderado"),CONCATENATE("R2C",'Mapa final'!$S$28),"")</f>
        <v/>
      </c>
      <c r="Y44" s="54" t="str">
        <f>IF(AND('Mapa final'!$AJ$29="Baja",'Mapa final'!$AL$29="Moderado"),CONCATENATE("R2C",'Mapa final'!$S$29),"")</f>
        <v/>
      </c>
      <c r="Z44" s="54" t="str">
        <f>IF(AND('Mapa final'!$AJ$30="Baja",'Mapa final'!$AL$30="Moderado"),CONCATENATE("R2C",'Mapa final'!$S$30),"")</f>
        <v/>
      </c>
      <c r="AA44" s="54" t="str">
        <f>IF(AND('Mapa final'!$AJ$31="Baja",'Mapa final'!$AL$31="Moderado"),CONCATENATE("R2C",'Mapa final'!$S$31),"")</f>
        <v/>
      </c>
      <c r="AB44" s="55" t="str">
        <f>IF(AND('Mapa final'!$AJ$32="Baja",'Mapa final'!$AL$32="Moderado"),CONCATENATE("R2C",'Mapa final'!$S$32),"")</f>
        <v/>
      </c>
      <c r="AC44" s="38" t="str">
        <f>IF(AND('Mapa final'!$AJ$27="Baja",'Mapa final'!$AL$27="Mayor"),CONCATENATE("R2C",'Mapa final'!$S$27),"")</f>
        <v/>
      </c>
      <c r="AD44" s="39" t="str">
        <f>IF(AND('Mapa final'!$AJ$28="Baja",'Mapa final'!$AL$28="Mayor"),CONCATENATE("R2C",'Mapa final'!$S$28),"")</f>
        <v/>
      </c>
      <c r="AE44" s="39" t="str">
        <f>IF(AND('Mapa final'!$AJ$29="Baja",'Mapa final'!$AL$29="Mayor"),CONCATENATE("R2C",'Mapa final'!$S$29),"")</f>
        <v/>
      </c>
      <c r="AF44" s="39" t="str">
        <f>IF(AND('Mapa final'!$AJ$30="Baja",'Mapa final'!$AL$30="Mayor"),CONCATENATE("R2C",'Mapa final'!$S$30),"")</f>
        <v/>
      </c>
      <c r="AG44" s="39" t="str">
        <f>IF(AND('Mapa final'!$AJ$31="Baja",'Mapa final'!$AL$31="Mayor"),CONCATENATE("R2C",'Mapa final'!$S$31),"")</f>
        <v/>
      </c>
      <c r="AH44" s="40" t="str">
        <f>IF(AND('Mapa final'!$AJ$32="Baja",'Mapa final'!$AL$32="Mayor"),CONCATENATE("R2C",'Mapa final'!$S$32),"")</f>
        <v/>
      </c>
      <c r="AI44" s="41" t="str">
        <f>IF(AND('Mapa final'!$AJ$27="Baja",'Mapa final'!$AL$27="Catastrófico"),CONCATENATE("R2C",'Mapa final'!$S$27),"")</f>
        <v/>
      </c>
      <c r="AJ44" s="42" t="str">
        <f>IF(AND('Mapa final'!$AJ$28="Baja",'Mapa final'!$AL$28="Catastrófico"),CONCATENATE("R2C",'Mapa final'!$S$28),"")</f>
        <v/>
      </c>
      <c r="AK44" s="42" t="str">
        <f>IF(AND('Mapa final'!$AJ$29="Baja",'Mapa final'!$AL$29="Catastrófico"),CONCATENATE("R2C",'Mapa final'!$S$29),"")</f>
        <v/>
      </c>
      <c r="AL44" s="42" t="str">
        <f>IF(AND('Mapa final'!$AJ$30="Baja",'Mapa final'!$AL$30="Catastrófico"),CONCATENATE("R2C",'Mapa final'!$S$30),"")</f>
        <v/>
      </c>
      <c r="AM44" s="42" t="str">
        <f>IF(AND('Mapa final'!$AJ$31="Baja",'Mapa final'!$AL$31="Catastrófico"),CONCATENATE("R2C",'Mapa final'!$S$31),"")</f>
        <v/>
      </c>
      <c r="AN44" s="43" t="str">
        <f>IF(AND('Mapa final'!$AJ$32="Baja",'Mapa final'!$AL$32="Catastrófico"),CONCATENATE("R2C",'Mapa final'!$S$32),"")</f>
        <v/>
      </c>
      <c r="AO44" s="69"/>
      <c r="AP44" s="492"/>
      <c r="AQ44" s="493"/>
      <c r="AR44" s="493"/>
      <c r="AS44" s="493"/>
      <c r="AT44" s="493"/>
      <c r="AU44" s="494"/>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71"/>
      <c r="D45" s="371"/>
      <c r="E45" s="372"/>
      <c r="F45" s="461"/>
      <c r="G45" s="462"/>
      <c r="H45" s="462"/>
      <c r="I45" s="462"/>
      <c r="J45" s="462"/>
      <c r="K45" s="62" t="str">
        <f>IF(AND('Mapa final'!$AJ$33="Baja",'Mapa final'!$AL$33="Leve"),CONCATENATE("R2C",'Mapa final'!$S$33),"")</f>
        <v/>
      </c>
      <c r="L45" s="63" t="str">
        <f>IF(AND('Mapa final'!$AJ$34="Baja",'Mapa final'!$AL$34="Leve"),CONCATENATE("R2C",'Mapa final'!$S$34),"")</f>
        <v/>
      </c>
      <c r="M45" s="63" t="str">
        <f>IF(AND('Mapa final'!$AJ$35="Baja",'Mapa final'!$AL$35="Leve"),CONCATENATE("R2C",'Mapa final'!$S$35),"")</f>
        <v/>
      </c>
      <c r="N45" s="63" t="str">
        <f>IF(AND('Mapa final'!$AJ$36="Baja",'Mapa final'!$AL$36="Leve"),CONCATENATE("R2C",'Mapa final'!$S$36),"")</f>
        <v/>
      </c>
      <c r="O45" s="63" t="str">
        <f>IF(AND('Mapa final'!$AJ$37="Baja",'Mapa final'!$AL$37="Leve"),CONCATENATE("R2C",'Mapa final'!$S$37),"")</f>
        <v/>
      </c>
      <c r="P45" s="64" t="str">
        <f>IF(AND('Mapa final'!$AJ$38="Baja",'Mapa final'!$AL$38="Leve"),CONCATENATE("R2C",'Mapa final'!$S$38),"")</f>
        <v/>
      </c>
      <c r="Q45" s="53" t="str">
        <f>IF(AND('Mapa final'!$AJ$33="Baja",'Mapa final'!$AL$33="Menor"),CONCATENATE("R2C",'Mapa final'!$S$33),"")</f>
        <v/>
      </c>
      <c r="R45" s="54" t="str">
        <f>IF(AND('Mapa final'!$AJ$34="Baja",'Mapa final'!$AL$34="Menor"),CONCATENATE("R2C",'Mapa final'!$S$34),"")</f>
        <v/>
      </c>
      <c r="S45" s="54" t="str">
        <f>IF(AND('Mapa final'!$AJ$35="Baja",'Mapa final'!$AL$35="Menor"),CONCATENATE("R2C",'Mapa final'!$S$35),"")</f>
        <v/>
      </c>
      <c r="T45" s="54" t="str">
        <f>IF(AND('Mapa final'!$AJ$36="Baja",'Mapa final'!$AL$36="Menor"),CONCATENATE("R2C",'Mapa final'!$S$36),"")</f>
        <v/>
      </c>
      <c r="U45" s="54" t="str">
        <f>IF(AND('Mapa final'!$AJ$37="Baja",'Mapa final'!$AL$37="LMenor"),CONCATENATE("R2C",'Mapa final'!$S$37),"")</f>
        <v/>
      </c>
      <c r="V45" s="55" t="str">
        <f>IF(AND('Mapa final'!$AJ$38="Baja",'Mapa final'!$AL$38="Menor"),CONCATENATE("R2C",'Mapa final'!$S$38),"")</f>
        <v/>
      </c>
      <c r="W45" s="53" t="str">
        <f>IF(AND('Mapa final'!$AJ$33="Baja",'Mapa final'!$AL$33="Moderado"),CONCATENATE("R2C",'Mapa final'!$S$33),"")</f>
        <v/>
      </c>
      <c r="X45" s="54" t="str">
        <f>IF(AND('Mapa final'!$AJ$34="Baja",'Mapa final'!$AL$34="Moderado"),CONCATENATE("R2C",'Mapa final'!$S$34),"")</f>
        <v/>
      </c>
      <c r="Y45" s="54" t="str">
        <f>IF(AND('Mapa final'!$AJ$35="Baja",'Mapa final'!$AL$35="Moderado"),CONCATENATE("R2C",'Mapa final'!$S$35),"")</f>
        <v/>
      </c>
      <c r="Z45" s="54" t="str">
        <f>IF(AND('Mapa final'!$AJ$36="Baja",'Mapa final'!$AL$36="Moderado"),CONCATENATE("R2C",'Mapa final'!$S$36),"")</f>
        <v/>
      </c>
      <c r="AA45" s="54" t="str">
        <f>IF(AND('Mapa final'!$AJ$37="Baja",'Mapa final'!$AL$37="Moderado"),CONCATENATE("R2C",'Mapa final'!$S$37),"")</f>
        <v/>
      </c>
      <c r="AB45" s="55" t="str">
        <f>IF(AND('Mapa final'!$AJ$38="Baja",'Mapa final'!$AL$38="Moderado"),CONCATENATE("R2C",'Mapa final'!$S$38),"")</f>
        <v/>
      </c>
      <c r="AC45" s="38" t="str">
        <f>IF(AND('Mapa final'!$AJ$33="Baja",'Mapa final'!$AL$33="Mayor"),CONCATENATE("R2C",'Mapa final'!$S$33),"")</f>
        <v/>
      </c>
      <c r="AD45" s="39" t="str">
        <f>IF(AND('Mapa final'!$AJ$34="Baja",'Mapa final'!$AL$34="Mayor"),CONCATENATE("R2C",'Mapa final'!$S$34),"")</f>
        <v/>
      </c>
      <c r="AE45" s="39" t="str">
        <f>IF(AND('Mapa final'!$AJ$35="Baja",'Mapa final'!$AL$35="Mayor"),CONCATENATE("R2C",'Mapa final'!$S$35),"")</f>
        <v/>
      </c>
      <c r="AF45" s="39" t="str">
        <f>IF(AND('Mapa final'!$AJ$36="Baja",'Mapa final'!$AL$36="Mayor"),CONCATENATE("R2C",'Mapa final'!$S$36),"")</f>
        <v/>
      </c>
      <c r="AG45" s="39" t="str">
        <f>IF(AND('Mapa final'!$AJ$37="Baja",'Mapa final'!$AL$37="Mayor"),CONCATENATE("R2C",'Mapa final'!$S$37),"")</f>
        <v/>
      </c>
      <c r="AH45" s="40" t="str">
        <f>IF(AND('Mapa final'!$AJ$38="Baja",'Mapa final'!$AL$38="Mayor"),CONCATENATE("R2C",'Mapa final'!$S$38),"")</f>
        <v/>
      </c>
      <c r="AI45" s="41" t="str">
        <f>IF(AND('Mapa final'!$AJ$33="Baja",'Mapa final'!$AL$33="Catastrófico"),CONCATENATE("R2C",'Mapa final'!$S$33),"")</f>
        <v/>
      </c>
      <c r="AJ45" s="42" t="str">
        <f>IF(AND('Mapa final'!$AJ$34="Baja",'Mapa final'!$AL$34="Catastrófico"),CONCATENATE("R2C",'Mapa final'!$S$34),"")</f>
        <v/>
      </c>
      <c r="AK45" s="42" t="str">
        <f>IF(AND('Mapa final'!$AJ$35="Baja",'Mapa final'!$AL$35="Catastrófico"),CONCATENATE("R2C",'Mapa final'!$S$35),"")</f>
        <v/>
      </c>
      <c r="AL45" s="42" t="str">
        <f>IF(AND('Mapa final'!$AJ$36="Baja",'Mapa final'!$AL$36="Catastrófico"),CONCATENATE("R2C",'Mapa final'!$S$36),"")</f>
        <v/>
      </c>
      <c r="AM45" s="42" t="str">
        <f>IF(AND('Mapa final'!$AJ$37="Baja",'Mapa final'!$AL$37="LCatastrófico"),CONCATENATE("R2C",'Mapa final'!$S$37),"")</f>
        <v/>
      </c>
      <c r="AN45" s="43" t="str">
        <f>IF(AND('Mapa final'!$AJ$38="Baja",'Mapa final'!$AL$38="Catastrófico"),CONCATENATE("R2C",'Mapa final'!$S$38),"")</f>
        <v/>
      </c>
      <c r="AO45" s="69"/>
      <c r="AP45" s="492"/>
      <c r="AQ45" s="493"/>
      <c r="AR45" s="493"/>
      <c r="AS45" s="493"/>
      <c r="AT45" s="493"/>
      <c r="AU45" s="494"/>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71"/>
      <c r="D46" s="371"/>
      <c r="E46" s="372"/>
      <c r="F46" s="461"/>
      <c r="G46" s="462"/>
      <c r="H46" s="462"/>
      <c r="I46" s="462"/>
      <c r="J46" s="462"/>
      <c r="K46" s="62" t="str">
        <f>IF(AND('Mapa final'!$AJ$39="Baja",'Mapa final'!$AL$39="Leve"),CONCATENATE("R2C",'Mapa final'!$S$39),"")</f>
        <v/>
      </c>
      <c r="L46" s="63" t="str">
        <f>IF(AND('Mapa final'!$AJ$40="Baja",'Mapa final'!$AL$40="Leve"),CONCATENATE("R2C",'Mapa final'!$S$40),"")</f>
        <v/>
      </c>
      <c r="M46" s="63" t="str">
        <f>IF(AND('Mapa final'!$AJ$41="Baja",'Mapa final'!$AL$41="Leve"),CONCATENATE("R2C",'Mapa final'!$S$41),"")</f>
        <v/>
      </c>
      <c r="N46" s="63" t="str">
        <f>IF(AND('Mapa final'!$AJ$42="Baja",'Mapa final'!$AL$42="Leve"),CONCATENATE("R2C",'Mapa final'!$S$42),"")</f>
        <v/>
      </c>
      <c r="O46" s="63" t="str">
        <f>IF(AND('Mapa final'!$AJ$43="Baja",'Mapa final'!$AL$43="Leve"),CONCATENATE("R2C",'Mapa final'!$S$43),"")</f>
        <v/>
      </c>
      <c r="P46" s="64" t="str">
        <f>IF(AND('Mapa final'!$AJ$44="Baja",'Mapa final'!$AL$44="Leve"),CONCATENATE("R2C",'Mapa final'!$S$44),"")</f>
        <v/>
      </c>
      <c r="Q46" s="53" t="str">
        <f>IF(AND('Mapa final'!$AJ$39="Baja",'Mapa final'!$AL$39="Menor"),CONCATENATE("R2C",'Mapa final'!$S$39),"")</f>
        <v/>
      </c>
      <c r="R46" s="54" t="str">
        <f>IF(AND('Mapa final'!$AJ$40="Baja",'Mapa final'!$AL$40="Menor"),CONCATENATE("R2C",'Mapa final'!$S$40),"")</f>
        <v/>
      </c>
      <c r="S46" s="54" t="str">
        <f>IF(AND('Mapa final'!$AJ$41="Baja",'Mapa final'!$AL$41="Menor"),CONCATENATE("R2C",'Mapa final'!$S$41),"")</f>
        <v/>
      </c>
      <c r="T46" s="54" t="str">
        <f>IF(AND('Mapa final'!$AJ$42="Baja",'Mapa final'!$AL$42="Menor"),CONCATENATE("R2C",'Mapa final'!$S$42),"")</f>
        <v/>
      </c>
      <c r="U46" s="54" t="str">
        <f>IF(AND('Mapa final'!$AJ$43="Baja",'Mapa final'!$AL$43="Menor"),CONCATENATE("R2C",'Mapa final'!$S$43),"")</f>
        <v/>
      </c>
      <c r="V46" s="55" t="str">
        <f>IF(AND('Mapa final'!$AJ$44="Baja",'Mapa final'!$AL$44="Menor"),CONCATENATE("R2C",'Mapa final'!$S$44),"")</f>
        <v/>
      </c>
      <c r="W46" s="53" t="str">
        <f>IF(AND('Mapa final'!$AJ$39="Baja",'Mapa final'!$AL$39="Moderado"),CONCATENATE("R2C",'Mapa final'!$S$39),"")</f>
        <v/>
      </c>
      <c r="X46" s="54" t="str">
        <f>IF(AND('Mapa final'!$AJ$40="Baja",'Mapa final'!$AL$40="Moderado"),CONCATENATE("R2C",'Mapa final'!$S$40),"")</f>
        <v/>
      </c>
      <c r="Y46" s="54" t="str">
        <f>IF(AND('Mapa final'!$AJ$41="Baja",'Mapa final'!$AL$41="Moderado"),CONCATENATE("R2C",'Mapa final'!$S$41),"")</f>
        <v/>
      </c>
      <c r="Z46" s="54" t="str">
        <f>IF(AND('Mapa final'!$AJ$42="Baja",'Mapa final'!$AL$42="Moderado"),CONCATENATE("R2C",'Mapa final'!$S$42),"")</f>
        <v/>
      </c>
      <c r="AA46" s="54" t="str">
        <f>IF(AND('Mapa final'!$AJ$43="Baja",'Mapa final'!$AL$43="Moderado"),CONCATENATE("R2C",'Mapa final'!$S$43),"")</f>
        <v/>
      </c>
      <c r="AB46" s="55" t="str">
        <f>IF(AND('Mapa final'!$AJ$44="Baja",'Mapa final'!$AL$44="Moderado"),CONCATENATE("R2C",'Mapa final'!$S$44),"")</f>
        <v/>
      </c>
      <c r="AC46" s="38" t="str">
        <f>IF(AND('Mapa final'!$AJ$39="Baja",'Mapa final'!$AL$39="Mayor"),CONCATENATE("R2C",'Mapa final'!$S$39),"")</f>
        <v/>
      </c>
      <c r="AD46" s="39" t="str">
        <f>IF(AND('Mapa final'!$AJ$40="Baja",'Mapa final'!$AL$40="Mayor"),CONCATENATE("R2C",'Mapa final'!$S$40),"")</f>
        <v/>
      </c>
      <c r="AE46" s="39" t="str">
        <f>IF(AND('Mapa final'!$AJ$41="Baja",'Mapa final'!$AL$41="Mayor"),CONCATENATE("R2C",'Mapa final'!$S$41),"")</f>
        <v/>
      </c>
      <c r="AF46" s="39" t="str">
        <f>IF(AND('Mapa final'!$AJ$42="Baja",'Mapa final'!$AL$42="Mayor"),CONCATENATE("R2C",'Mapa final'!$S$42),"")</f>
        <v/>
      </c>
      <c r="AG46" s="39" t="str">
        <f>IF(AND('Mapa final'!$AJ$43="Baja",'Mapa final'!$AL$43="Mayor"),CONCATENATE("R2C",'Mapa final'!$S$43),"")</f>
        <v/>
      </c>
      <c r="AH46" s="40" t="str">
        <f>IF(AND('Mapa final'!$AJ$44="Baja",'Mapa final'!$AL$44="Mayor"),CONCATENATE("R2C",'Mapa final'!$S$44),"")</f>
        <v/>
      </c>
      <c r="AI46" s="41" t="str">
        <f>IF(AND('Mapa final'!$AJ$39="Baja",'Mapa final'!$AL$39="Catastrófico"),CONCATENATE("R2C",'Mapa final'!$S$39),"")</f>
        <v/>
      </c>
      <c r="AJ46" s="42" t="str">
        <f>IF(AND('Mapa final'!$AJ$40="Baja",'Mapa final'!$AL$40="Catastrófico"),CONCATENATE("R2C",'Mapa final'!$S$40),"")</f>
        <v/>
      </c>
      <c r="AK46" s="42" t="str">
        <f>IF(AND('Mapa final'!$AJ$41="Baja",'Mapa final'!$AL$41="Catastrófico"),CONCATENATE("R2C",'Mapa final'!$S$41),"")</f>
        <v/>
      </c>
      <c r="AL46" s="42" t="str">
        <f>IF(AND('Mapa final'!$AJ$42="Baja",'Mapa final'!$AL$42="Catastrófico"),CONCATENATE("R2C",'Mapa final'!$S$42),"")</f>
        <v/>
      </c>
      <c r="AM46" s="42" t="str">
        <f>IF(AND('Mapa final'!$AJ$43="Baja",'Mapa final'!$AL$43="Catastrófico"),CONCATENATE("R2C",'Mapa final'!$S$43),"")</f>
        <v/>
      </c>
      <c r="AN46" s="43" t="str">
        <f>IF(AND('Mapa final'!$AJ$44="Baja",'Mapa final'!$AL$44="Catastrófico"),CONCATENATE("R2C",'Mapa final'!$S$44),"")</f>
        <v/>
      </c>
      <c r="AO46" s="69"/>
      <c r="AP46" s="492"/>
      <c r="AQ46" s="493"/>
      <c r="AR46" s="493"/>
      <c r="AS46" s="493"/>
      <c r="AT46" s="493"/>
      <c r="AU46" s="494"/>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71"/>
      <c r="D47" s="371"/>
      <c r="E47" s="372"/>
      <c r="F47" s="461"/>
      <c r="G47" s="462"/>
      <c r="H47" s="462"/>
      <c r="I47" s="462"/>
      <c r="J47" s="462"/>
      <c r="K47" s="62" t="str">
        <f>IF(AND('Mapa final'!$AJ$45="Baja",'Mapa final'!$AL$45="Leve"),CONCATENATE("R2C",'Mapa final'!$S$45),"")</f>
        <v/>
      </c>
      <c r="L47" s="63" t="str">
        <f>IF(AND('Mapa final'!$AJ$46="Baja",'Mapa final'!$AL$46="Leve"),CONCATENATE("R2C",'Mapa final'!$S$46),"")</f>
        <v/>
      </c>
      <c r="M47" s="63" t="str">
        <f>IF(AND('Mapa final'!$AJ$47="Baja",'Mapa final'!$AL$47="Leve"),CONCATENATE("R2C",'Mapa final'!$S$47),"")</f>
        <v/>
      </c>
      <c r="N47" s="63" t="str">
        <f>IF(AND('Mapa final'!$AJ$48="Baja",'Mapa final'!$AL$48="Leve"),CONCATENATE("R2C",'Mapa final'!$S$48),"")</f>
        <v/>
      </c>
      <c r="O47" s="63" t="str">
        <f>IF(AND('Mapa final'!$AJ$49="Baja",'Mapa final'!$AL$49="Leve"),CONCATENATE("R2C",'Mapa final'!$S$49),"")</f>
        <v/>
      </c>
      <c r="P47" s="64" t="str">
        <f>IF(AND('Mapa final'!$AJ$60="Baja",'Mapa final'!$AL$50="Leve"),CONCATENATE("R2C",'Mapa final'!$S$50),"")</f>
        <v/>
      </c>
      <c r="Q47" s="53" t="str">
        <f>IF(AND('Mapa final'!$AJ$45="Baja",'Mapa final'!$AL$45="Menor"),CONCATENATE("R2C",'Mapa final'!$S$45),"")</f>
        <v/>
      </c>
      <c r="R47" s="54" t="str">
        <f>IF(AND('Mapa final'!$AJ$46="Baja",'Mapa final'!$AL$46="Menor"),CONCATENATE("R2C",'Mapa final'!$S$46),"")</f>
        <v/>
      </c>
      <c r="S47" s="54" t="str">
        <f>IF(AND('Mapa final'!$AJ$47="Baja",'Mapa final'!$AL$47="Menor"),CONCATENATE("R2C",'Mapa final'!$S$47),"")</f>
        <v/>
      </c>
      <c r="T47" s="54" t="str">
        <f>IF(AND('Mapa final'!$AJ$48="Baja",'Mapa final'!$AL$48="Menor"),CONCATENATE("R2C",'Mapa final'!$S$48),"")</f>
        <v/>
      </c>
      <c r="U47" s="54" t="str">
        <f>IF(AND('Mapa final'!$AJ$49="Baja",'Mapa final'!$AL$49="Menor"),CONCATENATE("R2C",'Mapa final'!$S$49),"")</f>
        <v/>
      </c>
      <c r="V47" s="55" t="str">
        <f>IF(AND('Mapa final'!$AJ$60="Baja",'Mapa final'!$AL$50="Menor"),CONCATENATE("R2C",'Mapa final'!$S$50),"")</f>
        <v/>
      </c>
      <c r="W47" s="53" t="str">
        <f>IF(AND('Mapa final'!$AJ$45="Baja",'Mapa final'!$AL$45="Moderado"),CONCATENATE("R2C",'Mapa final'!$S$45),"")</f>
        <v/>
      </c>
      <c r="X47" s="54" t="str">
        <f>IF(AND('Mapa final'!$AJ$46="Baja",'Mapa final'!$AL$46="Moderado"),CONCATENATE("R2C",'Mapa final'!$S$46),"")</f>
        <v/>
      </c>
      <c r="Y47" s="54" t="str">
        <f>IF(AND('Mapa final'!$AJ$47="Baja",'Mapa final'!$AL$47="Moderado"),CONCATENATE("R2C",'Mapa final'!$S$47),"")</f>
        <v/>
      </c>
      <c r="Z47" s="54" t="str">
        <f>IF(AND('Mapa final'!$AJ$48="Baja",'Mapa final'!$AL$48="Moderado"),CONCATENATE("R2C",'Mapa final'!$S$48),"")</f>
        <v/>
      </c>
      <c r="AA47" s="54" t="str">
        <f>IF(AND('Mapa final'!$AJ$49="Baja",'Mapa final'!$AL$49="Moderado"),CONCATENATE("R2C",'Mapa final'!$S$49),"")</f>
        <v/>
      </c>
      <c r="AB47" s="55" t="str">
        <f>IF(AND('Mapa final'!$AJ$60="Baja",'Mapa final'!$AL$50="Moderado"),CONCATENATE("R2C",'Mapa final'!$S$50),"")</f>
        <v/>
      </c>
      <c r="AC47" s="38" t="str">
        <f>IF(AND('Mapa final'!$AJ$45="Baja",'Mapa final'!$AL$45="Mayor"),CONCATENATE("R2C",'Mapa final'!$S$45),"")</f>
        <v/>
      </c>
      <c r="AD47" s="39" t="str">
        <f>IF(AND('Mapa final'!$AJ$46="Baja",'Mapa final'!$AL$46="Mayor"),CONCATENATE("R2C",'Mapa final'!$S$46),"")</f>
        <v/>
      </c>
      <c r="AE47" s="39" t="str">
        <f>IF(AND('Mapa final'!$AJ$47="Baja",'Mapa final'!$AL$47="Mayor"),CONCATENATE("R2C",'Mapa final'!$S$47),"")</f>
        <v/>
      </c>
      <c r="AF47" s="39" t="str">
        <f>IF(AND('Mapa final'!$AJ$48="Baja",'Mapa final'!$AL$48="Mayor"),CONCATENATE("R2C",'Mapa final'!$S$48),"")</f>
        <v/>
      </c>
      <c r="AG47" s="39" t="str">
        <f>IF(AND('Mapa final'!$AJ$49="Baja",'Mapa final'!$AL$49="Mayor"),CONCATENATE("R2C",'Mapa final'!$S$49),"")</f>
        <v/>
      </c>
      <c r="AH47" s="40" t="str">
        <f>IF(AND('Mapa final'!$AJ$60="Baja",'Mapa final'!$AL$50="Mayor"),CONCATENATE("R2C",'Mapa final'!$S$50),"")</f>
        <v/>
      </c>
      <c r="AI47" s="41" t="str">
        <f>IF(AND('Mapa final'!$AJ$45="Baja",'Mapa final'!$AL$45="Catastrófico"),CONCATENATE("R2C",'Mapa final'!$S$45),"")</f>
        <v/>
      </c>
      <c r="AJ47" s="42" t="str">
        <f>IF(AND('Mapa final'!$AJ$46="Baja",'Mapa final'!$AL$46="Catastrófico"),CONCATENATE("R2C",'Mapa final'!$S$46),"")</f>
        <v/>
      </c>
      <c r="AK47" s="42" t="str">
        <f>IF(AND('Mapa final'!$AJ$47="Baja",'Mapa final'!$AL$47="Catastrófico"),CONCATENATE("R2C",'Mapa final'!$S$47),"")</f>
        <v/>
      </c>
      <c r="AL47" s="42" t="str">
        <f>IF(AND('Mapa final'!$AJ$48="Baja",'Mapa final'!$AL$48="Catastrófico"),CONCATENATE("R2C",'Mapa final'!$S$48),"")</f>
        <v/>
      </c>
      <c r="AM47" s="42" t="str">
        <f>IF(AND('Mapa final'!$AJ$49="Baja",'Mapa final'!$AL$49="Catastrófico"),CONCATENATE("R2C",'Mapa final'!$S$49),"")</f>
        <v/>
      </c>
      <c r="AN47" s="43" t="str">
        <f>IF(AND('Mapa final'!$AJ$60="Baja",'Mapa final'!$AL$50="Catastrófico"),CONCATENATE("R2C",'Mapa final'!$S$50),"")</f>
        <v/>
      </c>
      <c r="AO47" s="69"/>
      <c r="AP47" s="492"/>
      <c r="AQ47" s="493"/>
      <c r="AR47" s="493"/>
      <c r="AS47" s="493"/>
      <c r="AT47" s="493"/>
      <c r="AU47" s="494"/>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71"/>
      <c r="D48" s="371"/>
      <c r="E48" s="372"/>
      <c r="F48" s="461"/>
      <c r="G48" s="462"/>
      <c r="H48" s="462"/>
      <c r="I48" s="462"/>
      <c r="J48" s="462"/>
      <c r="K48" s="62" t="str">
        <f>IF(AND('Mapa final'!$AJ$51="Baja",'Mapa final'!$AL$51="Leve"),CONCATENATE("R2C",'Mapa final'!$S$51),"")</f>
        <v/>
      </c>
      <c r="L48" s="63" t="str">
        <f>IF(AND('Mapa final'!$AJ$52="Baja",'Mapa final'!$AL$52="Leve"),CONCATENATE("R2C",'Mapa final'!$S$52),"")</f>
        <v/>
      </c>
      <c r="M48" s="63" t="str">
        <f>IF(AND('Mapa final'!$AJ$53="Baja",'Mapa final'!$AL$53="Leve"),CONCATENATE("R2C",'Mapa final'!$S$53),"")</f>
        <v/>
      </c>
      <c r="N48" s="63" t="str">
        <f>IF(AND('Mapa final'!$AJ$54="Baja",'Mapa final'!$AL$54="Leve"),CONCATENATE("R2C",'Mapa final'!$S$54),"")</f>
        <v/>
      </c>
      <c r="O48" s="63" t="str">
        <f>IF(AND('Mapa final'!$AJ$55="Baja",'Mapa final'!$AL$55="Leve"),CONCATENATE("R2C",'Mapa final'!$S$55),"")</f>
        <v/>
      </c>
      <c r="P48" s="64" t="str">
        <f>IF(AND('Mapa final'!$AJ$56="Baja",'Mapa final'!$AL$56="Leve"),CONCATENATE("R2C",'Mapa final'!$S$56),"")</f>
        <v/>
      </c>
      <c r="Q48" s="53" t="str">
        <f>IF(AND('Mapa final'!$AJ$51="Baja",'Mapa final'!$AL$51="Menor"),CONCATENATE("R2C",'Mapa final'!$S$51),"")</f>
        <v/>
      </c>
      <c r="R48" s="54" t="str">
        <f>IF(AND('Mapa final'!$AJ$52="Baja",'Mapa final'!$AL$52="Menor"),CONCATENATE("R2C",'Mapa final'!$S$52),"")</f>
        <v/>
      </c>
      <c r="S48" s="54" t="str">
        <f>IF(AND('Mapa final'!$AJ$53="Baja",'Mapa final'!$AL$53="Menor"),CONCATENATE("R2C",'Mapa final'!$S$53),"")</f>
        <v/>
      </c>
      <c r="T48" s="54" t="str">
        <f>IF(AND('Mapa final'!$AJ$54="Baja",'Mapa final'!$AL$54="Menor"),CONCATENATE("R2C",'Mapa final'!$S$54),"")</f>
        <v/>
      </c>
      <c r="U48" s="54" t="str">
        <f>IF(AND('Mapa final'!$AJ$55="Baja",'Mapa final'!$AL$55="Menor"),CONCATENATE("R2C",'Mapa final'!$S$55),"")</f>
        <v/>
      </c>
      <c r="V48" s="55" t="str">
        <f>IF(AND('Mapa final'!$AJ$56="Baja",'Mapa final'!$AL$56="Menor"),CONCATENATE("R2C",'Mapa final'!$S$56),"")</f>
        <v/>
      </c>
      <c r="W48" s="53" t="str">
        <f>IF(AND('Mapa final'!$AJ$51="Baja",'Mapa final'!$AL$51="Moderado"),CONCATENATE("R2C",'Mapa final'!$S$51),"")</f>
        <v/>
      </c>
      <c r="X48" s="54" t="str">
        <f>IF(AND('Mapa final'!$AJ$52="Baja",'Mapa final'!$AL$52="Moderado"),CONCATENATE("R2C",'Mapa final'!$S$52),"")</f>
        <v/>
      </c>
      <c r="Y48" s="54" t="str">
        <f>IF(AND('Mapa final'!$AJ$53="Baja",'Mapa final'!$AL$53="Moderado"),CONCATENATE("R2C",'Mapa final'!$S$53),"")</f>
        <v/>
      </c>
      <c r="Z48" s="54" t="str">
        <f>IF(AND('Mapa final'!$AJ$54="Baja",'Mapa final'!$AL$54="Moderado"),CONCATENATE("R2C",'Mapa final'!$S$54),"")</f>
        <v/>
      </c>
      <c r="AA48" s="54" t="str">
        <f>IF(AND('Mapa final'!$AJ$55="Baja",'Mapa final'!$AL$55="Moderado"),CONCATENATE("R2C",'Mapa final'!$S$55),"")</f>
        <v/>
      </c>
      <c r="AB48" s="55" t="str">
        <f>IF(AND('Mapa final'!$AJ$56="Baja",'Mapa final'!$AL$56="Moderado"),CONCATENATE("R2C",'Mapa final'!$S$56),"")</f>
        <v/>
      </c>
      <c r="AC48" s="38" t="str">
        <f>IF(AND('Mapa final'!$AJ$51="Baja",'Mapa final'!$AL$51="Mayor"),CONCATENATE("R2C",'Mapa final'!$S$51),"")</f>
        <v/>
      </c>
      <c r="AD48" s="39" t="str">
        <f>IF(AND('Mapa final'!$AJ$52="Baja",'Mapa final'!$AL$52="Mayor"),CONCATENATE("R2C",'Mapa final'!$S$52),"")</f>
        <v/>
      </c>
      <c r="AE48" s="39" t="str">
        <f>IF(AND('Mapa final'!$AJ$53="Baja",'Mapa final'!$AL$53="Mayor"),CONCATENATE("R2C",'Mapa final'!$S$53),"")</f>
        <v/>
      </c>
      <c r="AF48" s="39" t="str">
        <f>IF(AND('Mapa final'!$AJ$54="Baja",'Mapa final'!$AL$54="Mayor"),CONCATENATE("R2C",'Mapa final'!$S$54),"")</f>
        <v/>
      </c>
      <c r="AG48" s="39" t="str">
        <f>IF(AND('Mapa final'!$AJ$55="Baja",'Mapa final'!$AL$55="Mayor"),CONCATENATE("R2C",'Mapa final'!$S$55),"")</f>
        <v/>
      </c>
      <c r="AH48" s="40" t="str">
        <f>IF(AND('Mapa final'!$AJ$56="Baja",'Mapa final'!$AL$56="Mayor"),CONCATENATE("R2C",'Mapa final'!$S$56),"")</f>
        <v/>
      </c>
      <c r="AI48" s="41" t="str">
        <f>IF(AND('Mapa final'!$AJ$51="Baja",'Mapa final'!$AL$51="Catastrófico"),CONCATENATE("R2C",'Mapa final'!$S$51),"")</f>
        <v/>
      </c>
      <c r="AJ48" s="42" t="str">
        <f>IF(AND('Mapa final'!$AJ$52="Baja",'Mapa final'!$AL$52="Catastrófico"),CONCATENATE("R2C",'Mapa final'!$S$52),"")</f>
        <v/>
      </c>
      <c r="AK48" s="42" t="str">
        <f>IF(AND('Mapa final'!$AJ$53="Baja",'Mapa final'!$AL$53="Catastrófico"),CONCATENATE("R2C",'Mapa final'!$S$53),"")</f>
        <v/>
      </c>
      <c r="AL48" s="42" t="str">
        <f>IF(AND('Mapa final'!$AJ$54="Baja",'Mapa final'!$AL$54="Catastrófico"),CONCATENATE("R2C",'Mapa final'!$S$54),"")</f>
        <v/>
      </c>
      <c r="AM48" s="42" t="str">
        <f>IF(AND('Mapa final'!$AJ$55="Baja",'Mapa final'!$AL$55="Catastrófico"),CONCATENATE("R2C",'Mapa final'!$S$55),"")</f>
        <v/>
      </c>
      <c r="AN48" s="43" t="str">
        <f>IF(AND('Mapa final'!$AJ$56="Baja",'Mapa final'!$AL$56="Catastrófico"),CONCATENATE("R2C",'Mapa final'!$S$56),"")</f>
        <v/>
      </c>
      <c r="AO48" s="69"/>
      <c r="AP48" s="492"/>
      <c r="AQ48" s="493"/>
      <c r="AR48" s="493"/>
      <c r="AS48" s="493"/>
      <c r="AT48" s="493"/>
      <c r="AU48" s="494"/>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71"/>
      <c r="D49" s="371"/>
      <c r="E49" s="372"/>
      <c r="F49" s="461"/>
      <c r="G49" s="462"/>
      <c r="H49" s="462"/>
      <c r="I49" s="462"/>
      <c r="J49" s="462"/>
      <c r="K49" s="62" t="str">
        <f>IF(AND('Mapa final'!$AJ$57="Baja",'Mapa final'!$AL$57="Leve"),CONCATENATE("R2C",'Mapa final'!$S$57),"")</f>
        <v/>
      </c>
      <c r="L49" s="63" t="str">
        <f>IF(AND('Mapa final'!$AJ$58="Baja",'Mapa final'!$AL$58="Leve"),CONCATENATE("R2C",'Mapa final'!$S$58),"")</f>
        <v/>
      </c>
      <c r="M49" s="63" t="str">
        <f>IF(AND('Mapa final'!$AJ$59="Baja",'Mapa final'!$AL$59="Leve"),CONCATENATE("R2C",'Mapa final'!$S$59),"")</f>
        <v/>
      </c>
      <c r="N49" s="63" t="str">
        <f>IF(AND('Mapa final'!$AJ$60="Baja",'Mapa final'!$AL$60="Leve"),CONCATENATE("R2C",'Mapa final'!$S$60),"")</f>
        <v/>
      </c>
      <c r="O49" s="63" t="str">
        <f>IF(AND('Mapa final'!$AJ$61="Baja",'Mapa final'!$AL$61="Leve"),CONCATENATE("R2C",'Mapa final'!$S$61),"")</f>
        <v/>
      </c>
      <c r="P49" s="64" t="str">
        <f>IF(AND('Mapa final'!$AJ$62="Baja",'Mapa final'!$AL$62="Leve"),CONCATENATE("R2C",'Mapa final'!$S$62),"")</f>
        <v/>
      </c>
      <c r="Q49" s="53" t="str">
        <f>IF(AND('Mapa final'!$AJ$57="Baja",'Mapa final'!$AL$57="Menor"),CONCATENATE("R2C",'Mapa final'!$S$57),"")</f>
        <v/>
      </c>
      <c r="R49" s="54" t="str">
        <f>IF(AND('Mapa final'!$AJ$58="Baja",'Mapa final'!$AL$58="Menor"),CONCATENATE("R2C",'Mapa final'!$S$58),"")</f>
        <v/>
      </c>
      <c r="S49" s="54" t="str">
        <f>IF(AND('Mapa final'!$AJ$59="Baja",'Mapa final'!$AL$59="Menor"),CONCATENATE("R2C",'Mapa final'!$S$59),"")</f>
        <v/>
      </c>
      <c r="T49" s="54" t="str">
        <f>IF(AND('Mapa final'!$AJ$60="Baja",'Mapa final'!$AL$60="Menor"),CONCATENATE("R2C",'Mapa final'!$S$60),"")</f>
        <v/>
      </c>
      <c r="U49" s="54" t="str">
        <f>IF(AND('Mapa final'!$AJ$61="Baja",'Mapa final'!$AL$61="Menor"),CONCATENATE("R2C",'Mapa final'!$S$61),"")</f>
        <v/>
      </c>
      <c r="V49" s="55" t="str">
        <f>IF(AND('Mapa final'!$AJ$62="Baja",'Mapa final'!$AL$62="Menor"),CONCATENATE("R2C",'Mapa final'!$S$62),"")</f>
        <v/>
      </c>
      <c r="W49" s="53" t="str">
        <f>IF(AND('Mapa final'!$AJ$57="Baja",'Mapa final'!$AL$57="Moderado"),CONCATENATE("R2C",'Mapa final'!$S$57),"")</f>
        <v/>
      </c>
      <c r="X49" s="54" t="str">
        <f>IF(AND('Mapa final'!$AJ$58="Baja",'Mapa final'!$AL$58="Moderado"),CONCATENATE("R2C",'Mapa final'!$S$58),"")</f>
        <v/>
      </c>
      <c r="Y49" s="54" t="str">
        <f>IF(AND('Mapa final'!$AJ$59="Baja",'Mapa final'!$AL$59="Moderado"),CONCATENATE("R2C",'Mapa final'!$S$59),"")</f>
        <v/>
      </c>
      <c r="Z49" s="54" t="str">
        <f>IF(AND('Mapa final'!$AJ$60="Baja",'Mapa final'!$AL$60="Moderado"),CONCATENATE("R2C",'Mapa final'!$S$60),"")</f>
        <v/>
      </c>
      <c r="AA49" s="54" t="str">
        <f>IF(AND('Mapa final'!$AJ$61="Baja",'Mapa final'!$AL$61="Moderado"),CONCATENATE("R2C",'Mapa final'!$S$61),"")</f>
        <v/>
      </c>
      <c r="AB49" s="55" t="str">
        <f>IF(AND('Mapa final'!$AJ$62="Baja",'Mapa final'!$AL$62="Moderado"),CONCATENATE("R2C",'Mapa final'!$S$62),"")</f>
        <v/>
      </c>
      <c r="AC49" s="38" t="str">
        <f>IF(AND('Mapa final'!$AJ$57="Baja",'Mapa final'!$AL$57="Mayor"),CONCATENATE("R2C",'Mapa final'!$S$57),"")</f>
        <v/>
      </c>
      <c r="AD49" s="39" t="str">
        <f>IF(AND('Mapa final'!$AJ$58="Baja",'Mapa final'!$AL$58="Mayor"),CONCATENATE("R2C",'Mapa final'!$S$58),"")</f>
        <v/>
      </c>
      <c r="AE49" s="39" t="str">
        <f>IF(AND('Mapa final'!$AJ$59="Baja",'Mapa final'!$AL$59="Mayor"),CONCATENATE("R2C",'Mapa final'!$S$59),"")</f>
        <v/>
      </c>
      <c r="AF49" s="39" t="str">
        <f>IF(AND('Mapa final'!$AJ$60="Baja",'Mapa final'!$AL$60="Mayor"),CONCATENATE("R2C",'Mapa final'!$S$60),"")</f>
        <v/>
      </c>
      <c r="AG49" s="39" t="str">
        <f>IF(AND('Mapa final'!$AJ$61="Baja",'Mapa final'!$AL$61="Mayor"),CONCATENATE("R2C",'Mapa final'!$S$61),"")</f>
        <v/>
      </c>
      <c r="AH49" s="40" t="str">
        <f>IF(AND('Mapa final'!$AJ$62="Baja",'Mapa final'!$AL$62="Mayor"),CONCATENATE("R2C",'Mapa final'!$S$62),"")</f>
        <v/>
      </c>
      <c r="AI49" s="41" t="str">
        <f>IF(AND('Mapa final'!$AJ$57="Baja",'Mapa final'!$AL$57="Catastrófico"),CONCATENATE("R2C",'Mapa final'!$S$57),"")</f>
        <v/>
      </c>
      <c r="AJ49" s="42" t="str">
        <f>IF(AND('Mapa final'!$AJ$58="Baja",'Mapa final'!$AL$58="Catastrófico"),CONCATENATE("R2C",'Mapa final'!$S$58),"")</f>
        <v/>
      </c>
      <c r="AK49" s="42" t="str">
        <f>IF(AND('Mapa final'!$AJ$59="Baja",'Mapa final'!$AL$59="Catastrófico"),CONCATENATE("R2C",'Mapa final'!$S$59),"")</f>
        <v/>
      </c>
      <c r="AL49" s="42" t="str">
        <f>IF(AND('Mapa final'!$AJ$60="Baja",'Mapa final'!$AL$60="Catastrófico"),CONCATENATE("R2C",'Mapa final'!$S$60),"")</f>
        <v/>
      </c>
      <c r="AM49" s="42" t="str">
        <f>IF(AND('Mapa final'!$AJ$61="Baja",'Mapa final'!$AL$61="Catastrófico"),CONCATENATE("R2C",'Mapa final'!$S$61),"")</f>
        <v/>
      </c>
      <c r="AN49" s="43" t="str">
        <f>IF(AND('Mapa final'!$AJ$62="Baja",'Mapa final'!$AL$62="Catastrófico"),CONCATENATE("R2C",'Mapa final'!$S$62),"")</f>
        <v/>
      </c>
      <c r="AO49" s="69"/>
      <c r="AP49" s="492"/>
      <c r="AQ49" s="493"/>
      <c r="AR49" s="493"/>
      <c r="AS49" s="493"/>
      <c r="AT49" s="493"/>
      <c r="AU49" s="494"/>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71"/>
      <c r="D50" s="371"/>
      <c r="E50" s="372"/>
      <c r="F50" s="461"/>
      <c r="G50" s="462"/>
      <c r="H50" s="462"/>
      <c r="I50" s="462"/>
      <c r="J50" s="462"/>
      <c r="K50" s="62" t="str">
        <f>IF(AND('Mapa final'!$AJ$63="Baja",'Mapa final'!$AL$63="Leve"),CONCATENATE("R2C",'Mapa final'!$S$63),"")</f>
        <v/>
      </c>
      <c r="L50" s="63" t="str">
        <f>IF(AND('Mapa final'!$AJ$64="Baja",'Mapa final'!$AL$64="Leve"),CONCATENATE("R2C",'Mapa final'!$S$64),"")</f>
        <v/>
      </c>
      <c r="M50" s="63" t="str">
        <f>IF(AND('Mapa final'!$AJ$65="Baja",'Mapa final'!$AL$65="Leve"),CONCATENATE("R2C",'Mapa final'!$S$65),"")</f>
        <v/>
      </c>
      <c r="N50" s="63" t="str">
        <f>IF(AND('Mapa final'!$AJ$66="Baja",'Mapa final'!$AL$66="Leve"),CONCATENATE("R2C",'Mapa final'!$S$66),"")</f>
        <v/>
      </c>
      <c r="O50" s="63" t="str">
        <f>IF(AND('Mapa final'!$AJ$67="Baja",'Mapa final'!$AL$67="Leve"),CONCATENATE("R2C",'Mapa final'!$S$67),"")</f>
        <v/>
      </c>
      <c r="P50" s="64" t="str">
        <f>IF(AND('Mapa final'!$AJ$68="Baja",'Mapa final'!$AL$68="Leve"),CONCATENATE("R2C",'Mapa final'!$S$68),"")</f>
        <v/>
      </c>
      <c r="Q50" s="53" t="str">
        <f>IF(AND('Mapa final'!$AJ$63="Baja",'Mapa final'!$AL$63="Menor"),CONCATENATE("R2C",'Mapa final'!$S$63),"")</f>
        <v/>
      </c>
      <c r="R50" s="54" t="str">
        <f>IF(AND('Mapa final'!$AJ$64="Baja",'Mapa final'!$AL$64="Menor"),CONCATENATE("R2C",'Mapa final'!$S$64),"")</f>
        <v/>
      </c>
      <c r="S50" s="54" t="str">
        <f>IF(AND('Mapa final'!$AJ$65="Baja",'Mapa final'!$AL$65="Menor"),CONCATENATE("R2C",'Mapa final'!$S$65),"")</f>
        <v/>
      </c>
      <c r="T50" s="54" t="str">
        <f>IF(AND('Mapa final'!$AJ$66="Baja",'Mapa final'!$AL$66="Menor"),CONCATENATE("R2C",'Mapa final'!$S$66),"")</f>
        <v/>
      </c>
      <c r="U50" s="54" t="str">
        <f>IF(AND('Mapa final'!$AJ$67="Baja",'Mapa final'!$AL$67="Menor"),CONCATENATE("R2C",'Mapa final'!$S$67),"")</f>
        <v/>
      </c>
      <c r="V50" s="55" t="str">
        <f>IF(AND('Mapa final'!$AJ$68="Baja",'Mapa final'!$AL$68="Menor"),CONCATENATE("R2C",'Mapa final'!$S$68),"")</f>
        <v/>
      </c>
      <c r="W50" s="53" t="str">
        <f>IF(AND('Mapa final'!$AJ$63="Baja",'Mapa final'!$AL$63="Moderado"),CONCATENATE("R2C",'Mapa final'!$S$63),"")</f>
        <v/>
      </c>
      <c r="X50" s="54" t="str">
        <f>IF(AND('Mapa final'!$AJ$64="Baja",'Mapa final'!$AL$64="Moderado"),CONCATENATE("R2C",'Mapa final'!$S$64),"")</f>
        <v/>
      </c>
      <c r="Y50" s="54" t="str">
        <f>IF(AND('Mapa final'!$AJ$65="Baja",'Mapa final'!$AL$65="Moderado"),CONCATENATE("R2C",'Mapa final'!$S$65),"")</f>
        <v/>
      </c>
      <c r="Z50" s="54" t="str">
        <f>IF(AND('Mapa final'!$AJ$66="Baja",'Mapa final'!$AL$66="Moderado"),CONCATENATE("R2C",'Mapa final'!$S$66),"")</f>
        <v/>
      </c>
      <c r="AA50" s="54" t="str">
        <f>IF(AND('Mapa final'!$AJ$67="Baja",'Mapa final'!$AL$67="Moderado"),CONCATENATE("R2C",'Mapa final'!$S$67),"")</f>
        <v/>
      </c>
      <c r="AB50" s="55" t="str">
        <f>IF(AND('Mapa final'!$AJ$68="Baja",'Mapa final'!$AL$68="Moderado"),CONCATENATE("R2C",'Mapa final'!$S$68),"")</f>
        <v/>
      </c>
      <c r="AC50" s="38" t="str">
        <f>IF(AND('Mapa final'!$AJ$63="Baja",'Mapa final'!$AL$63="Mayor"),CONCATENATE("R2C",'Mapa final'!$S$63),"")</f>
        <v/>
      </c>
      <c r="AD50" s="39" t="str">
        <f>IF(AND('Mapa final'!$AJ$64="Baja",'Mapa final'!$AL$64="Mayor"),CONCATENATE("R2C",'Mapa final'!$S$64),"")</f>
        <v/>
      </c>
      <c r="AE50" s="39" t="str">
        <f>IF(AND('Mapa final'!$AJ$65="Baja",'Mapa final'!$AL$65="Mayor"),CONCATENATE("R2C",'Mapa final'!$S$65),"")</f>
        <v/>
      </c>
      <c r="AF50" s="39" t="str">
        <f>IF(AND('Mapa final'!$AJ$66="Baja",'Mapa final'!$AL$66="Mayor"),CONCATENATE("R2C",'Mapa final'!$S$66),"")</f>
        <v/>
      </c>
      <c r="AG50" s="39" t="str">
        <f>IF(AND('Mapa final'!$AJ$67="Baja",'Mapa final'!$AL$67="Mayor"),CONCATENATE("R2C",'Mapa final'!$S$67),"")</f>
        <v/>
      </c>
      <c r="AH50" s="40" t="str">
        <f>IF(AND('Mapa final'!$AJ$68="Baja",'Mapa final'!$AL$68="Mayor"),CONCATENATE("R2C",'Mapa final'!$S$68),"")</f>
        <v/>
      </c>
      <c r="AI50" s="41" t="str">
        <f>IF(AND('Mapa final'!$AJ$63="Baja",'Mapa final'!$AL$63="Catastrófico"),CONCATENATE("R2C",'Mapa final'!$S$63),"")</f>
        <v/>
      </c>
      <c r="AJ50" s="42" t="str">
        <f>IF(AND('Mapa final'!$AJ$64="Baja",'Mapa final'!$AL$64="Catastrófico"),CONCATENATE("R2C",'Mapa final'!$S$64),"")</f>
        <v/>
      </c>
      <c r="AK50" s="42" t="str">
        <f>IF(AND('Mapa final'!$AJ$65="Baja",'Mapa final'!$AL$65="Catastrófico"),CONCATENATE("R2C",'Mapa final'!$S$65),"")</f>
        <v/>
      </c>
      <c r="AL50" s="42" t="str">
        <f>IF(AND('Mapa final'!$AJ$66="Baja",'Mapa final'!$AL$66="Catastrófico"),CONCATENATE("R2C",'Mapa final'!$S$66),"")</f>
        <v/>
      </c>
      <c r="AM50" s="42" t="str">
        <f>IF(AND('Mapa final'!$AJ$67="Baja",'Mapa final'!$AL$67="Catastrófico"),CONCATENATE("R2C",'Mapa final'!$S$67),"")</f>
        <v/>
      </c>
      <c r="AN50" s="43" t="str">
        <f>IF(AND('Mapa final'!$AJ$68="Baja",'Mapa final'!$AL$68="Catastrófico"),CONCATENATE("R2C",'Mapa final'!$S$68),"")</f>
        <v/>
      </c>
      <c r="AO50" s="69"/>
      <c r="AP50" s="492"/>
      <c r="AQ50" s="493"/>
      <c r="AR50" s="493"/>
      <c r="AS50" s="493"/>
      <c r="AT50" s="493"/>
      <c r="AU50" s="494"/>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71"/>
      <c r="D51" s="371"/>
      <c r="E51" s="372"/>
      <c r="F51" s="464"/>
      <c r="G51" s="465"/>
      <c r="H51" s="465"/>
      <c r="I51" s="465"/>
      <c r="J51" s="465"/>
      <c r="K51" s="65" t="str">
        <f>IF(AND('Mapa final'!$AJ$69="Baja",'Mapa final'!$AL$69="Leve"),CONCATENATE("R2C",'Mapa final'!$S$69),"")</f>
        <v/>
      </c>
      <c r="L51" s="66" t="str">
        <f>IF(AND('Mapa final'!$AJ$70="Baja",'Mapa final'!$AL$70="Leve"),CONCATENATE("R2C",'Mapa final'!$S$70),"")</f>
        <v/>
      </c>
      <c r="M51" s="66" t="str">
        <f>IF(AND('Mapa final'!$AJ$71="Baja",'Mapa final'!$AL$71="Leve"),CONCATENATE("R2C",'Mapa final'!$S$71),"")</f>
        <v/>
      </c>
      <c r="N51" s="66" t="str">
        <f>IF(AND('Mapa final'!$AJ$72="Baja",'Mapa final'!$AL$72="Leve"),CONCATENATE("R2C",'Mapa final'!$S$72),"")</f>
        <v/>
      </c>
      <c r="O51" s="66" t="str">
        <f>IF(AND('Mapa final'!$AJ$74="Baja",'Mapa final'!$AL$74="Leve"),CONCATENATE("R2C",'Mapa final'!$S$74),"")</f>
        <v/>
      </c>
      <c r="P51" s="67" t="str">
        <f>IF(AND('Mapa final'!$AJ$75="Baja",'Mapa final'!$AL$75="Leve"),CONCATENATE("R2C",'Mapa final'!$S$75),"")</f>
        <v/>
      </c>
      <c r="Q51" s="53" t="str">
        <f>IF(AND('Mapa final'!$AJ$69="Baja",'Mapa final'!$AL$69="Menor"),CONCATENATE("R2C",'Mapa final'!$S$69),"")</f>
        <v/>
      </c>
      <c r="R51" s="54" t="str">
        <f>IF(AND('Mapa final'!$AJ$70="Baja",'Mapa final'!$AL$70="Menor"),CONCATENATE("R2C",'Mapa final'!$S$70),"")</f>
        <v/>
      </c>
      <c r="S51" s="54" t="str">
        <f>IF(AND('Mapa final'!$AJ$71="Baja",'Mapa final'!$AL$71="Menor"),CONCATENATE("R2C",'Mapa final'!$S$71),"")</f>
        <v/>
      </c>
      <c r="T51" s="54" t="str">
        <f>IF(AND('Mapa final'!$AJ$72="Baja",'Mapa final'!$AL$72="Menor"),CONCATENATE("R2C",'Mapa final'!$S$72),"")</f>
        <v/>
      </c>
      <c r="U51" s="54" t="str">
        <f>IF(AND('Mapa final'!$AJ$74="Baja",'Mapa final'!$AL$74="Menor"),CONCATENATE("R2C",'Mapa final'!$S$74),"")</f>
        <v/>
      </c>
      <c r="V51" s="55" t="str">
        <f>IF(AND('Mapa final'!$AJ$75="Baja",'Mapa final'!$AL$75="Menor"),CONCATENATE("R2C",'Mapa final'!$S$75),"")</f>
        <v/>
      </c>
      <c r="W51" s="56" t="str">
        <f>IF(AND('Mapa final'!$AJ$69="Baja",'Mapa final'!$AL$69="Moderado"),CONCATENATE("R2C",'Mapa final'!$S$69),"")</f>
        <v/>
      </c>
      <c r="X51" s="57" t="str">
        <f>IF(AND('Mapa final'!$AJ$70="Baja",'Mapa final'!$AL$70="Moderado"),CONCATENATE("R2C",'Mapa final'!$S$70),"")</f>
        <v/>
      </c>
      <c r="Y51" s="57" t="str">
        <f>IF(AND('Mapa final'!$AJ$71="Baja",'Mapa final'!$AL$71="Moderado"),CONCATENATE("R2C",'Mapa final'!$S$71),"")</f>
        <v/>
      </c>
      <c r="Z51" s="57" t="str">
        <f>IF(AND('Mapa final'!$AJ$72="Baja",'Mapa final'!$AL$72="Moderado"),CONCATENATE("R2C",'Mapa final'!$S$72),"")</f>
        <v/>
      </c>
      <c r="AA51" s="57" t="str">
        <f>IF(AND('Mapa final'!$AJ$74="Baja",'Mapa final'!$AL$74="Moderado"),CONCATENATE("R2C",'Mapa final'!$S$74),"")</f>
        <v/>
      </c>
      <c r="AB51" s="58" t="str">
        <f>IF(AND('Mapa final'!$AJ$75="Baja",'Mapa final'!$AL$75="Moderado"),CONCATENATE("R2C",'Mapa final'!$S$75),"")</f>
        <v/>
      </c>
      <c r="AC51" s="44" t="str">
        <f>IF(AND('Mapa final'!$AJ$69="Baja",'Mapa final'!$AL$69="Mayor"),CONCATENATE("R2C",'Mapa final'!$S$69),"")</f>
        <v/>
      </c>
      <c r="AD51" s="45" t="str">
        <f>IF(AND('Mapa final'!$AJ$70="Baja",'Mapa final'!$AL$70="Mayor"),CONCATENATE("R2C",'Mapa final'!$S$70),"")</f>
        <v/>
      </c>
      <c r="AE51" s="45" t="str">
        <f>IF(AND('Mapa final'!$AJ$71="Baja",'Mapa final'!$AL$71="Mayor"),CONCATENATE("R2C",'Mapa final'!$S$71),"")</f>
        <v/>
      </c>
      <c r="AF51" s="45" t="str">
        <f>IF(AND('Mapa final'!$AJ$72="Baja",'Mapa final'!$AL$72="Mayor"),CONCATENATE("R2C",'Mapa final'!$S$72),"")</f>
        <v/>
      </c>
      <c r="AG51" s="45" t="str">
        <f>IF(AND('Mapa final'!$AJ$74="Baja",'Mapa final'!$AL$74="Mayor"),CONCATENATE("R2C",'Mapa final'!$S$74),"")</f>
        <v/>
      </c>
      <c r="AH51" s="46" t="str">
        <f>IF(AND('Mapa final'!$AJ$75="Baja",'Mapa final'!$AL$75="Mayor"),CONCATENATE("R2C",'Mapa final'!$S$75),"")</f>
        <v/>
      </c>
      <c r="AI51" s="47" t="str">
        <f>IF(AND('Mapa final'!$AJ$69="Baja",'Mapa final'!$AL$69="Catastrófico"),CONCATENATE("R2C",'Mapa final'!$S$69),"")</f>
        <v/>
      </c>
      <c r="AJ51" s="48" t="str">
        <f>IF(AND('Mapa final'!$AJ$70="Baja",'Mapa final'!$AL$70="Catastrófico"),CONCATENATE("R2C",'Mapa final'!$S$70),"")</f>
        <v/>
      </c>
      <c r="AK51" s="48" t="str">
        <f>IF(AND('Mapa final'!$AJ$71="Baja",'Mapa final'!$AL$71="Catastrófico"),CONCATENATE("R2C",'Mapa final'!$S$71),"")</f>
        <v/>
      </c>
      <c r="AL51" s="48" t="str">
        <f>IF(AND('Mapa final'!$AJ$72="Baja",'Mapa final'!$AL$72="Catastrófico"),CONCATENATE("R2C",'Mapa final'!$S$72),"")</f>
        <v/>
      </c>
      <c r="AM51" s="48" t="str">
        <f>IF(AND('Mapa final'!$AJ$74="Baja",'Mapa final'!$AL$74="Catastrófico"),CONCATENATE("R2C",'Mapa final'!$S$74),"")</f>
        <v/>
      </c>
      <c r="AN51" s="49" t="str">
        <f>IF(AND('Mapa final'!$AJ$75="Baja",'Mapa final'!$AL$75="Catastrófico"),CONCATENATE("R2C",'Mapa final'!$S$75),"")</f>
        <v/>
      </c>
      <c r="AO51" s="69"/>
      <c r="AP51" s="495"/>
      <c r="AQ51" s="496"/>
      <c r="AR51" s="496"/>
      <c r="AS51" s="496"/>
      <c r="AT51" s="496"/>
      <c r="AU51" s="497"/>
    </row>
    <row r="52" spans="2:81" ht="41.25" customHeight="1" x14ac:dyDescent="0.35">
      <c r="B52" s="69"/>
      <c r="C52" s="371"/>
      <c r="D52" s="371"/>
      <c r="E52" s="372"/>
      <c r="F52" s="458" t="s">
        <v>112</v>
      </c>
      <c r="G52" s="459"/>
      <c r="H52" s="459"/>
      <c r="I52" s="459"/>
      <c r="J52" s="460"/>
      <c r="K52" s="59" t="str">
        <f>IF(AND('Mapa final'!$AJ$15="Muy Baja",'Mapa final'!$AL$15="Leve"),CONCATENATE("R2C",'Mapa final'!$S$15),"")</f>
        <v/>
      </c>
      <c r="L52" s="60" t="str">
        <f>IF(AND('Mapa final'!$AJ$16="Muy Baja",'Mapa final'!$AL$16="Leve"),CONCATENATE("R2C",'Mapa final'!$D$16),"")</f>
        <v/>
      </c>
      <c r="M52" s="60" t="str">
        <f>IF(AND('Mapa final'!$AJ$17="Muy Baja",'Mapa final'!$AL$17="Leve"),CONCATENATE("R2C",'Mapa final'!$D$17),"")</f>
        <v/>
      </c>
      <c r="N52" s="60" t="str">
        <f>IF(AND('Mapa final'!$AJ$18="Muy Baja",'Mapa final'!$AL$18="Leve"),CONCATENATE("R2C",'Mapa final'!$S$18),"")</f>
        <v/>
      </c>
      <c r="O52" s="60" t="str">
        <f>IF(AND('Mapa final'!$AJ$19="Muy Baja",'Mapa final'!$AL$19="Leve"),CONCATENATE("R2C",'Mapa final'!$S$19),"")</f>
        <v/>
      </c>
      <c r="P52" s="61" t="str">
        <f>IF(AND('Mapa final'!$AJ$20="Muy Baja",'Mapa final'!$AL$20="Leve"),CONCATENATE("R2C",'Mapa final'!$S$20),"")</f>
        <v/>
      </c>
      <c r="Q52" s="59" t="str">
        <f>IF(AND('Mapa final'!$AJ$15="Muy Baja",'Mapa final'!$AL$15="Menor"),CONCATENATE("R2C",'Mapa final'!$S$15),"")</f>
        <v/>
      </c>
      <c r="R52" s="60" t="str">
        <f>IF(AND('Mapa final'!$AJ$16="Muy Baja",'Mapa final'!$AL$16="Menore"),CONCATENATE("R2C",'Mapa final'!$S$16),"")</f>
        <v/>
      </c>
      <c r="S52" s="60" t="str">
        <f>IF(AND('Mapa final'!$AJ$17="Muy Baja",'Mapa final'!$AL$17="Menor"),CONCATENATE("R2C",'Mapa final'!$D$17),"")</f>
        <v/>
      </c>
      <c r="T52" s="60" t="str">
        <f>IF(AND('Mapa final'!$AJ$18="Muy Baja",'Mapa final'!$AL$18="Menor"),CONCATENATE("R2C",'Mapa final'!$S$18),"")</f>
        <v/>
      </c>
      <c r="U52" s="60" t="str">
        <f>IF(AND('Mapa final'!$AJ$19="Muy Baja",'Mapa final'!$AL$19="Menor"),CONCATENATE("R2C",'Mapa final'!$S$19),"")</f>
        <v/>
      </c>
      <c r="V52" s="61" t="str">
        <f>IF(AND('Mapa final'!$AJ$20="Muy Baja",'Mapa final'!$AL$20="Menor"),CONCATENATE("R2C",'Mapa final'!$S$20),"")</f>
        <v/>
      </c>
      <c r="W52" s="50" t="str">
        <f>IF(AND('Mapa final'!$AJ$15="Muy Baja",'Mapa final'!$AL$15="Moderado"),CONCATENATE("R2C",'Mapa final'!$S$15),"")</f>
        <v/>
      </c>
      <c r="X52" s="68" t="str">
        <f>IF(AND('Mapa final'!$AJ$16="Muy Baja",'Mapa final'!$AL$16="Moderado"),CONCATENATE("R2C",'Mapa final'!$S$16),"")</f>
        <v/>
      </c>
      <c r="Y52" s="51"/>
      <c r="Z52" s="51" t="str">
        <f>IF(AND('Mapa final'!$AJ$18="Muy Baja",'Mapa final'!$AL$18="Moderado"),CONCATENATE("R2C",'Mapa final'!$S$18),"")</f>
        <v/>
      </c>
      <c r="AA52" s="51" t="str">
        <f>IF(AND('Mapa final'!$AJ$19="Muy Baja",'Mapa final'!$AL$19="Moderado"),CONCATENATE("R2C",'Mapa final'!$S$19),"")</f>
        <v/>
      </c>
      <c r="AB52" s="52" t="str">
        <f>IF(AND('Mapa final'!$AJ$20="Muy Baja",'Mapa final'!$AL$20="Moderado"),CONCATENATE("R2C",'Mapa final'!$S$20),"")</f>
        <v/>
      </c>
      <c r="AC52" s="32" t="str">
        <f>IF(AND('Mapa final'!$AJ$15="Muy Baja",'Mapa final'!$AL$15="Mayor"),CONCATENATE("R2C",'Mapa final'!$S$15),"")</f>
        <v/>
      </c>
      <c r="AD52" s="33" t="str">
        <f>IF(AND('Mapa final'!$AJ$16="Muy Baja",'Mapa final'!$AL$16="Mayor"),CONCATENATE("R2C",'Mapa final'!$S$16),"")</f>
        <v/>
      </c>
      <c r="AE52" s="33" t="str">
        <f>IF(AND('Mapa final'!$AJ$17="Muy Baja",'Mapa final'!$AL$17="Mayor"),CONCATENATE("R2C",'Mapa final'!$S$17),"")</f>
        <v/>
      </c>
      <c r="AF52" s="33" t="str">
        <f>IF(AND('Mapa final'!$AJ$18="Muy Baja",'Mapa final'!$AL$18="Mayor"),CONCATENATE("R2C",'Mapa final'!$S$18),"")</f>
        <v/>
      </c>
      <c r="AG52" s="33" t="str">
        <f>IF(AND('Mapa final'!$AJ$19="Muy Baja",'Mapa final'!$AL$19="Mayor"),CONCATENATE("R2C",'Mapa final'!$S$19),"")</f>
        <v/>
      </c>
      <c r="AH52" s="34" t="str">
        <f>IF(AND('Mapa final'!$AJ$20="Muy Baja",'Mapa final'!$AL$20="Mayor"),CONCATENATE("R2C",'Mapa final'!$S$20),"")</f>
        <v/>
      </c>
      <c r="AI52" s="35" t="str">
        <f>IF(AND('Mapa final'!$AJ$15="Muy Baja",'Mapa final'!$AL$15="Catastrófico"),CONCATENATE("R2C",'Mapa final'!$S$15),"")</f>
        <v/>
      </c>
      <c r="AJ52" s="36" t="str">
        <f>IF(AND('Mapa final'!$AJ$16="Muy Baja",'Mapa final'!$AL$16="Catastrófico"),CONCATENATE("R2C",'Mapa final'!$S$16),"")</f>
        <v/>
      </c>
      <c r="AK52" s="36" t="str">
        <f>IF(AND('Mapa final'!$AJ$17="Muy Baja",'Mapa final'!$AL$17="Catastrófico"),CONCATENATE("R2C",'Mapa final'!$S$17),"")</f>
        <v/>
      </c>
      <c r="AL52" s="36" t="str">
        <f>IF(AND('Mapa final'!$AJ$18="Muy Baja",'Mapa final'!$AL$18="Catastrófico"),CONCATENATE("R2C",'Mapa final'!$S$18),"")</f>
        <v/>
      </c>
      <c r="AM52" s="36" t="str">
        <f>IF(AND('Mapa final'!$AJ$19="Muy Baja",'Mapa final'!$AL$19="Catastrófico"),CONCATENATE("R2C",'Mapa final'!$S$19),"")</f>
        <v/>
      </c>
      <c r="AN52" s="37" t="str">
        <f>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71"/>
      <c r="D53" s="371"/>
      <c r="E53" s="372"/>
      <c r="F53" s="476"/>
      <c r="G53" s="462"/>
      <c r="H53" s="462"/>
      <c r="I53" s="462"/>
      <c r="J53" s="463"/>
      <c r="K53" s="62" t="str">
        <f>IF(AND('Mapa final'!$AJ$21="Muy Baja",'Mapa final'!$AL$21="Leve"),CONCATENATE("R2C",'Mapa final'!$S$21),"")</f>
        <v/>
      </c>
      <c r="L53" s="63" t="str">
        <f>IF(AND('Mapa final'!$AJ$22="Muy Baja",'Mapa final'!$AL$22="Leve"),CONCATENATE("R2C",'Mapa final'!$S$22),"")</f>
        <v/>
      </c>
      <c r="M53" s="63" t="str">
        <f>IF(AND('Mapa final'!$AJ$23="Muy Baja",'Mapa final'!$AL$23="Leve"),CONCATENATE("R2C",'Mapa final'!$S$23),"")</f>
        <v/>
      </c>
      <c r="N53" s="63" t="str">
        <f>IF(AND('Mapa final'!$AJ$24="Muy Baja",'Mapa final'!$AL$24="Leve"),CONCATENATE("R2C",'Mapa final'!$S$24),"")</f>
        <v/>
      </c>
      <c r="O53" s="63" t="str">
        <f>IF(AND('Mapa final'!$AJ$25="Muy Baja",'Mapa final'!$AL$25="Leve"),CONCATENATE("R2C",'Mapa final'!$S$25),"")</f>
        <v/>
      </c>
      <c r="P53" s="64" t="str">
        <f>IF(AND('Mapa final'!$AJ$26="Muy Baja",'Mapa final'!$AL$26="Leve"),CONCATENATE("R2C",'Mapa final'!$S$26),"")</f>
        <v/>
      </c>
      <c r="Q53" s="62" t="str">
        <f>IF(AND('Mapa final'!$AJ$21="Muy Baja",'Mapa final'!$AL$21="Menor"),CONCATENATE("R2C",'Mapa final'!$S$21),"")</f>
        <v/>
      </c>
      <c r="R53" s="63" t="str">
        <f>IF(AND('Mapa final'!$AJ$22="Muy Baja",'Mapa final'!$AL$22="Menor"),CONCATENATE("R2C",'Mapa final'!$S$22),"")</f>
        <v/>
      </c>
      <c r="S53" s="63" t="str">
        <f>IF(AND('Mapa final'!$AJ$23="Muy Baja",'Mapa final'!$AL$23="Menor"),CONCATENATE("R2C",'Mapa final'!$S$23),"")</f>
        <v/>
      </c>
      <c r="T53" s="63" t="str">
        <f>IF(AND('Mapa final'!$AJ$24="Muy Baja",'Mapa final'!$AL$24="Menor"),CONCATENATE("R2C",'Mapa final'!$S$24),"")</f>
        <v/>
      </c>
      <c r="U53" s="63" t="str">
        <f>IF(AND('Mapa final'!$AJ$25="Muy Baja",'Mapa final'!$AL$25="Menor"),CONCATENATE("R2C",'Mapa final'!$S$25),"")</f>
        <v/>
      </c>
      <c r="V53" s="64" t="str">
        <f>IF(AND('Mapa final'!$AJ$26="Muy Baja",'Mapa final'!$AL$26="Menor"),CONCATENATE("R2C",'Mapa final'!$S$26),"")</f>
        <v/>
      </c>
      <c r="W53" s="53" t="str">
        <f>IF(AND('Mapa final'!$AJ$21="Muy Baja",'Mapa final'!$AL$21="Moderado"),CONCATENATE("R2C",'Mapa final'!$S$21),"")</f>
        <v/>
      </c>
      <c r="X53" s="54" t="str">
        <f>IF(AND('Mapa final'!$AJ$22="Muy Baja",'Mapa final'!$AL$22="Moderado"),CONCATENATE("R2C",'Mapa final'!$S$22),"")</f>
        <v/>
      </c>
      <c r="Y53" s="54" t="str">
        <f>IF(AND('Mapa final'!$AJ$23="Muy Baja",'Mapa final'!$AL$23="Moderado"),CONCATENATE("R2C",'Mapa final'!$S$23),"")</f>
        <v/>
      </c>
      <c r="Z53" s="54" t="str">
        <f>IF(AND('Mapa final'!$AJ$24="Muy Baja",'Mapa final'!$AL$24="Moderado"),CONCATENATE("R2C",'Mapa final'!$S$24),"")</f>
        <v/>
      </c>
      <c r="AA53" s="54" t="str">
        <f>IF(AND('Mapa final'!$AJ$25="Muy Baja",'Mapa final'!$AL$25="Moderado"),CONCATENATE("R2C",'Mapa final'!$S$25),"")</f>
        <v/>
      </c>
      <c r="AB53" s="55" t="str">
        <f>IF(AND('Mapa final'!$AJ$26="Muy Baja",'Mapa final'!$AL$26="Moderado"),CONCATENATE("R2C",'Mapa final'!$S$26),"")</f>
        <v/>
      </c>
      <c r="AC53" s="38" t="str">
        <f>IF(AND('Mapa final'!$AJ$21="Muy Baja",'Mapa final'!$AL$21="Mayor"),CONCATENATE("R2C",'Mapa final'!$S$21),"")</f>
        <v/>
      </c>
      <c r="AD53" s="39" t="str">
        <f>IF(AND('Mapa final'!$AJ$22="Muy Baja",'Mapa final'!$AL$22="Mayor"),CONCATENATE("R2C",'Mapa final'!$S$22),"")</f>
        <v/>
      </c>
      <c r="AE53" s="39" t="str">
        <f>IF(AND('Mapa final'!$AJ$23="Muy Baja",'Mapa final'!$AL$23="Mayor"),CONCATENATE("R2C",'Mapa final'!$S$23),"")</f>
        <v/>
      </c>
      <c r="AF53" s="39" t="str">
        <f>IF(AND('Mapa final'!$AJ$24="Muy Baja",'Mapa final'!$AL$24="Mayor"),CONCATENATE("R2C",'Mapa final'!$S$24),"")</f>
        <v/>
      </c>
      <c r="AG53" s="39" t="str">
        <f>IF(AND('Mapa final'!$AJ$25="Muy Baja",'Mapa final'!$AL$25="Mayor"),CONCATENATE("R2C",'Mapa final'!$S$25),"")</f>
        <v/>
      </c>
      <c r="AH53" s="40" t="str">
        <f>IF(AND('Mapa final'!$AJ$26="Muy Baja",'Mapa final'!$AL$26="Mayor"),CONCATENATE("R2C",'Mapa final'!$S$26),"")</f>
        <v/>
      </c>
      <c r="AI53" s="41" t="str">
        <f>IF(AND('Mapa final'!$AJ$21="Muy Baja",'Mapa final'!$AL$21="Catastrófico"),CONCATENATE("R2C",'Mapa final'!$S$21),"")</f>
        <v/>
      </c>
      <c r="AJ53" s="42" t="str">
        <f>IF(AND('Mapa final'!$AJ$22="Muy Baja",'Mapa final'!$AL$22="Catastrófico"),CONCATENATE("R2C",'Mapa final'!$S$22),"")</f>
        <v/>
      </c>
      <c r="AK53" s="42" t="str">
        <f>IF(AND('Mapa final'!$AJ$23="Muy Baja",'Mapa final'!$AL$23="Catastrófico"),CONCATENATE("R2C",'Mapa final'!$S$23),"")</f>
        <v/>
      </c>
      <c r="AL53" s="42" t="str">
        <f>IF(AND('Mapa final'!$AJ$24="Muy Baja",'Mapa final'!$AL$24="Catastrófico"),CONCATENATE("R2C",'Mapa final'!$S$24),"")</f>
        <v/>
      </c>
      <c r="AM53" s="42" t="str">
        <f>IF(AND('Mapa final'!$AJ$25="Muy Baja",'Mapa final'!$AL$25="Catastrófico"),CONCATENATE("R2C",'Mapa final'!$S$25),"")</f>
        <v/>
      </c>
      <c r="AN53" s="43" t="str">
        <f>IF(AND('Mapa final'!$AJ$26="Muy Baja",'Mapa final'!$AL$26="Catastrófico"),CONCATENATE("R2C",'Mapa final'!$S$26),"")</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71"/>
      <c r="D54" s="371"/>
      <c r="E54" s="372"/>
      <c r="F54" s="476"/>
      <c r="G54" s="462"/>
      <c r="H54" s="462"/>
      <c r="I54" s="462"/>
      <c r="J54" s="463"/>
      <c r="K54" s="62" t="str">
        <f>IF(AND('Mapa final'!$AJ$27="Muy Baja",'Mapa final'!$AL$27="Leve"),CONCATENATE("R2C",'Mapa final'!$S$27),"")</f>
        <v/>
      </c>
      <c r="L54" s="63" t="str">
        <f>IF(AND('Mapa final'!$AJ$28="Muy Baja",'Mapa final'!$AL$28="Leve"),CONCATENATE("R2C",'Mapa final'!$S$28),"")</f>
        <v/>
      </c>
      <c r="M54" s="63" t="str">
        <f>IF(AND('Mapa final'!$AJ$29="Muy Baja",'Mapa final'!$AL$29="Leve"),CONCATENATE("R2C",'Mapa final'!$S$29),"")</f>
        <v/>
      </c>
      <c r="N54" s="63" t="str">
        <f>IF(AND('Mapa final'!$AJ$30="Muy Baja",'Mapa final'!$AL$30="Leve"),CONCATENATE("R2C",'Mapa final'!$S$30),"")</f>
        <v/>
      </c>
      <c r="O54" s="63" t="str">
        <f>IF(AND('Mapa final'!$AJ$31="Muy Baja",'Mapa final'!$AL$31="Leve"),CONCATENATE("R2C",'Mapa final'!$S$31),"")</f>
        <v/>
      </c>
      <c r="P54" s="64" t="str">
        <f>IF(AND('Mapa final'!$AJ$32="Muy Baja",'Mapa final'!$AL$32="Leve"),CONCATENATE("R2C",'Mapa final'!$S$32),"")</f>
        <v/>
      </c>
      <c r="Q54" s="62" t="str">
        <f>IF(AND('Mapa final'!$AJ$27="Muy Baja",'Mapa final'!$AL$27="Menor"),CONCATENATE("R2C",'Mapa final'!$S$27),"")</f>
        <v/>
      </c>
      <c r="R54" s="63" t="str">
        <f>IF(AND('Mapa final'!$AJ$28="Muy Baja",'Mapa final'!$AL$28="Menor"),CONCATENATE("R2C",'Mapa final'!$S$28),"")</f>
        <v/>
      </c>
      <c r="S54" s="63" t="str">
        <f>IF(AND('Mapa final'!$AJ$29="Muy Baja",'Mapa final'!$AL$29="Menor"),CONCATENATE("R2C",'Mapa final'!$S$29),"")</f>
        <v/>
      </c>
      <c r="T54" s="63" t="str">
        <f>IF(AND('Mapa final'!$AJ$30="Muy Baja",'Mapa final'!$AL$30="Menor"),CONCATENATE("R2C",'Mapa final'!$S$30),"")</f>
        <v/>
      </c>
      <c r="U54" s="63" t="str">
        <f>IF(AND('Mapa final'!$AJ$31="Muy Baja",'Mapa final'!$AL$31="Menor"),CONCATENATE("R2C",'Mapa final'!$S$31),"")</f>
        <v/>
      </c>
      <c r="V54" s="64" t="str">
        <f>IF(AND('Mapa final'!$AJ$32="Muy Baja",'Mapa final'!$AL$32="Menor"),CONCATENATE("R2C",'Mapa final'!$S$32),"")</f>
        <v/>
      </c>
      <c r="W54" s="53" t="str">
        <f>IF(AND('Mapa final'!$AJ$27="Muy Baja",'Mapa final'!$AL$27="Moderado"),CONCATENATE("R2C",'Mapa final'!$S$27),"")</f>
        <v/>
      </c>
      <c r="X54" s="54" t="str">
        <f>IF(AND('Mapa final'!$AJ$28="Muy Baja",'Mapa final'!$AL$28="Moderado"),CONCATENATE("R2C",'Mapa final'!$S$28),"")</f>
        <v/>
      </c>
      <c r="Y54" s="54" t="str">
        <f>IF(AND('Mapa final'!$AJ$29="Muy Baja",'Mapa final'!$AL$29="Moderado"),CONCATENATE("R2C",'Mapa final'!$S$29),"")</f>
        <v/>
      </c>
      <c r="Z54" s="54" t="str">
        <f>IF(AND('Mapa final'!$AJ$30="Muy Baja",'Mapa final'!$AL$30="Moderado"),CONCATENATE("R2C",'Mapa final'!$S$30),"")</f>
        <v/>
      </c>
      <c r="AA54" s="54" t="str">
        <f>IF(AND('Mapa final'!$AJ$31="Muy Baja",'Mapa final'!$AL$31="Moderado"),CONCATENATE("R2C",'Mapa final'!$S$31),"")</f>
        <v/>
      </c>
      <c r="AB54" s="55" t="str">
        <f>IF(AND('Mapa final'!$AJ$32="Muy Baja",'Mapa final'!$AL$32="Moderado"),CONCATENATE("R2C",'Mapa final'!$S$32),"")</f>
        <v/>
      </c>
      <c r="AC54" s="38" t="str">
        <f>IF(AND('Mapa final'!$AJ$27="Muy Baja",'Mapa final'!$AL$27="Mayor"),CONCATENATE("R2C",'Mapa final'!$S$27),"")</f>
        <v/>
      </c>
      <c r="AD54" s="39" t="str">
        <f>IF(AND('Mapa final'!$AJ$28="Muy Baja",'Mapa final'!$AL$28="Mayor"),CONCATENATE("R2C",'Mapa final'!$S$28),"")</f>
        <v/>
      </c>
      <c r="AE54" s="39" t="str">
        <f>IF(AND('Mapa final'!$AJ$29="Muy Baja",'Mapa final'!$AL$29="Mayor"),CONCATENATE("R2C",'Mapa final'!$S$29),"")</f>
        <v/>
      </c>
      <c r="AF54" s="39" t="str">
        <f>IF(AND('Mapa final'!$AJ$30="Muy Baja",'Mapa final'!$AL$30="Mayor"),CONCATENATE("R2C",'Mapa final'!$S$30),"")</f>
        <v/>
      </c>
      <c r="AG54" s="39" t="str">
        <f>IF(AND('Mapa final'!$AJ$31="Muy Baja",'Mapa final'!$AL$31="Mayor"),CONCATENATE("R2C",'Mapa final'!$S$31),"")</f>
        <v/>
      </c>
      <c r="AH54" s="40" t="str">
        <f>IF(AND('Mapa final'!$AJ$32="Muy Baja",'Mapa final'!$AL$32="Mayor"),CONCATENATE("R2C",'Mapa final'!$S$32),"")</f>
        <v/>
      </c>
      <c r="AI54" s="41" t="str">
        <f>IF(AND('Mapa final'!$AJ$27="Muy Baja",'Mapa final'!$AL$27="Catastrófico"),CONCATENATE("R2C",'Mapa final'!$S$27),"")</f>
        <v/>
      </c>
      <c r="AJ54" s="42" t="str">
        <f>IF(AND('Mapa final'!$AJ$28="Muy Baja",'Mapa final'!$AL$28="Catastrófico"),CONCATENATE("R2C",'Mapa final'!$S$28),"")</f>
        <v/>
      </c>
      <c r="AK54" s="42" t="str">
        <f>IF(AND('Mapa final'!$AJ$29="Muy Baja",'Mapa final'!$AL$29="Catastrófico"),CONCATENATE("R2C",'Mapa final'!$S$29),"")</f>
        <v/>
      </c>
      <c r="AL54" s="42" t="str">
        <f>IF(AND('Mapa final'!$AJ$30="Muy Baja",'Mapa final'!$AL$30="Catastrófico"),CONCATENATE("R2C",'Mapa final'!$S$30),"")</f>
        <v/>
      </c>
      <c r="AM54" s="42" t="str">
        <f>IF(AND('Mapa final'!$AJ$31="Muy Baja",'Mapa final'!$AL$31="Catastrófico"),CONCATENATE("R2C",'Mapa final'!$S$31),"")</f>
        <v/>
      </c>
      <c r="AN54" s="43" t="str">
        <f>IF(AND('Mapa final'!$AJ$32="Muy Baja",'Mapa final'!$AL$32="Catastrófico"),CONCATENATE("R2C",'Mapa final'!$S$32),"")</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71"/>
      <c r="D55" s="371"/>
      <c r="E55" s="372"/>
      <c r="F55" s="461"/>
      <c r="G55" s="462"/>
      <c r="H55" s="462"/>
      <c r="I55" s="462"/>
      <c r="J55" s="463"/>
      <c r="K55" s="62" t="str">
        <f>IF(AND('Mapa final'!$AJ$33="Muy Baja",'Mapa final'!$AL$33="Leve"),CONCATENATE("R2C",'Mapa final'!$S$33),"")</f>
        <v/>
      </c>
      <c r="L55" s="63" t="str">
        <f>IF(AND('Mapa final'!$AJ$34="Muy Baja",'Mapa final'!$AL$34="Leve"),CONCATENATE("R2C",'Mapa final'!$S$34),"")</f>
        <v/>
      </c>
      <c r="M55" s="63" t="str">
        <f>IF(AND('Mapa final'!$AJ$35="Muy Baja",'Mapa final'!$AL$35="Leve"),CONCATENATE("R2C",'Mapa final'!$S$35),"")</f>
        <v/>
      </c>
      <c r="N55" s="63" t="str">
        <f>IF(AND('Mapa final'!$AJ$36="Muy Baja",'Mapa final'!$AL$36="Leve"),CONCATENATE("R2C",'Mapa final'!$S$36),"")</f>
        <v/>
      </c>
      <c r="O55" s="63" t="str">
        <f>IF(AND('Mapa final'!$AJ$37="Muy Baja",'Mapa final'!$AL$37="Leve"),CONCATENATE("R2C",'Mapa final'!$S$37),"")</f>
        <v/>
      </c>
      <c r="P55" s="64" t="str">
        <f>IF(AND('Mapa final'!$AJ$38="Muy Baja",'Mapa final'!$AL$38="Leve"),CONCATENATE("R2C",'Mapa final'!$S$38),"")</f>
        <v/>
      </c>
      <c r="Q55" s="62" t="str">
        <f>IF(AND('Mapa final'!$AJ$33="Muy Baja",'Mapa final'!$AL$33="Menor"),CONCATENATE("R2C",'Mapa final'!$S$33),"")</f>
        <v/>
      </c>
      <c r="R55" s="63" t="str">
        <f>IF(AND('Mapa final'!$AJ$34="Muy Baja",'Mapa final'!$AL$34="Menor"),CONCATENATE("R2C",'Mapa final'!$S$34),"")</f>
        <v/>
      </c>
      <c r="S55" s="63" t="str">
        <f>IF(AND('Mapa final'!$AJ$35="Muy Baja",'Mapa final'!$AL$35="Menor"),CONCATENATE("R2C",'Mapa final'!$S$35),"")</f>
        <v/>
      </c>
      <c r="T55" s="63" t="str">
        <f>IF(AND('Mapa final'!$AJ$36="Muy Baja",'Mapa final'!$AL$36="Menor"),CONCATENATE("R2C",'Mapa final'!$S$36),"")</f>
        <v/>
      </c>
      <c r="U55" s="63" t="str">
        <f>IF(AND('Mapa final'!$AJ$37="Muy Baja",'Mapa final'!$AL$37="LMenor"),CONCATENATE("R2C",'Mapa final'!$S$37),"")</f>
        <v/>
      </c>
      <c r="V55" s="64" t="str">
        <f>IF(AND('Mapa final'!$AJ$38="Muy Baja",'Mapa final'!$AL$38="Menor"),CONCATENATE("R2C",'Mapa final'!$S$38),"")</f>
        <v/>
      </c>
      <c r="W55" s="53" t="str">
        <f>IF(AND('Mapa final'!$AJ$33="Muy Baja",'Mapa final'!$AL$33="Moderado"),CONCATENATE("R2C",'Mapa final'!$S$33),"")</f>
        <v/>
      </c>
      <c r="X55" s="54" t="str">
        <f>IF(AND('Mapa final'!$AJ$34="Muy Baja",'Mapa final'!$AL$34="Moderado"),CONCATENATE("R2C",'Mapa final'!$S$34),"")</f>
        <v/>
      </c>
      <c r="Y55" s="54" t="str">
        <f>IF(AND('Mapa final'!$AJ$35="Muy Baja",'Mapa final'!$AL$35="Moderado"),CONCATENATE("R2C",'Mapa final'!$S$35),"")</f>
        <v/>
      </c>
      <c r="Z55" s="54" t="str">
        <f>IF(AND('Mapa final'!$AJ$36="Muy Baja",'Mapa final'!$AL$36="Moderado"),CONCATENATE("R2C",'Mapa final'!$S$36),"")</f>
        <v/>
      </c>
      <c r="AA55" s="54" t="str">
        <f>IF(AND('Mapa final'!$AJ$37="Muy Baja",'Mapa final'!$AL$37="Moderado"),CONCATENATE("R2C",'Mapa final'!$S$37),"")</f>
        <v/>
      </c>
      <c r="AB55" s="55" t="str">
        <f>IF(AND('Mapa final'!$AJ$38="Muy Baja",'Mapa final'!$AL$38="Moderado"),CONCATENATE("R2C",'Mapa final'!$S$38),"")</f>
        <v/>
      </c>
      <c r="AC55" s="38" t="str">
        <f>IF(AND('Mapa final'!$AJ$33="Muy Baja",'Mapa final'!$AL$33="Mayor"),CONCATENATE("R2C",'Mapa final'!$S$33),"")</f>
        <v/>
      </c>
      <c r="AD55" s="39" t="str">
        <f>IF(AND('Mapa final'!$AJ$34="Muy Baja",'Mapa final'!$AL$34="Mayor"),CONCATENATE("R2C",'Mapa final'!$S$34),"")</f>
        <v/>
      </c>
      <c r="AE55" s="39" t="str">
        <f>IF(AND('Mapa final'!$AJ$35="Muy Baja",'Mapa final'!$AL$35="Mayor"),CONCATENATE("R2C",'Mapa final'!$S$35),"")</f>
        <v/>
      </c>
      <c r="AF55" s="39" t="str">
        <f>IF(AND('Mapa final'!$AJ$36="Muy Baja",'Mapa final'!$AL$36="Mayor"),CONCATENATE("R2C",'Mapa final'!$S$36),"")</f>
        <v/>
      </c>
      <c r="AG55" s="39" t="str">
        <f>IF(AND('Mapa final'!$AJ$37="Muy Baja",'Mapa final'!$AL$37="Mayor"),CONCATENATE("R2C",'Mapa final'!$S$37),"")</f>
        <v/>
      </c>
      <c r="AH55" s="40" t="str">
        <f>IF(AND('Mapa final'!$AJ$38="Muy Baja",'Mapa final'!$AL$38="Mayor"),CONCATENATE("R2C",'Mapa final'!$S$38),"")</f>
        <v/>
      </c>
      <c r="AI55" s="41" t="str">
        <f>IF(AND('Mapa final'!$AJ$33="Muy Baja",'Mapa final'!$AL$33="Catastrófico"),CONCATENATE("R2C",'Mapa final'!$S$33),"")</f>
        <v/>
      </c>
      <c r="AJ55" s="42" t="str">
        <f>IF(AND('Mapa final'!$AJ$34="Muy Baja",'Mapa final'!$AL$34="Catastrófico"),CONCATENATE("R2C",'Mapa final'!$S$34),"")</f>
        <v/>
      </c>
      <c r="AK55" s="42" t="str">
        <f>IF(AND('Mapa final'!$AJ$35="Muy Baja",'Mapa final'!$AL$35="Catastrófico"),CONCATENATE("R2C",'Mapa final'!$S$35),"")</f>
        <v/>
      </c>
      <c r="AL55" s="42" t="str">
        <f>IF(AND('Mapa final'!$AJ$36="Muy Baja",'Mapa final'!$AL$36="Catastrófico"),CONCATENATE("R2C",'Mapa final'!$S$36),"")</f>
        <v/>
      </c>
      <c r="AM55" s="42" t="str">
        <f>IF(AND('Mapa final'!$AJ$37="Muy Baja",'Mapa final'!$AL$37="LCatastrófico"),CONCATENATE("R2C",'Mapa final'!$S$37),"")</f>
        <v/>
      </c>
      <c r="AN55" s="43" t="str">
        <f>IF(AND('Mapa final'!$AJ$38="Muy Baja",'Mapa final'!$AL$38="Catastrófico"),CONCATENATE("R2C",'Mapa final'!$S$38),"")</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71"/>
      <c r="D56" s="371"/>
      <c r="E56" s="372"/>
      <c r="F56" s="461"/>
      <c r="G56" s="462"/>
      <c r="H56" s="462"/>
      <c r="I56" s="462"/>
      <c r="J56" s="463"/>
      <c r="K56" s="62" t="str">
        <f>IF(AND('Mapa final'!$AJ$39="Muy Baja",'Mapa final'!$AL$39="Leve"),CONCATENATE("R2C",'Mapa final'!$S$39),"")</f>
        <v/>
      </c>
      <c r="L56" s="63" t="str">
        <f>IF(AND('Mapa final'!$AJ$40="Muy Baja",'Mapa final'!$AL$40="Leve"),CONCATENATE("R2C",'Mapa final'!$S$40),"")</f>
        <v/>
      </c>
      <c r="M56" s="63" t="str">
        <f>IF(AND('Mapa final'!$AJ$41="Muy Baja",'Mapa final'!$AL$41="Leve"),CONCATENATE("R2C",'Mapa final'!$S$41),"")</f>
        <v/>
      </c>
      <c r="N56" s="63" t="str">
        <f>IF(AND('Mapa final'!$AJ$42="Muy Baja",'Mapa final'!$AL$42="Leve"),CONCATENATE("R2C",'Mapa final'!$S$42),"")</f>
        <v/>
      </c>
      <c r="O56" s="63" t="str">
        <f>IF(AND('Mapa final'!$AJ$43="Muy Baja",'Mapa final'!$AL$43="Leve"),CONCATENATE("R2C",'Mapa final'!$S$43),"")</f>
        <v/>
      </c>
      <c r="P56" s="64" t="str">
        <f>IF(AND('Mapa final'!$AJ$44="Muy Baja",'Mapa final'!$AL$44="Leve"),CONCATENATE("R2C",'Mapa final'!$S$44),"")</f>
        <v/>
      </c>
      <c r="Q56" s="62" t="str">
        <f>IF(AND('Mapa final'!$AJ$39="Muy Baja",'Mapa final'!$AL$39="Menor"),CONCATENATE("R2C",'Mapa final'!$S$39),"")</f>
        <v/>
      </c>
      <c r="R56" s="63" t="str">
        <f>IF(AND('Mapa final'!$AJ$40="Muy Baja",'Mapa final'!$AL$40="Menor"),CONCATENATE("R2C",'Mapa final'!$S$40),"")</f>
        <v/>
      </c>
      <c r="S56" s="63" t="str">
        <f>IF(AND('Mapa final'!$AJ$41="Muy Baja",'Mapa final'!$AL$41="Menor"),CONCATENATE("R2C",'Mapa final'!$S$41),"")</f>
        <v/>
      </c>
      <c r="T56" s="63" t="str">
        <f>IF(AND('Mapa final'!$AJ$42="Muy Baja",'Mapa final'!$AL$42="Menor"),CONCATENATE("R2C",'Mapa final'!$S$42),"")</f>
        <v/>
      </c>
      <c r="U56" s="63" t="str">
        <f>IF(AND('Mapa final'!$AJ$43="Muy Baja",'Mapa final'!$AL$43="Menor"),CONCATENATE("R2C",'Mapa final'!$S$43),"")</f>
        <v/>
      </c>
      <c r="V56" s="64" t="str">
        <f>IF(AND('Mapa final'!$AJ$44="Muy Baja",'Mapa final'!$AL$44="Menor"),CONCATENATE("R2C",'Mapa final'!$S$44),"")</f>
        <v/>
      </c>
      <c r="W56" s="53" t="str">
        <f>IF(AND('Mapa final'!$AJ$39="Muy Baja",'Mapa final'!$AL$39="Moderado"),CONCATENATE("R2C",'Mapa final'!$S$39),"")</f>
        <v/>
      </c>
      <c r="X56" s="54" t="str">
        <f>IF(AND('Mapa final'!$AJ$40="Muy Baja",'Mapa final'!$AL$40="Moderado"),CONCATENATE("R2C",'Mapa final'!$S$40),"")</f>
        <v/>
      </c>
      <c r="Y56" s="54" t="str">
        <f>IF(AND('Mapa final'!$AJ$41="Muy Baja",'Mapa final'!$AL$41="Moderado"),CONCATENATE("R2C",'Mapa final'!$S$41),"")</f>
        <v/>
      </c>
      <c r="Z56" s="54" t="str">
        <f>IF(AND('Mapa final'!$AJ$42="Muy Baja",'Mapa final'!$AL$42="Moderado"),CONCATENATE("R2C",'Mapa final'!$S$42),"")</f>
        <v/>
      </c>
      <c r="AA56" s="54" t="str">
        <f>IF(AND('Mapa final'!$AJ$43="Muy Baja",'Mapa final'!$AL$43="Moderado"),CONCATENATE("R2C",'Mapa final'!$S$43),"")</f>
        <v/>
      </c>
      <c r="AB56" s="55" t="str">
        <f>IF(AND('Mapa final'!$AJ$44="Muy Baja",'Mapa final'!$AL$44="Moderado"),CONCATENATE("R2C",'Mapa final'!$S$44),"")</f>
        <v/>
      </c>
      <c r="AC56" s="38" t="str">
        <f>IF(AND('Mapa final'!$AJ$39="Muy Baja",'Mapa final'!$AL$39="Mayor"),CONCATENATE("R2C",'Mapa final'!$S$39),"")</f>
        <v/>
      </c>
      <c r="AD56" s="39" t="str">
        <f>IF(AND('Mapa final'!$AJ$40="Muy Baja",'Mapa final'!$AL$40="Mayor"),CONCATENATE("R2C",'Mapa final'!$S$40),"")</f>
        <v/>
      </c>
      <c r="AE56" s="39" t="str">
        <f>IF(AND('Mapa final'!$AJ$41="Muy Baja",'Mapa final'!$AL$41="Mayor"),CONCATENATE("R2C",'Mapa final'!$S$41),"")</f>
        <v/>
      </c>
      <c r="AF56" s="39" t="str">
        <f>IF(AND('Mapa final'!$AJ$42="Muy Baja",'Mapa final'!$AL$42="Mayor"),CONCATENATE("R2C",'Mapa final'!$S$42),"")</f>
        <v/>
      </c>
      <c r="AG56" s="39" t="str">
        <f>IF(AND('Mapa final'!$AJ$43="Muy Baja",'Mapa final'!$AL$43="Mayor"),CONCATENATE("R2C",'Mapa final'!$S$43),"")</f>
        <v/>
      </c>
      <c r="AH56" s="40" t="str">
        <f>IF(AND('Mapa final'!$AJ$44="Muy Baja",'Mapa final'!$AL$44="Mayor"),CONCATENATE("R2C",'Mapa final'!$S$44),"")</f>
        <v/>
      </c>
      <c r="AI56" s="41" t="str">
        <f>IF(AND('Mapa final'!$AJ$39="Muy Baja",'Mapa final'!$AL$39="Catastrófico"),CONCATENATE("R2C",'Mapa final'!$S$39),"")</f>
        <v/>
      </c>
      <c r="AJ56" s="42" t="str">
        <f>IF(AND('Mapa final'!$AJ$40="Muy Baja",'Mapa final'!$AL$40="Catastrófico"),CONCATENATE("R2C",'Mapa final'!$S$40),"")</f>
        <v/>
      </c>
      <c r="AK56" s="42" t="str">
        <f>IF(AND('Mapa final'!$AJ$41="Muy Baja",'Mapa final'!$AL$41="Catastrófico"),CONCATENATE("R2C",'Mapa final'!$S$41),"")</f>
        <v/>
      </c>
      <c r="AL56" s="42" t="str">
        <f>IF(AND('Mapa final'!$AJ$42="Muy Baja",'Mapa final'!$AL$42="Catastrófico"),CONCATENATE("R2C",'Mapa final'!$S$42),"")</f>
        <v/>
      </c>
      <c r="AM56" s="42" t="str">
        <f>IF(AND('Mapa final'!$AJ$43="Muy Baja",'Mapa final'!$AL$43="Catastrófico"),CONCATENATE("R2C",'Mapa final'!$S$43),"")</f>
        <v/>
      </c>
      <c r="AN56" s="43" t="str">
        <f>IF(AND('Mapa final'!$AJ$44="Muy Baja",'Mapa final'!$AL$44="Catastrófico"),CONCATENATE("R2C",'Mapa final'!$S$44),"")</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71"/>
      <c r="D57" s="371"/>
      <c r="E57" s="372"/>
      <c r="F57" s="461"/>
      <c r="G57" s="462"/>
      <c r="H57" s="462"/>
      <c r="I57" s="462"/>
      <c r="J57" s="463"/>
      <c r="K57" s="62" t="str">
        <f>IF(AND('Mapa final'!$AJ$45="Muy Baja",'Mapa final'!$AL$45="Leve"),CONCATENATE("R2C",'Mapa final'!$S$45),"")</f>
        <v/>
      </c>
      <c r="L57" s="63" t="str">
        <f>IF(AND('Mapa final'!$AJ$46="Muy Baja",'Mapa final'!$AL$46="Leve"),CONCATENATE("R2C",'Mapa final'!$S$46),"")</f>
        <v/>
      </c>
      <c r="M57" s="63" t="str">
        <f>IF(AND('Mapa final'!$AJ$47="Muy Baja",'Mapa final'!$AL$47="Leve"),CONCATENATE("R2C",'Mapa final'!$S$47),"")</f>
        <v/>
      </c>
      <c r="N57" s="63" t="str">
        <f>IF(AND('Mapa final'!$AJ$48="Muy Baja",'Mapa final'!$AL$48="Leve"),CONCATENATE("R2C",'Mapa final'!$S$48),"")</f>
        <v/>
      </c>
      <c r="O57" s="63" t="str">
        <f>IF(AND('Mapa final'!$AJ$49="Muy Baja",'Mapa final'!$AL$49="Leve"),CONCATENATE("R2C",'Mapa final'!$S$49),"")</f>
        <v/>
      </c>
      <c r="P57" s="64" t="str">
        <f>IF(AND('Mapa final'!$AJ$60="Muy Baja",'Mapa final'!$AL$50="Leve"),CONCATENATE("R2C",'Mapa final'!$S$50),"")</f>
        <v/>
      </c>
      <c r="Q57" s="62" t="str">
        <f>IF(AND('Mapa final'!$AJ$45="Muy Baja",'Mapa final'!$AL$45="Menor"),CONCATENATE("R2C",'Mapa final'!$S$45),"")</f>
        <v/>
      </c>
      <c r="R57" s="63" t="str">
        <f>IF(AND('Mapa final'!$AJ$46="Muy Baja",'Mapa final'!$AL$46="Menor"),CONCATENATE("R2C",'Mapa final'!$S$46),"")</f>
        <v/>
      </c>
      <c r="S57" s="63" t="str">
        <f>IF(AND('Mapa final'!$AJ$47="Muy Baja",'Mapa final'!$AL$47="Menor"),CONCATENATE("R2C",'Mapa final'!$S$47),"")</f>
        <v/>
      </c>
      <c r="T57" s="63" t="str">
        <f>IF(AND('Mapa final'!$AJ$48="Muy Baja",'Mapa final'!$AL$48="Menor"),CONCATENATE("R2C",'Mapa final'!$S$48),"")</f>
        <v/>
      </c>
      <c r="U57" s="63" t="str">
        <f>IF(AND('Mapa final'!$AJ$49="Muy Baja",'Mapa final'!$AL$49="Menor"),CONCATENATE("R2C",'Mapa final'!$S$49),"")</f>
        <v/>
      </c>
      <c r="V57" s="64" t="str">
        <f>IF(AND('Mapa final'!$AJ$60="Muy Baja",'Mapa final'!$AL$50="Menor"),CONCATENATE("R2C",'Mapa final'!$S$50),"")</f>
        <v/>
      </c>
      <c r="W57" s="53" t="str">
        <f>IF(AND('Mapa final'!$AJ$45="Muy Baja",'Mapa final'!$AL$45="Moderado"),CONCATENATE("R2C",'Mapa final'!$S$45),"")</f>
        <v/>
      </c>
      <c r="X57" s="54" t="str">
        <f>IF(AND('Mapa final'!$AJ$46="Muy Baja",'Mapa final'!$AL$46="Moderado"),CONCATENATE("R2C",'Mapa final'!$S$46),"")</f>
        <v/>
      </c>
      <c r="Y57" s="54" t="str">
        <f>IF(AND('Mapa final'!$AJ$47="Muy Baja",'Mapa final'!$AL$47="Moderado"),CONCATENATE("R2C",'Mapa final'!$S$47),"")</f>
        <v/>
      </c>
      <c r="Z57" s="54" t="str">
        <f>IF(AND('Mapa final'!$AJ$48="Muy Baja",'Mapa final'!$AL$48="Moderado"),CONCATENATE("R2C",'Mapa final'!$S$48),"")</f>
        <v/>
      </c>
      <c r="AA57" s="54" t="str">
        <f>IF(AND('Mapa final'!$AJ$49="Muy Baja",'Mapa final'!$AL$49="Moderado"),CONCATENATE("R2C",'Mapa final'!$S$49),"")</f>
        <v/>
      </c>
      <c r="AB57" s="55" t="str">
        <f>IF(AND('Mapa final'!$AJ$60="Muy Baja",'Mapa final'!$AL$50="Moderado"),CONCATENATE("R2C",'Mapa final'!$S$50),"")</f>
        <v/>
      </c>
      <c r="AC57" s="38" t="str">
        <f>IF(AND('Mapa final'!$AJ$45="Muy Baja",'Mapa final'!$AL$45="Mayor"),CONCATENATE("R2C",'Mapa final'!$S$45),"")</f>
        <v/>
      </c>
      <c r="AD57" s="39" t="str">
        <f>IF(AND('Mapa final'!$AJ$46="Muy Baja",'Mapa final'!$AL$46="Mayor"),CONCATENATE("R2C",'Mapa final'!$S$46),"")</f>
        <v/>
      </c>
      <c r="AE57" s="39" t="str">
        <f>IF(AND('Mapa final'!$AJ$47="Muy Baja",'Mapa final'!$AL$47="Mayor"),CONCATENATE("R2C",'Mapa final'!$S$47),"")</f>
        <v/>
      </c>
      <c r="AF57" s="39" t="str">
        <f>IF(AND('Mapa final'!$AJ$48="Muy Baja",'Mapa final'!$AL$48="Mayor"),CONCATENATE("R2C",'Mapa final'!$S$48),"")</f>
        <v/>
      </c>
      <c r="AG57" s="39" t="str">
        <f>IF(AND('Mapa final'!$AJ$49="Muy Baja",'Mapa final'!$AL$49="Mayor"),CONCATENATE("R2C",'Mapa final'!$S$49),"")</f>
        <v/>
      </c>
      <c r="AH57" s="40" t="str">
        <f>IF(AND('Mapa final'!$AJ$60="Muy Baja",'Mapa final'!$AL$50="Mayor"),CONCATENATE("R2C",'Mapa final'!$S$50),"")</f>
        <v/>
      </c>
      <c r="AI57" s="41" t="str">
        <f>IF(AND('Mapa final'!$AJ$45="Muy Baja",'Mapa final'!$AL$45="Catastrófico"),CONCATENATE("R2C",'Mapa final'!$S$45),"")</f>
        <v/>
      </c>
      <c r="AJ57" s="42" t="str">
        <f>IF(AND('Mapa final'!$AJ$46="Muy Baja",'Mapa final'!$AL$46="Catastrófico"),CONCATENATE("R2C",'Mapa final'!$S$46),"")</f>
        <v/>
      </c>
      <c r="AK57" s="42" t="str">
        <f>IF(AND('Mapa final'!$AJ$47="Muy Baja",'Mapa final'!$AL$47="Catastrófico"),CONCATENATE("R2C",'Mapa final'!$S$47),"")</f>
        <v/>
      </c>
      <c r="AL57" s="42" t="str">
        <f>IF(AND('Mapa final'!$AJ$48="Muy Baja",'Mapa final'!$AL$48="Catastrófico"),CONCATENATE("R2C",'Mapa final'!$S$48),"")</f>
        <v/>
      </c>
      <c r="AM57" s="42" t="str">
        <f>IF(AND('Mapa final'!$AJ$49="Muy Baja",'Mapa final'!$AL$49="Catastrófico"),CONCATENATE("R2C",'Mapa final'!$S$49),"")</f>
        <v/>
      </c>
      <c r="AN57" s="43" t="str">
        <f>IF(AND('Mapa final'!$AJ$60="Muy Baja",'Mapa final'!$AL$50="Catastrófico"),CONCATENATE("R2C",'Mapa final'!$S$50),"")</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71"/>
      <c r="D58" s="371"/>
      <c r="E58" s="372"/>
      <c r="F58" s="461"/>
      <c r="G58" s="462"/>
      <c r="H58" s="462"/>
      <c r="I58" s="462"/>
      <c r="J58" s="463"/>
      <c r="K58" s="62" t="str">
        <f>IF(AND('Mapa final'!$AJ$51="Muy Baja",'Mapa final'!$AL$51="Leve"),CONCATENATE("R2C",'Mapa final'!$S$51),"")</f>
        <v/>
      </c>
      <c r="L58" s="63" t="str">
        <f>IF(AND('Mapa final'!$AJ$52="Muy Baja",'Mapa final'!$AL$52="Leve"),CONCATENATE("R2C",'Mapa final'!$S$52),"")</f>
        <v/>
      </c>
      <c r="M58" s="63" t="str">
        <f>IF(AND('Mapa final'!$AJ$53="Muy Baja",'Mapa final'!$AL$53="Leve"),CONCATENATE("R2C",'Mapa final'!$S$53),"")</f>
        <v/>
      </c>
      <c r="N58" s="63" t="str">
        <f>IF(AND('Mapa final'!$AJ$54="Muy Baja",'Mapa final'!$AL$54="Leve"),CONCATENATE("R2C",'Mapa final'!$S$54),"")</f>
        <v/>
      </c>
      <c r="O58" s="63" t="str">
        <f>IF(AND('Mapa final'!$AJ$55="Muy Baja",'Mapa final'!$AL$55="Leve"),CONCATENATE("R2C",'Mapa final'!$S$55),"")</f>
        <v/>
      </c>
      <c r="P58" s="64" t="str">
        <f>IF(AND('Mapa final'!$AJ$56="Muy Baja",'Mapa final'!$AL$56="Leve"),CONCATENATE("R2C",'Mapa final'!$S$56),"")</f>
        <v/>
      </c>
      <c r="Q58" s="62" t="str">
        <f>IF(AND('Mapa final'!$AJ$51="Muy Baja",'Mapa final'!$AL$51="Menor"),CONCATENATE("R2C",'Mapa final'!$S$51),"")</f>
        <v/>
      </c>
      <c r="R58" s="63" t="str">
        <f>IF(AND('Mapa final'!$AJ$52="Muy Baja",'Mapa final'!$AL$52="Menor"),CONCATENATE("R2C",'Mapa final'!$S$52),"")</f>
        <v/>
      </c>
      <c r="S58" s="63" t="str">
        <f>IF(AND('Mapa final'!$AJ$53="Muy Baja",'Mapa final'!$AL$53="Menor"),CONCATENATE("R2C",'Mapa final'!$S$53),"")</f>
        <v/>
      </c>
      <c r="T58" s="63" t="str">
        <f>IF(AND('Mapa final'!$AJ$54="Muy Baja",'Mapa final'!$AL$54="Menor"),CONCATENATE("R2C",'Mapa final'!$S$54),"")</f>
        <v/>
      </c>
      <c r="U58" s="63" t="str">
        <f>IF(AND('Mapa final'!$AJ$55="Muy Baja",'Mapa final'!$AL$55="Menor"),CONCATENATE("R2C",'Mapa final'!$S$55),"")</f>
        <v/>
      </c>
      <c r="V58" s="64" t="str">
        <f>IF(AND('Mapa final'!$AJ$56="Muy Baja",'Mapa final'!$AL$56="Menor"),CONCATENATE("R2C",'Mapa final'!$S$56),"")</f>
        <v/>
      </c>
      <c r="W58" s="53" t="str">
        <f>IF(AND('Mapa final'!$AJ$51="Muy Baja",'Mapa final'!$AL$51="Moderado"),CONCATENATE("R2C",'Mapa final'!$S$51),"")</f>
        <v/>
      </c>
      <c r="X58" s="54" t="str">
        <f>IF(AND('Mapa final'!$AJ$52="Muy Baja",'Mapa final'!$AL$52="Moderado"),CONCATENATE("R2C",'Mapa final'!$S$52),"")</f>
        <v/>
      </c>
      <c r="Y58" s="54" t="str">
        <f>IF(AND('Mapa final'!$AJ$53="Muy Baja",'Mapa final'!$AL$53="Moderado"),CONCATENATE("R2C",'Mapa final'!$S$53),"")</f>
        <v/>
      </c>
      <c r="Z58" s="54" t="str">
        <f>IF(AND('Mapa final'!$AJ$54="Muy Baja",'Mapa final'!$AL$54="Moderado"),CONCATENATE("R2C",'Mapa final'!$S$54),"")</f>
        <v/>
      </c>
      <c r="AA58" s="54" t="str">
        <f>IF(AND('Mapa final'!$AJ$55="Muy Baja",'Mapa final'!$AL$55="Moderado"),CONCATENATE("R2C",'Mapa final'!$S$55),"")</f>
        <v/>
      </c>
      <c r="AB58" s="55" t="str">
        <f>IF(AND('Mapa final'!$AJ$56="Muy Baja",'Mapa final'!$AL$56="Moderado"),CONCATENATE("R2C",'Mapa final'!$S$56),"")</f>
        <v/>
      </c>
      <c r="AC58" s="38" t="str">
        <f>IF(AND('Mapa final'!$AJ$51="Muy Baja",'Mapa final'!$AL$51="Mayor"),CONCATENATE("R2C",'Mapa final'!$S$51),"")</f>
        <v/>
      </c>
      <c r="AD58" s="39" t="str">
        <f>IF(AND('Mapa final'!$AJ$52="Muy Baja",'Mapa final'!$AL$52="Mayor"),CONCATENATE("R2C",'Mapa final'!$S$52),"")</f>
        <v/>
      </c>
      <c r="AE58" s="39" t="str">
        <f>IF(AND('Mapa final'!$AJ$53="Muy Baja",'Mapa final'!$AL$53="Mayor"),CONCATENATE("R2C",'Mapa final'!$S$53),"")</f>
        <v/>
      </c>
      <c r="AF58" s="39" t="str">
        <f>IF(AND('Mapa final'!$AJ$54="Muy Baja",'Mapa final'!$AL$54="Mayor"),CONCATENATE("R2C",'Mapa final'!$S$54),"")</f>
        <v/>
      </c>
      <c r="AG58" s="39" t="str">
        <f>IF(AND('Mapa final'!$AJ$55="Muy Baja",'Mapa final'!$AL$55="Mayor"),CONCATENATE("R2C",'Mapa final'!$S$55),"")</f>
        <v/>
      </c>
      <c r="AH58" s="40" t="str">
        <f>IF(AND('Mapa final'!$AJ$56="Muy Baja",'Mapa final'!$AL$56="Mayor"),CONCATENATE("R2C",'Mapa final'!$S$56),"")</f>
        <v/>
      </c>
      <c r="AI58" s="41" t="str">
        <f>IF(AND('Mapa final'!$AJ$51="Muy Baja",'Mapa final'!$AL$51="Catastrófico"),CONCATENATE("R2C",'Mapa final'!$S$51),"")</f>
        <v/>
      </c>
      <c r="AJ58" s="42" t="str">
        <f>IF(AND('Mapa final'!$AJ$52="Muy Baja",'Mapa final'!$AL$52="Catastrófico"),CONCATENATE("R2C",'Mapa final'!$S$52),"")</f>
        <v/>
      </c>
      <c r="AK58" s="42" t="str">
        <f>IF(AND('Mapa final'!$AJ$53="Muy Baja",'Mapa final'!$AL$53="Catastrófico"),CONCATENATE("R2C",'Mapa final'!$S$53),"")</f>
        <v/>
      </c>
      <c r="AL58" s="42" t="str">
        <f>IF(AND('Mapa final'!$AJ$54="Muy Baja",'Mapa final'!$AL$54="Catastrófico"),CONCATENATE("R2C",'Mapa final'!$S$54),"")</f>
        <v/>
      </c>
      <c r="AM58" s="42" t="str">
        <f>IF(AND('Mapa final'!$AJ$55="Muy Baja",'Mapa final'!$AL$55="Catastrófico"),CONCATENATE("R2C",'Mapa final'!$S$55),"")</f>
        <v/>
      </c>
      <c r="AN58" s="43" t="str">
        <f>IF(AND('Mapa final'!$AJ$56="Muy Baja",'Mapa final'!$AL$56="Catastrófico"),CONCATENATE("R2C",'Mapa final'!$S$56),"")</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71"/>
      <c r="D59" s="371"/>
      <c r="E59" s="372"/>
      <c r="F59" s="461"/>
      <c r="G59" s="462"/>
      <c r="H59" s="462"/>
      <c r="I59" s="462"/>
      <c r="J59" s="463"/>
      <c r="K59" s="62" t="str">
        <f>IF(AND('Mapa final'!$AJ$57="Muy Baja",'Mapa final'!$AL$57="Leve"),CONCATENATE("R2C",'Mapa final'!$S$57),"")</f>
        <v/>
      </c>
      <c r="L59" s="63" t="str">
        <f>IF(AND('Mapa final'!$AJ$58="Muy Baja",'Mapa final'!$AL$58="Leve"),CONCATENATE("R2C",'Mapa final'!$S$58),"")</f>
        <v/>
      </c>
      <c r="M59" s="63" t="str">
        <f>IF(AND('Mapa final'!$AJ$59="Muy Baja",'Mapa final'!$AL$59="Leve"),CONCATENATE("R2C",'Mapa final'!$S$59),"")</f>
        <v/>
      </c>
      <c r="N59" s="63" t="str">
        <f>IF(AND('Mapa final'!$AJ$60="Muy Baja",'Mapa final'!$AL$60="Leve"),CONCATENATE("R2C",'Mapa final'!$S$60),"")</f>
        <v/>
      </c>
      <c r="O59" s="63" t="str">
        <f>IF(AND('Mapa final'!$AJ$61="Muy Baja",'Mapa final'!$AL$61="Leve"),CONCATENATE("R2C",'Mapa final'!$S$61),"")</f>
        <v/>
      </c>
      <c r="P59" s="64" t="str">
        <f>IF(AND('Mapa final'!$AJ$62="Muy Baja",'Mapa final'!$AL$62="Leve"),CONCATENATE("R2C",'Mapa final'!$S$62),"")</f>
        <v/>
      </c>
      <c r="Q59" s="62" t="str">
        <f>IF(AND('Mapa final'!$AJ$57="Muy Baja",'Mapa final'!$AL$57="Menor"),CONCATENATE("R2C",'Mapa final'!$S$57),"")</f>
        <v/>
      </c>
      <c r="R59" s="63" t="str">
        <f>IF(AND('Mapa final'!$AJ$58="Muy Baja",'Mapa final'!$AL$58="Menor"),CONCATENATE("R2C",'Mapa final'!$S$58),"")</f>
        <v/>
      </c>
      <c r="S59" s="63" t="str">
        <f>IF(AND('Mapa final'!$AJ$59="Muy Baja",'Mapa final'!$AL$59="Menor"),CONCATENATE("R2C",'Mapa final'!$S$59),"")</f>
        <v/>
      </c>
      <c r="T59" s="63" t="str">
        <f>IF(AND('Mapa final'!$AJ$60="Muy Baja",'Mapa final'!$AL$60="Menor"),CONCATENATE("R2C",'Mapa final'!$S$60),"")</f>
        <v/>
      </c>
      <c r="U59" s="63" t="str">
        <f>IF(AND('Mapa final'!$AJ$61="Muy Baja",'Mapa final'!$AL$61="Menor"),CONCATENATE("R2C",'Mapa final'!$S$61),"")</f>
        <v/>
      </c>
      <c r="V59" s="64" t="str">
        <f>IF(AND('Mapa final'!$AJ$62="Muy Baja",'Mapa final'!$AL$62="Menor"),CONCATENATE("R2C",'Mapa final'!$S$62),"")</f>
        <v/>
      </c>
      <c r="W59" s="53" t="str">
        <f>IF(AND('Mapa final'!$AJ$57="Muy Baja",'Mapa final'!$AL$57="Moderado"),CONCATENATE("R2C",'Mapa final'!$S$57),"")</f>
        <v/>
      </c>
      <c r="X59" s="54" t="str">
        <f>IF(AND('Mapa final'!$AJ$58="Muy Baja",'Mapa final'!$AL$58="Moderado"),CONCATENATE("R2C",'Mapa final'!$S$58),"")</f>
        <v/>
      </c>
      <c r="Y59" s="54" t="str">
        <f>IF(AND('Mapa final'!$AJ$59="Muy Baja",'Mapa final'!$AL$59="Moderado"),CONCATENATE("R2C",'Mapa final'!$S$59),"")</f>
        <v/>
      </c>
      <c r="Z59" s="54" t="str">
        <f>IF(AND('Mapa final'!$AJ$60="Muy Baja",'Mapa final'!$AL$60="Moderado"),CONCATENATE("R2C",'Mapa final'!$S$60),"")</f>
        <v/>
      </c>
      <c r="AA59" s="54" t="str">
        <f>IF(AND('Mapa final'!$AJ$61="Muy Baja",'Mapa final'!$AL$61="Moderado"),CONCATENATE("R2C",'Mapa final'!$S$61),"")</f>
        <v/>
      </c>
      <c r="AB59" s="55" t="str">
        <f>IF(AND('Mapa final'!$AJ$62="Muy Baja",'Mapa final'!$AL$62="Moderado"),CONCATENATE("R2C",'Mapa final'!$S$62),"")</f>
        <v/>
      </c>
      <c r="AC59" s="38" t="str">
        <f>IF(AND('Mapa final'!$AJ$57="Muy Baja",'Mapa final'!$AL$57="Mayor"),CONCATENATE("R2C",'Mapa final'!$S$57),"")</f>
        <v/>
      </c>
      <c r="AD59" s="39" t="str">
        <f>IF(AND('Mapa final'!$AJ$58="Muy Baja",'Mapa final'!$AL$58="Mayor"),CONCATENATE("R2C",'Mapa final'!$S$58),"")</f>
        <v/>
      </c>
      <c r="AE59" s="39" t="str">
        <f>IF(AND('Mapa final'!$AJ$59="Muy Baja",'Mapa final'!$AL$59="Mayor"),CONCATENATE("R2C",'Mapa final'!$S$59),"")</f>
        <v/>
      </c>
      <c r="AF59" s="39" t="str">
        <f>IF(AND('Mapa final'!$AJ$60="Muy Baja",'Mapa final'!$AL$60="Mayor"),CONCATENATE("R2C",'Mapa final'!$S$60),"")</f>
        <v/>
      </c>
      <c r="AG59" s="39" t="str">
        <f>IF(AND('Mapa final'!$AJ$61="Muy Baja",'Mapa final'!$AL$61="Mayor"),CONCATENATE("R2C",'Mapa final'!$S$61),"")</f>
        <v/>
      </c>
      <c r="AH59" s="40" t="str">
        <f>IF(AND('Mapa final'!$AJ$62="Muy Baja",'Mapa final'!$AL$62="Mayor"),CONCATENATE("R2C",'Mapa final'!$S$62),"")</f>
        <v/>
      </c>
      <c r="AI59" s="41" t="str">
        <f>IF(AND('Mapa final'!$AJ$57="Muy Baja",'Mapa final'!$AL$57="Catastrófico"),CONCATENATE("R2C",'Mapa final'!$S$57),"")</f>
        <v/>
      </c>
      <c r="AJ59" s="42" t="str">
        <f>IF(AND('Mapa final'!$AJ$58="Muy Baja",'Mapa final'!$AL$58="Catastrófico"),CONCATENATE("R2C",'Mapa final'!$S$58),"")</f>
        <v/>
      </c>
      <c r="AK59" s="42" t="str">
        <f>IF(AND('Mapa final'!$AJ$59="Muy Baja",'Mapa final'!$AL$59="Catastrófico"),CONCATENATE("R2C",'Mapa final'!$S$59),"")</f>
        <v/>
      </c>
      <c r="AL59" s="42" t="str">
        <f>IF(AND('Mapa final'!$AJ$60="Muy Baja",'Mapa final'!$AL$60="Catastrófico"),CONCATENATE("R2C",'Mapa final'!$S$60),"")</f>
        <v/>
      </c>
      <c r="AM59" s="42" t="str">
        <f>IF(AND('Mapa final'!$AJ$61="Muy Baja",'Mapa final'!$AL$61="Catastrófico"),CONCATENATE("R2C",'Mapa final'!$S$61),"")</f>
        <v/>
      </c>
      <c r="AN59" s="43" t="str">
        <f>IF(AND('Mapa final'!$AJ$62="Muy Baja",'Mapa final'!$AL$62="Catastrófico"),CONCATENATE("R2C",'Mapa final'!$S$62),"")</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71"/>
      <c r="D60" s="371"/>
      <c r="E60" s="372"/>
      <c r="F60" s="461"/>
      <c r="G60" s="462"/>
      <c r="H60" s="462"/>
      <c r="I60" s="462"/>
      <c r="J60" s="463"/>
      <c r="K60" s="62" t="str">
        <f>IF(AND('Mapa final'!$AJ$63="Muy Baja",'Mapa final'!$AL$63="Leve"),CONCATENATE("R2C",'Mapa final'!$S$63),"")</f>
        <v/>
      </c>
      <c r="L60" s="63" t="str">
        <f>IF(AND('Mapa final'!$AJ$64="Muy Baja",'Mapa final'!$AL$64="Leve"),CONCATENATE("R2C",'Mapa final'!$S$64),"")</f>
        <v/>
      </c>
      <c r="M60" s="63" t="str">
        <f>IF(AND('Mapa final'!$AJ$65="Muy Baja",'Mapa final'!$AL$65="Leve"),CONCATENATE("R2C",'Mapa final'!$S$65),"")</f>
        <v/>
      </c>
      <c r="N60" s="63" t="str">
        <f>IF(AND('Mapa final'!$AJ$66="Muy Baja",'Mapa final'!$AL$66="Leve"),CONCATENATE("R2C",'Mapa final'!$S$66),"")</f>
        <v/>
      </c>
      <c r="O60" s="63" t="str">
        <f>IF(AND('Mapa final'!$AJ$67="Muy Baja",'Mapa final'!$AL$67="Leve"),CONCATENATE("R2C",'Mapa final'!$S$67),"")</f>
        <v/>
      </c>
      <c r="P60" s="64" t="str">
        <f>IF(AND('Mapa final'!$AJ$68="Muy Baja",'Mapa final'!$AL$68="Leve"),CONCATENATE("R2C",'Mapa final'!$S$68),"")</f>
        <v/>
      </c>
      <c r="Q60" s="62" t="str">
        <f>IF(AND('Mapa final'!$AJ$63="Muy Baja",'Mapa final'!$AL$63="Menor"),CONCATENATE("R2C",'Mapa final'!$S$63),"")</f>
        <v/>
      </c>
      <c r="R60" s="63" t="str">
        <f>IF(AND('Mapa final'!$AJ$64="Muy Baja",'Mapa final'!$AL$64="Menor"),CONCATENATE("R2C",'Mapa final'!$S$64),"")</f>
        <v/>
      </c>
      <c r="S60" s="63" t="str">
        <f>IF(AND('Mapa final'!$AJ$65="Muy Baja",'Mapa final'!$AL$65="Menor"),CONCATENATE("R2C",'Mapa final'!$S$65),"")</f>
        <v/>
      </c>
      <c r="T60" s="63" t="str">
        <f>IF(AND('Mapa final'!$AJ$66="Muy Baja",'Mapa final'!$AL$66="Menor"),CONCATENATE("R2C",'Mapa final'!$S$66),"")</f>
        <v/>
      </c>
      <c r="U60" s="63" t="str">
        <f>IF(AND('Mapa final'!$AJ$67="Muy Baja",'Mapa final'!$AL$67="Menor"),CONCATENATE("R2C",'Mapa final'!$S$67),"")</f>
        <v/>
      </c>
      <c r="V60" s="64" t="str">
        <f>IF(AND('Mapa final'!$AJ$68="Muy Baja",'Mapa final'!$AL$68="Menor"),CONCATENATE("R2C",'Mapa final'!$S$68),"")</f>
        <v/>
      </c>
      <c r="W60" s="53" t="str">
        <f>IF(AND('Mapa final'!$AJ$63="Muy Baja",'Mapa final'!$AL$63="Moderado"),CONCATENATE("R2C",'Mapa final'!$S$63),"")</f>
        <v/>
      </c>
      <c r="X60" s="54" t="str">
        <f>IF(AND('Mapa final'!$AJ$64="Muy Baja",'Mapa final'!$AL$64="Moderado"),CONCATENATE("R2C",'Mapa final'!$S$64),"")</f>
        <v/>
      </c>
      <c r="Y60" s="54" t="str">
        <f>IF(AND('Mapa final'!$AJ$65="Muy Baja",'Mapa final'!$AL$65="Moderado"),CONCATENATE("R2C",'Mapa final'!$S$65),"")</f>
        <v/>
      </c>
      <c r="Z60" s="54" t="str">
        <f>IF(AND('Mapa final'!$AJ$66="Muy Baja",'Mapa final'!$AL$66="Moderado"),CONCATENATE("R2C",'Mapa final'!$S$66),"")</f>
        <v/>
      </c>
      <c r="AA60" s="54" t="str">
        <f>IF(AND('Mapa final'!$AJ$67="Muy Baja",'Mapa final'!$AL$67="Moderado"),CONCATENATE("R2C",'Mapa final'!$S$67),"")</f>
        <v/>
      </c>
      <c r="AB60" s="55" t="str">
        <f>IF(AND('Mapa final'!$AJ$68="Muy Baja",'Mapa final'!$AL$68="Moderado"),CONCATENATE("R2C",'Mapa final'!$S$68),"")</f>
        <v/>
      </c>
      <c r="AC60" s="38" t="str">
        <f>IF(AND('Mapa final'!$AJ$63="Muy Baja",'Mapa final'!$AL$63="Mayor"),CONCATENATE("R2C",'Mapa final'!$S$63),"")</f>
        <v/>
      </c>
      <c r="AD60" s="39" t="str">
        <f>IF(AND('Mapa final'!$AJ$64="Muy Baja",'Mapa final'!$AL$64="Mayor"),CONCATENATE("R2C",'Mapa final'!$S$64),"")</f>
        <v/>
      </c>
      <c r="AE60" s="39" t="str">
        <f>IF(AND('Mapa final'!$AJ$65="Muy Baja",'Mapa final'!$AL$65="Mayor"),CONCATENATE("R2C",'Mapa final'!$S$65),"")</f>
        <v/>
      </c>
      <c r="AF60" s="39" t="str">
        <f>IF(AND('Mapa final'!$AJ$66="Muy Baja",'Mapa final'!$AL$66="Mayor"),CONCATENATE("R2C",'Mapa final'!$S$66),"")</f>
        <v/>
      </c>
      <c r="AG60" s="39" t="str">
        <f>IF(AND('Mapa final'!$AJ$67="Muy Baja",'Mapa final'!$AL$67="Mayor"),CONCATENATE("R2C",'Mapa final'!$S$67),"")</f>
        <v/>
      </c>
      <c r="AH60" s="40" t="str">
        <f>IF(AND('Mapa final'!$AJ$68="Muy Baja",'Mapa final'!$AL$68="Mayor"),CONCATENATE("R2C",'Mapa final'!$S$68),"")</f>
        <v/>
      </c>
      <c r="AI60" s="41" t="str">
        <f>IF(AND('Mapa final'!$AJ$63="Muy Baja",'Mapa final'!$AL$63="Catastrófico"),CONCATENATE("R2C",'Mapa final'!$S$63),"")</f>
        <v/>
      </c>
      <c r="AJ60" s="42" t="str">
        <f>IF(AND('Mapa final'!$AJ$64="Muy Baja",'Mapa final'!$AL$64="Catastrófico"),CONCATENATE("R2C",'Mapa final'!$S$64),"")</f>
        <v/>
      </c>
      <c r="AK60" s="42" t="str">
        <f>IF(AND('Mapa final'!$AJ$65="Muy Baja",'Mapa final'!$AL$65="Catastrófico"),CONCATENATE("R2C",'Mapa final'!$S$65),"")</f>
        <v/>
      </c>
      <c r="AL60" s="42" t="str">
        <f>IF(AND('Mapa final'!$AJ$66="Muy Baja",'Mapa final'!$AL$66="Catastrófico"),CONCATENATE("R2C",'Mapa final'!$S$66),"")</f>
        <v/>
      </c>
      <c r="AM60" s="42" t="str">
        <f>IF(AND('Mapa final'!$AJ$67="Muy Baja",'Mapa final'!$AL$67="Catastrófico"),CONCATENATE("R2C",'Mapa final'!$S$67),"")</f>
        <v/>
      </c>
      <c r="AN60" s="43" t="str">
        <f>IF(AND('Mapa final'!$AJ$68="Muy Baja",'Mapa final'!$AL$68="Catastrófico"),CONCATENATE("R2C",'Mapa final'!$S$68),"")</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71"/>
      <c r="D61" s="371"/>
      <c r="E61" s="372"/>
      <c r="F61" s="464"/>
      <c r="G61" s="465"/>
      <c r="H61" s="465"/>
      <c r="I61" s="465"/>
      <c r="J61" s="466"/>
      <c r="K61" s="65" t="str">
        <f>IF(AND('Mapa final'!$AJ$69="Muy Baja",'Mapa final'!$AL$69="Leve"),CONCATENATE("R2C",'Mapa final'!$S$69),"")</f>
        <v/>
      </c>
      <c r="L61" s="66" t="str">
        <f>IF(AND('Mapa final'!$AJ$70="Muy Baja",'Mapa final'!$AL$70="Leve"),CONCATENATE("R2C",'Mapa final'!$S$70),"")</f>
        <v/>
      </c>
      <c r="M61" s="66" t="str">
        <f>IF(AND('Mapa final'!$AJ$71="Muy Baja",'Mapa final'!$AL$71="Leve"),CONCATENATE("R2C",'Mapa final'!$S$71),"")</f>
        <v/>
      </c>
      <c r="N61" s="66" t="str">
        <f>IF(AND('Mapa final'!$AJ$72="Muy Baja",'Mapa final'!$AL$72="Leve"),CONCATENATE("R2C",'Mapa final'!$S$72),"")</f>
        <v/>
      </c>
      <c r="O61" s="66" t="str">
        <f>IF(AND('Mapa final'!$AJ$74="Muy Baja",'Mapa final'!$AL$74="Leve"),CONCATENATE("R2C",'Mapa final'!$S$74),"")</f>
        <v/>
      </c>
      <c r="P61" s="67" t="str">
        <f>IF(AND('Mapa final'!$AJ$75="Muy Baja",'Mapa final'!$AL$75="Leve"),CONCATENATE("R2C",'Mapa final'!$S$75),"")</f>
        <v/>
      </c>
      <c r="Q61" s="65" t="str">
        <f>IF(AND('Mapa final'!$AJ$69="Muy Baja",'Mapa final'!$AL$69="Menor"),CONCATENATE("R2C",'Mapa final'!$S$69),"")</f>
        <v/>
      </c>
      <c r="R61" s="66" t="str">
        <f>IF(AND('Mapa final'!$AJ$70="Muy Baja",'Mapa final'!$AL$70="Menor"),CONCATENATE("R2C",'Mapa final'!$S$70),"")</f>
        <v/>
      </c>
      <c r="S61" s="66" t="str">
        <f>IF(AND('Mapa final'!$AJ$71="Muy Baja",'Mapa final'!$AL$71="Menor"),CONCATENATE("R2C",'Mapa final'!$S$71),"")</f>
        <v/>
      </c>
      <c r="T61" s="66" t="str">
        <f>IF(AND('Mapa final'!$AJ$72="Muy Baja",'Mapa final'!$AL$72="Menor"),CONCATENATE("R2C",'Mapa final'!$S$72),"")</f>
        <v/>
      </c>
      <c r="U61" s="66" t="str">
        <f>IF(AND('Mapa final'!$AJ$74="Muy Baja",'Mapa final'!$AL$74="Menor"),CONCATENATE("R2C",'Mapa final'!$S$74),"")</f>
        <v/>
      </c>
      <c r="V61" s="67" t="str">
        <f>IF(AND('Mapa final'!$AJ$75="Muy Baja",'Mapa final'!$AL$75="Menor"),CONCATENATE("R2C",'Mapa final'!$S$75),"")</f>
        <v/>
      </c>
      <c r="W61" s="56" t="str">
        <f>IF(AND('Mapa final'!$AJ$69="Muy Baja",'Mapa final'!$AL$69="Moderado"),CONCATENATE("R2C",'Mapa final'!$S$69),"")</f>
        <v/>
      </c>
      <c r="X61" s="57" t="str">
        <f>IF(AND('Mapa final'!$AJ$70="Muy Baja",'Mapa final'!$AL$70="Moderado"),CONCATENATE("R2C",'Mapa final'!$S$70),"")</f>
        <v/>
      </c>
      <c r="Y61" s="57" t="str">
        <f>IF(AND('Mapa final'!$AJ$71="Muy Baja",'Mapa final'!$AL$71="Moderado"),CONCATENATE("R2C",'Mapa final'!$S$71),"")</f>
        <v/>
      </c>
      <c r="Z61" s="57" t="str">
        <f>IF(AND('Mapa final'!$AJ$72="Muy Baja",'Mapa final'!$AL$72="Moderado"),CONCATENATE("R2C",'Mapa final'!$S$72),"")</f>
        <v/>
      </c>
      <c r="AA61" s="57" t="str">
        <f>IF(AND('Mapa final'!$AJ$74="Muy Baja",'Mapa final'!$AL$74="Moderado"),CONCATENATE("R2C",'Mapa final'!$S$74),"")</f>
        <v/>
      </c>
      <c r="AB61" s="58" t="str">
        <f>IF(AND('Mapa final'!$AJ$75="Muy Baja",'Mapa final'!$AL$75="Moderado"),CONCATENATE("R2C",'Mapa final'!$S$75),"")</f>
        <v/>
      </c>
      <c r="AC61" s="44" t="str">
        <f>IF(AND('Mapa final'!$AJ$69="Muy Baja",'Mapa final'!$AL$69="Mayor"),CONCATENATE("R2C",'Mapa final'!$S$69),"")</f>
        <v/>
      </c>
      <c r="AD61" s="45" t="str">
        <f>IF(AND('Mapa final'!$AJ$70="Muy Baja",'Mapa final'!$AL$70="Mayor"),CONCATENATE("R2C",'Mapa final'!$S$70),"")</f>
        <v/>
      </c>
      <c r="AE61" s="45" t="str">
        <f>IF(AND('Mapa final'!$AJ$71="Muy Baja",'Mapa final'!$AL$71="Mayor"),CONCATENATE("R2C",'Mapa final'!$S$71),"")</f>
        <v/>
      </c>
      <c r="AF61" s="45" t="str">
        <f>IF(AND('Mapa final'!$AJ$72="Muy Baja",'Mapa final'!$AL$72="Mayor"),CONCATENATE("R2C",'Mapa final'!$S$72),"")</f>
        <v/>
      </c>
      <c r="AG61" s="45" t="str">
        <f>IF(AND('Mapa final'!$AJ$74="Muy Baja",'Mapa final'!$AL$74="Mayor"),CONCATENATE("R2C",'Mapa final'!$S$74),"")</f>
        <v/>
      </c>
      <c r="AH61" s="46" t="str">
        <f>IF(AND('Mapa final'!$AJ$75="Muy Baja",'Mapa final'!$AL$75="Mayor"),CONCATENATE("R2C",'Mapa final'!$S$75),"")</f>
        <v/>
      </c>
      <c r="AI61" s="47" t="str">
        <f>IF(AND('Mapa final'!$AJ$69="Muy Baja",'Mapa final'!$AL$69="Catastrófico"),CONCATENATE("R2C",'Mapa final'!$S$69),"")</f>
        <v/>
      </c>
      <c r="AJ61" s="48" t="str">
        <f>IF(AND('Mapa final'!$AJ$70="Muy Baja",'Mapa final'!$AL$70="Catastrófico"),CONCATENATE("R2C",'Mapa final'!$S$70),"")</f>
        <v/>
      </c>
      <c r="AK61" s="48" t="str">
        <f>IF(AND('Mapa final'!$AJ$71="Muy Baja",'Mapa final'!$AL$71="Catastrófico"),CONCATENATE("R2C",'Mapa final'!$S$71),"")</f>
        <v/>
      </c>
      <c r="AL61" s="48" t="str">
        <f>IF(AND('Mapa final'!$AJ$72="Muy Baja",'Mapa final'!$AL$72="Catastrófico"),CONCATENATE("R2C",'Mapa final'!$S$72),"")</f>
        <v/>
      </c>
      <c r="AM61" s="48" t="str">
        <f>IF(AND('Mapa final'!$AJ$74="Muy Baja",'Mapa final'!$AL$74="Catastrófico"),CONCATENATE("R2C",'Mapa final'!$S$74),"")</f>
        <v/>
      </c>
      <c r="AN61" s="49" t="str">
        <f>IF(AND('Mapa final'!$AJ$75="Muy Baja",'Mapa final'!$AL$75="Catastrófico"),CONCATENATE("R2C",'Mapa final'!$S$75),"")</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58" t="s">
        <v>111</v>
      </c>
      <c r="L62" s="459"/>
      <c r="M62" s="459"/>
      <c r="N62" s="459"/>
      <c r="O62" s="459"/>
      <c r="P62" s="460"/>
      <c r="Q62" s="458" t="s">
        <v>110</v>
      </c>
      <c r="R62" s="459"/>
      <c r="S62" s="459"/>
      <c r="T62" s="459"/>
      <c r="U62" s="459"/>
      <c r="V62" s="460"/>
      <c r="W62" s="458" t="s">
        <v>109</v>
      </c>
      <c r="X62" s="459"/>
      <c r="Y62" s="459"/>
      <c r="Z62" s="459"/>
      <c r="AA62" s="459"/>
      <c r="AB62" s="460"/>
      <c r="AC62" s="458" t="s">
        <v>108</v>
      </c>
      <c r="AD62" s="508"/>
      <c r="AE62" s="459"/>
      <c r="AF62" s="459"/>
      <c r="AG62" s="459"/>
      <c r="AH62" s="460"/>
      <c r="AI62" s="458" t="s">
        <v>107</v>
      </c>
      <c r="AJ62" s="459"/>
      <c r="AK62" s="459"/>
      <c r="AL62" s="459"/>
      <c r="AM62" s="459"/>
      <c r="AN62" s="460"/>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61"/>
      <c r="L63" s="462"/>
      <c r="M63" s="462"/>
      <c r="N63" s="462"/>
      <c r="O63" s="462"/>
      <c r="P63" s="463"/>
      <c r="Q63" s="461"/>
      <c r="R63" s="462"/>
      <c r="S63" s="462"/>
      <c r="T63" s="462"/>
      <c r="U63" s="462"/>
      <c r="V63" s="463"/>
      <c r="W63" s="461"/>
      <c r="X63" s="462"/>
      <c r="Y63" s="462"/>
      <c r="Z63" s="462"/>
      <c r="AA63" s="462"/>
      <c r="AB63" s="463"/>
      <c r="AC63" s="461"/>
      <c r="AD63" s="462"/>
      <c r="AE63" s="462"/>
      <c r="AF63" s="462"/>
      <c r="AG63" s="462"/>
      <c r="AH63" s="463"/>
      <c r="AI63" s="461"/>
      <c r="AJ63" s="462"/>
      <c r="AK63" s="462"/>
      <c r="AL63" s="462"/>
      <c r="AM63" s="462"/>
      <c r="AN63" s="463"/>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61"/>
      <c r="L64" s="462"/>
      <c r="M64" s="462"/>
      <c r="N64" s="462"/>
      <c r="O64" s="462"/>
      <c r="P64" s="463"/>
      <c r="Q64" s="461"/>
      <c r="R64" s="462"/>
      <c r="S64" s="462"/>
      <c r="T64" s="462"/>
      <c r="U64" s="462"/>
      <c r="V64" s="463"/>
      <c r="W64" s="461"/>
      <c r="X64" s="462"/>
      <c r="Y64" s="462"/>
      <c r="Z64" s="462"/>
      <c r="AA64" s="462"/>
      <c r="AB64" s="463"/>
      <c r="AC64" s="461"/>
      <c r="AD64" s="462"/>
      <c r="AE64" s="462"/>
      <c r="AF64" s="462"/>
      <c r="AG64" s="462"/>
      <c r="AH64" s="463"/>
      <c r="AI64" s="461"/>
      <c r="AJ64" s="462"/>
      <c r="AK64" s="462"/>
      <c r="AL64" s="462"/>
      <c r="AM64" s="462"/>
      <c r="AN64" s="463"/>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61"/>
      <c r="L65" s="462"/>
      <c r="M65" s="462"/>
      <c r="N65" s="462"/>
      <c r="O65" s="462"/>
      <c r="P65" s="463"/>
      <c r="Q65" s="461"/>
      <c r="R65" s="462"/>
      <c r="S65" s="462"/>
      <c r="T65" s="462"/>
      <c r="U65" s="462"/>
      <c r="V65" s="463"/>
      <c r="W65" s="461"/>
      <c r="X65" s="462"/>
      <c r="Y65" s="462"/>
      <c r="Z65" s="462"/>
      <c r="AA65" s="462"/>
      <c r="AB65" s="463"/>
      <c r="AC65" s="461"/>
      <c r="AD65" s="462"/>
      <c r="AE65" s="462"/>
      <c r="AF65" s="462"/>
      <c r="AG65" s="462"/>
      <c r="AH65" s="463"/>
      <c r="AI65" s="461"/>
      <c r="AJ65" s="462"/>
      <c r="AK65" s="462"/>
      <c r="AL65" s="462"/>
      <c r="AM65" s="462"/>
      <c r="AN65" s="463"/>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61"/>
      <c r="L66" s="462"/>
      <c r="M66" s="462"/>
      <c r="N66" s="462"/>
      <c r="O66" s="462"/>
      <c r="P66" s="463"/>
      <c r="Q66" s="461"/>
      <c r="R66" s="462"/>
      <c r="S66" s="462"/>
      <c r="T66" s="462"/>
      <c r="U66" s="462"/>
      <c r="V66" s="463"/>
      <c r="W66" s="461"/>
      <c r="X66" s="462"/>
      <c r="Y66" s="462"/>
      <c r="Z66" s="462"/>
      <c r="AA66" s="462"/>
      <c r="AB66" s="463"/>
      <c r="AC66" s="461"/>
      <c r="AD66" s="462"/>
      <c r="AE66" s="462"/>
      <c r="AF66" s="462"/>
      <c r="AG66" s="462"/>
      <c r="AH66" s="463"/>
      <c r="AI66" s="461"/>
      <c r="AJ66" s="462"/>
      <c r="AK66" s="462"/>
      <c r="AL66" s="462"/>
      <c r="AM66" s="462"/>
      <c r="AN66" s="463"/>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64"/>
      <c r="L67" s="465"/>
      <c r="M67" s="465"/>
      <c r="N67" s="465"/>
      <c r="O67" s="465"/>
      <c r="P67" s="466"/>
      <c r="Q67" s="464"/>
      <c r="R67" s="465"/>
      <c r="S67" s="465"/>
      <c r="T67" s="465"/>
      <c r="U67" s="465"/>
      <c r="V67" s="466"/>
      <c r="W67" s="464"/>
      <c r="X67" s="465"/>
      <c r="Y67" s="465"/>
      <c r="Z67" s="465"/>
      <c r="AA67" s="465"/>
      <c r="AB67" s="466"/>
      <c r="AC67" s="464"/>
      <c r="AD67" s="465"/>
      <c r="AE67" s="465"/>
      <c r="AF67" s="465"/>
      <c r="AG67" s="465"/>
      <c r="AH67" s="466"/>
      <c r="AI67" s="464"/>
      <c r="AJ67" s="465"/>
      <c r="AK67" s="465"/>
      <c r="AL67" s="465"/>
      <c r="AM67" s="465"/>
      <c r="AN67" s="466"/>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G15" sqref="G15"/>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09" t="s">
        <v>244</v>
      </c>
      <c r="C2" s="512" t="s">
        <v>205</v>
      </c>
      <c r="D2" s="513"/>
      <c r="E2" s="124" t="s">
        <v>390</v>
      </c>
      <c r="F2" s="125"/>
    </row>
    <row r="3" spans="1:6" ht="15.75" customHeight="1" x14ac:dyDescent="0.25">
      <c r="B3" s="510"/>
      <c r="C3" s="245"/>
      <c r="D3" s="247"/>
      <c r="E3" s="124" t="s">
        <v>264</v>
      </c>
      <c r="F3" s="125"/>
    </row>
    <row r="4" spans="1:6" ht="16.5" customHeight="1" x14ac:dyDescent="0.25">
      <c r="B4" s="510"/>
      <c r="C4" s="245"/>
      <c r="D4" s="247"/>
      <c r="E4" s="124" t="s">
        <v>389</v>
      </c>
      <c r="F4" s="125"/>
    </row>
    <row r="5" spans="1:6" ht="15" customHeight="1" thickBot="1" x14ac:dyDescent="0.3">
      <c r="B5" s="511"/>
      <c r="C5" s="514"/>
      <c r="D5" s="515"/>
      <c r="E5" s="124" t="s">
        <v>245</v>
      </c>
      <c r="F5" s="125"/>
    </row>
    <row r="7" spans="1:6" x14ac:dyDescent="0.25">
      <c r="A7" s="516" t="s">
        <v>266</v>
      </c>
      <c r="B7" s="142" t="s">
        <v>246</v>
      </c>
      <c r="C7" s="143" t="s">
        <v>247</v>
      </c>
      <c r="D7" s="143" t="s">
        <v>248</v>
      </c>
      <c r="E7" s="143" t="s">
        <v>249</v>
      </c>
    </row>
    <row r="8" spans="1:6" ht="28.5" x14ac:dyDescent="0.25">
      <c r="A8" s="516"/>
      <c r="B8" s="126">
        <v>45687</v>
      </c>
      <c r="C8" s="127" t="s">
        <v>444</v>
      </c>
      <c r="D8" s="128" t="s">
        <v>442</v>
      </c>
      <c r="E8" s="128" t="s">
        <v>443</v>
      </c>
    </row>
    <row r="9" spans="1:6" x14ac:dyDescent="0.25">
      <c r="A9" s="516"/>
      <c r="B9" s="126"/>
      <c r="C9" s="127"/>
      <c r="D9" s="128"/>
      <c r="E9" s="128"/>
    </row>
    <row r="10" spans="1:6" x14ac:dyDescent="0.25">
      <c r="A10" s="516"/>
      <c r="B10" s="126"/>
      <c r="C10" s="127"/>
      <c r="D10" s="128"/>
      <c r="E10" s="128"/>
    </row>
    <row r="11" spans="1:6" x14ac:dyDescent="0.25">
      <c r="A11" s="516"/>
      <c r="B11" s="126"/>
      <c r="C11" s="127"/>
      <c r="D11" s="128"/>
      <c r="E11" s="128"/>
    </row>
    <row r="12" spans="1:6" x14ac:dyDescent="0.25">
      <c r="A12" s="516"/>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ESTADISTICA ETITC</cp:lastModifiedBy>
  <cp:lastPrinted>2020-05-13T01:12:22Z</cp:lastPrinted>
  <dcterms:created xsi:type="dcterms:W3CDTF">2020-03-24T23:12:47Z</dcterms:created>
  <dcterms:modified xsi:type="dcterms:W3CDTF">2025-02-24T21:26:24Z</dcterms:modified>
</cp:coreProperties>
</file>