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1.xml" ContentType="application/vnd.openxmlformats-officedocument.spreadsheetml.pivot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hidePivotFieldList="1" defaultThemeVersion="124226"/>
  <mc:AlternateContent xmlns:mc="http://schemas.openxmlformats.org/markup-compatibility/2006">
    <mc:Choice Requires="x15">
      <x15ac:absPath xmlns:x15ac="http://schemas.microsoft.com/office/spreadsheetml/2010/11/ac" url="https://rcntv-my.sharepoint.com/personal/csupanteve_rcntv_com/Documents/Imágenes/IMG/2026/Riesgos 2025 - 2026/2026/"/>
    </mc:Choice>
  </mc:AlternateContent>
  <xr:revisionPtr revIDLastSave="602" documentId="8_{40A9DF85-CA35-4856-8FA9-12C035AAE35B}" xr6:coauthVersionLast="47" xr6:coauthVersionMax="47" xr10:uidLastSave="{7ACDD273-EC7A-4993-81C8-74B399EC6446}"/>
  <bookViews>
    <workbookView xWindow="-110" yWindow="-110" windowWidth="19420" windowHeight="10300" tabRatio="882" firstSheet="2" activeTab="2" xr2:uid="{00000000-000D-0000-FFFF-FFFF00000000}"/>
  </bookViews>
  <sheets>
    <sheet name="PORTADA " sheetId="22" r:id="rId1"/>
    <sheet name="CRITERIOS R CORRUPCION" sheetId="27" r:id="rId2"/>
    <sheet name="Mapa final" sheetId="1" r:id="rId3"/>
    <sheet name="Datos" sheetId="32" state="hidden" r:id="rId4"/>
    <sheet name="Formulas" sheetId="28" state="hidden" r:id="rId5"/>
    <sheet name="Apayo Visual " sheetId="31" r:id="rId6"/>
    <sheet name="eliminar" sheetId="30" state="hidden" r:id="rId7"/>
    <sheet name="Matriz Calor Inherente" sheetId="18" r:id="rId8"/>
    <sheet name="Matriz Calor Residual" sheetId="19" r:id="rId9"/>
    <sheet name="CAMBIOS REGISTRO" sheetId="25" state="hidden" r:id="rId10"/>
    <sheet name="SGI" sheetId="24" state="hidden" r:id="rId11"/>
    <sheet name="Intructivo" sheetId="20" r:id="rId12"/>
    <sheet name="CONTROL DE CAMBIOS REGISTRO " sheetId="23" state="hidden" r:id="rId13"/>
    <sheet name="Listas" sheetId="21" state="hidden" r:id="rId14"/>
    <sheet name="Hoja3" sheetId="29" state="hidden" r:id="rId15"/>
    <sheet name="Control de Cambios FORMATO " sheetId="26" r:id="rId16"/>
    <sheet name="Tabla probabilidad" sheetId="12" r:id="rId17"/>
    <sheet name="Tabla Impacto" sheetId="13" r:id="rId18"/>
    <sheet name="Tabla Valoración controles" sheetId="15" r:id="rId19"/>
    <sheet name="Hoja4" sheetId="34" r:id="rId20"/>
    <sheet name="Hoja2" sheetId="33" state="hidden" r:id="rId21"/>
    <sheet name="Opciones Tratamiento" sheetId="16" state="hidden" r:id="rId22"/>
    <sheet name="Hoja1" sheetId="11" state="hidden" r:id="rId23"/>
  </sheets>
  <definedNames>
    <definedName name="A_Obj1" localSheetId="9">OFFSET(#REF!,0,0,COUNTA(#REF!)-1,1)</definedName>
    <definedName name="A_Obj1" localSheetId="15">OFFSET(#REF!,0,0,COUNTA(#REF!)-1,1)</definedName>
    <definedName name="A_Obj1">OFFSET(#REF!,0,0,COUNTA(#REF!)-1,1)</definedName>
    <definedName name="A_Obj2" localSheetId="9">OFFSET(#REF!,0,0,COUNTA(#REF!)-1,1)</definedName>
    <definedName name="A_Obj2" localSheetId="15">OFFSET(#REF!,0,0,COUNTA(#REF!)-1,1)</definedName>
    <definedName name="A_Obj2">OFFSET(#REF!,0,0,COUNTA(#REF!)-1,1)</definedName>
    <definedName name="A_Obj3" localSheetId="9">OFFSET(#REF!,0,0,COUNTA(#REF!)-1,1)</definedName>
    <definedName name="A_Obj3" localSheetId="15">OFFSET(#REF!,0,0,COUNTA(#REF!)-1,1)</definedName>
    <definedName name="A_Obj3">OFFSET(#REF!,0,0,COUNTA(#REF!)-1,1)</definedName>
    <definedName name="A_Obj4" localSheetId="9">OFFSET(#REF!,0,0,COUNTA(#REF!)-1,1)</definedName>
    <definedName name="A_Obj4" localSheetId="15">OFFSET(#REF!,0,0,COUNTA(#REF!)-1,1)</definedName>
    <definedName name="A_Obj4">OFFSET(#REF!,0,0,COUNTA(#REF!)-1,1)</definedName>
    <definedName name="Acc_1" localSheetId="9">#REF!</definedName>
    <definedName name="Acc_1" localSheetId="15">#REF!</definedName>
    <definedName name="Acc_1">#REF!</definedName>
    <definedName name="Acc_2" localSheetId="9">#REF!</definedName>
    <definedName name="Acc_2" localSheetId="15">#REF!</definedName>
    <definedName name="Acc_2">#REF!</definedName>
    <definedName name="Acc_3" localSheetId="9">#REF!</definedName>
    <definedName name="Acc_3" localSheetId="15">#REF!</definedName>
    <definedName name="Acc_3">#REF!</definedName>
    <definedName name="Acc_4" localSheetId="9">#REF!</definedName>
    <definedName name="Acc_4" localSheetId="15">#REF!</definedName>
    <definedName name="Acc_4">#REF!</definedName>
    <definedName name="Acc_5" localSheetId="9">#REF!</definedName>
    <definedName name="Acc_5" localSheetId="15">#REF!</definedName>
    <definedName name="Acc_5">#REF!</definedName>
    <definedName name="Acc_6" localSheetId="9">#REF!</definedName>
    <definedName name="Acc_6" localSheetId="15">#REF!</definedName>
    <definedName name="Acc_6">#REF!</definedName>
    <definedName name="Acc_7" localSheetId="9">#REF!</definedName>
    <definedName name="Acc_7" localSheetId="15">#REF!</definedName>
    <definedName name="Acc_7">#REF!</definedName>
    <definedName name="Acc_8" localSheetId="9">#REF!</definedName>
    <definedName name="Acc_8" localSheetId="15">#REF!</definedName>
    <definedName name="Acc_8">#REF!</definedName>
    <definedName name="Acc_9" localSheetId="9">#REF!</definedName>
    <definedName name="Acc_9" localSheetId="15">#REF!</definedName>
    <definedName name="Acc_9">#REF!</definedName>
    <definedName name="_xlnm.Print_Area" localSheetId="9">'CAMBIOS REGISTRO'!$A$1:$E$23</definedName>
    <definedName name="_xlnm.Print_Area" localSheetId="15">'Control de Cambios FORMATO '!$A$1:$L$27</definedName>
    <definedName name="Causafactor3">#REF!</definedName>
    <definedName name="ControlTipo">#REF!</definedName>
    <definedName name="Criterios_Impacto">Criterios[Criterios_Impacto]</definedName>
    <definedName name="Departamentos" localSheetId="9">#REF!</definedName>
    <definedName name="Departamentos" localSheetId="15">#REF!</definedName>
    <definedName name="Departamentos">#REF!</definedName>
    <definedName name="Fuentes" localSheetId="9">#REF!</definedName>
    <definedName name="Fuentes" localSheetId="15">#REF!</definedName>
    <definedName name="Fuentes">#REF!</definedName>
    <definedName name="Indicadores" localSheetId="9">#REF!</definedName>
    <definedName name="Indicadores" localSheetId="15">#REF!</definedName>
    <definedName name="Indicadores">#REF!</definedName>
    <definedName name="No_aplica" localSheetId="15">#REF!</definedName>
    <definedName name="No_aplica">#REF!</definedName>
    <definedName name="Objetivos" localSheetId="9">OFFSET(#REF!,0,0,COUNTA(#REF!)-1,1)</definedName>
    <definedName name="Objetivos" localSheetId="15">OFFSET(#REF!,0,0,COUNTA(#REF!)-1,1)</definedName>
    <definedName name="Objetivos">OFFSET(#REF!,0,0,COUNTA(#REF!)-1,1)</definedName>
    <definedName name="OLE_LINK2" localSheetId="9">'CAMBIOS REGISTRO'!$A$1</definedName>
    <definedName name="Posibilidad">#REF!</definedName>
    <definedName name="RiesgoClase3">#REF!</definedName>
    <definedName name="SiNo">#REF!</definedName>
  </definedNames>
  <calcPr calcId="191028"/>
  <pivotCaches>
    <pivotCache cacheId="53"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1" i="1" l="1"/>
  <c r="P19" i="1"/>
  <c r="P17" i="1"/>
  <c r="P15" i="1"/>
  <c r="S17" i="1"/>
  <c r="T17" i="1" s="1"/>
  <c r="S19" i="1"/>
  <c r="T19" i="1" s="1"/>
  <c r="S21" i="1"/>
  <c r="T21" i="1" s="1"/>
  <c r="S23" i="1"/>
  <c r="T23" i="1" s="1"/>
  <c r="S25" i="1"/>
  <c r="T25" i="1" s="1"/>
  <c r="S27" i="1"/>
  <c r="T27" i="1" s="1"/>
  <c r="S29" i="1"/>
  <c r="T29" i="1" s="1"/>
  <c r="S31" i="1"/>
  <c r="T31" i="1" s="1"/>
  <c r="S15" i="1"/>
  <c r="AB15" i="1"/>
  <c r="AB16" i="1"/>
  <c r="AB17" i="1"/>
  <c r="AB18" i="1"/>
  <c r="AB19" i="1"/>
  <c r="AB20" i="1"/>
  <c r="AB21" i="1"/>
  <c r="AB22" i="1"/>
  <c r="AB23" i="1"/>
  <c r="AB24" i="1"/>
  <c r="AB25" i="1"/>
  <c r="AB26" i="1"/>
  <c r="AB27" i="1"/>
  <c r="AB28" i="1"/>
  <c r="AB29" i="1"/>
  <c r="AB30" i="1"/>
  <c r="AB31" i="1"/>
  <c r="AB32" i="1"/>
  <c r="Y15" i="1"/>
  <c r="Y16" i="1"/>
  <c r="Y17" i="1"/>
  <c r="Y18" i="1"/>
  <c r="Y19" i="1"/>
  <c r="Y20" i="1"/>
  <c r="Y21" i="1"/>
  <c r="Y22" i="1"/>
  <c r="Y23" i="1"/>
  <c r="Y24" i="1"/>
  <c r="Y25" i="1"/>
  <c r="Y26" i="1"/>
  <c r="Y27" i="1"/>
  <c r="Y28" i="1"/>
  <c r="Y29" i="1"/>
  <c r="Y30" i="1"/>
  <c r="Y31" i="1"/>
  <c r="Y32" i="1"/>
  <c r="P23" i="1"/>
  <c r="Q23" i="1" s="1"/>
  <c r="P25" i="1"/>
  <c r="Q25" i="1" s="1"/>
  <c r="P27" i="1"/>
  <c r="P29" i="1"/>
  <c r="P31" i="1"/>
  <c r="AK19" i="1" l="1"/>
  <c r="AJ19" i="1" s="1"/>
  <c r="AG24" i="1"/>
  <c r="AK31" i="1"/>
  <c r="AJ31" i="1" s="1"/>
  <c r="AK23" i="1"/>
  <c r="AJ23" i="1" s="1"/>
  <c r="AK22" i="1"/>
  <c r="AJ22" i="1" s="1"/>
  <c r="AK29" i="1"/>
  <c r="AJ29" i="1" s="1"/>
  <c r="AG25" i="1"/>
  <c r="AI25" i="1" s="1"/>
  <c r="AK21" i="1"/>
  <c r="AJ21" i="1" s="1"/>
  <c r="AG26" i="1"/>
  <c r="AI26" i="1" s="1"/>
  <c r="AG23" i="1"/>
  <c r="AI23" i="1" s="1"/>
  <c r="Q29" i="1"/>
  <c r="AG30" i="1" s="1"/>
  <c r="U29" i="1"/>
  <c r="Q27" i="1"/>
  <c r="AG28" i="1" s="1"/>
  <c r="AH28" i="1" s="1"/>
  <c r="U21" i="1"/>
  <c r="Q21" i="1"/>
  <c r="AG21" i="1" s="1"/>
  <c r="AI21" i="1" s="1"/>
  <c r="U19" i="1"/>
  <c r="Q19" i="1"/>
  <c r="AG19" i="1" s="1"/>
  <c r="AK30" i="1"/>
  <c r="AJ30" i="1" s="1"/>
  <c r="AK32" i="1"/>
  <c r="AJ32" i="1" s="1"/>
  <c r="U31" i="1"/>
  <c r="Q31" i="1"/>
  <c r="AG32" i="1" s="1"/>
  <c r="AK24" i="1"/>
  <c r="AJ24" i="1" s="1"/>
  <c r="AK20" i="1"/>
  <c r="AJ20" i="1" s="1"/>
  <c r="AK25" i="1"/>
  <c r="AJ25" i="1" s="1"/>
  <c r="U25" i="1"/>
  <c r="U23" i="1"/>
  <c r="AE51" i="19"/>
  <c r="AI24" i="1" l="1"/>
  <c r="AH24" i="1"/>
  <c r="AL24" i="1" s="1"/>
  <c r="AH23" i="1"/>
  <c r="AH26" i="1"/>
  <c r="AK26" i="1"/>
  <c r="AJ26" i="1" s="1"/>
  <c r="AL26" i="1" s="1"/>
  <c r="AG31" i="1"/>
  <c r="AH31" i="1" s="1"/>
  <c r="AL31" i="1" s="1"/>
  <c r="AG20" i="1"/>
  <c r="AI30" i="1"/>
  <c r="AH30" i="1"/>
  <c r="AL30" i="1" s="1"/>
  <c r="AH32" i="1"/>
  <c r="AL32" i="1" s="1"/>
  <c r="AI32" i="1"/>
  <c r="AG29" i="1"/>
  <c r="AG22" i="1"/>
  <c r="AH25" i="1"/>
  <c r="AL25" i="1" s="1"/>
  <c r="AG27" i="1"/>
  <c r="AI27" i="1" s="1"/>
  <c r="AI28" i="1"/>
  <c r="AH19" i="1"/>
  <c r="AL19" i="1" s="1"/>
  <c r="AI19" i="1"/>
  <c r="AH21" i="1"/>
  <c r="U27" i="1"/>
  <c r="AI20" i="1" l="1"/>
  <c r="AH20" i="1"/>
  <c r="Q15" i="1"/>
  <c r="AG15" i="1" s="1"/>
  <c r="U15" i="1"/>
  <c r="AI31" i="1"/>
  <c r="AH27" i="1"/>
  <c r="AG16" i="1"/>
  <c r="AI22" i="1"/>
  <c r="AH22" i="1"/>
  <c r="AL22" i="1" s="1"/>
  <c r="AK27" i="1"/>
  <c r="AJ27" i="1" s="1"/>
  <c r="AL27" i="1" s="1"/>
  <c r="AK28" i="1"/>
  <c r="AJ28" i="1" s="1"/>
  <c r="AL28" i="1" s="1"/>
  <c r="AI29" i="1"/>
  <c r="AH29" i="1"/>
  <c r="AL29" i="1" s="1"/>
  <c r="Q17" i="1"/>
  <c r="AL23" i="1"/>
  <c r="AN61" i="19"/>
  <c r="AM61" i="19"/>
  <c r="AL61" i="19"/>
  <c r="AK61" i="19"/>
  <c r="AJ61" i="19"/>
  <c r="AI61" i="19"/>
  <c r="AH61" i="19"/>
  <c r="AG61" i="19"/>
  <c r="AF61" i="19"/>
  <c r="AE61" i="19"/>
  <c r="AD61" i="19"/>
  <c r="AC61" i="19"/>
  <c r="AB61" i="19"/>
  <c r="AA61" i="19"/>
  <c r="Z61" i="19"/>
  <c r="Y61" i="19"/>
  <c r="X61" i="19"/>
  <c r="W61" i="19"/>
  <c r="V61" i="19"/>
  <c r="U61" i="19"/>
  <c r="T61" i="19"/>
  <c r="S61" i="19"/>
  <c r="R61" i="19"/>
  <c r="Q61" i="19"/>
  <c r="P61" i="19"/>
  <c r="O61" i="19"/>
  <c r="N61" i="19"/>
  <c r="M61" i="19"/>
  <c r="L61" i="19"/>
  <c r="K61" i="19"/>
  <c r="AN60" i="19"/>
  <c r="AM60" i="19"/>
  <c r="AL60" i="19"/>
  <c r="AK60" i="19"/>
  <c r="AJ60" i="19"/>
  <c r="AI60" i="19"/>
  <c r="AH60" i="19"/>
  <c r="AG60" i="19"/>
  <c r="AF60" i="19"/>
  <c r="AE60" i="19"/>
  <c r="AD60" i="19"/>
  <c r="AC60" i="19"/>
  <c r="AB60" i="19"/>
  <c r="AA60" i="19"/>
  <c r="Z60" i="19"/>
  <c r="Y60" i="19"/>
  <c r="X60" i="19"/>
  <c r="W60" i="19"/>
  <c r="V60" i="19"/>
  <c r="U60" i="19"/>
  <c r="T60" i="19"/>
  <c r="S60" i="19"/>
  <c r="R60" i="19"/>
  <c r="Q60" i="19"/>
  <c r="P60" i="19"/>
  <c r="O60" i="19"/>
  <c r="N60" i="19"/>
  <c r="M60" i="19"/>
  <c r="L60" i="19"/>
  <c r="K60" i="19"/>
  <c r="AN59" i="19"/>
  <c r="AM59" i="19"/>
  <c r="AL59" i="19"/>
  <c r="AK59" i="19"/>
  <c r="AJ59" i="19"/>
  <c r="AI59" i="19"/>
  <c r="AH59" i="19"/>
  <c r="AG59" i="19"/>
  <c r="AF59" i="19"/>
  <c r="AE59" i="19"/>
  <c r="AD59" i="19"/>
  <c r="AC59" i="19"/>
  <c r="AB59" i="19"/>
  <c r="AA59" i="19"/>
  <c r="Z59" i="19"/>
  <c r="Y59" i="19"/>
  <c r="X59" i="19"/>
  <c r="W59" i="19"/>
  <c r="V59" i="19"/>
  <c r="U59" i="19"/>
  <c r="T59" i="19"/>
  <c r="S59" i="19"/>
  <c r="R59" i="19"/>
  <c r="Q59" i="19"/>
  <c r="P59" i="19"/>
  <c r="O59" i="19"/>
  <c r="N59" i="19"/>
  <c r="M59" i="19"/>
  <c r="L59" i="19"/>
  <c r="K59" i="19"/>
  <c r="AN58" i="19"/>
  <c r="AM58" i="19"/>
  <c r="AL58" i="19"/>
  <c r="AK58" i="19"/>
  <c r="AJ58" i="19"/>
  <c r="AI58" i="19"/>
  <c r="AH58" i="19"/>
  <c r="AG58" i="19"/>
  <c r="AF58" i="19"/>
  <c r="AE58" i="19"/>
  <c r="AD58" i="19"/>
  <c r="AC58" i="19"/>
  <c r="AB58" i="19"/>
  <c r="AA58" i="19"/>
  <c r="Z58" i="19"/>
  <c r="Y58" i="19"/>
  <c r="X58" i="19"/>
  <c r="W58" i="19"/>
  <c r="V58" i="19"/>
  <c r="U58" i="19"/>
  <c r="T58" i="19"/>
  <c r="S58" i="19"/>
  <c r="R58" i="19"/>
  <c r="Q58" i="19"/>
  <c r="P58" i="19"/>
  <c r="O58" i="19"/>
  <c r="N58" i="19"/>
  <c r="M58" i="19"/>
  <c r="L58" i="19"/>
  <c r="K58" i="19"/>
  <c r="AN57" i="19"/>
  <c r="AM57" i="19"/>
  <c r="AL57" i="19"/>
  <c r="AK57" i="19"/>
  <c r="AJ57" i="19"/>
  <c r="AI57" i="19"/>
  <c r="AH57" i="19"/>
  <c r="AG57" i="19"/>
  <c r="AF57" i="19"/>
  <c r="AE57" i="19"/>
  <c r="AD57" i="19"/>
  <c r="AC57" i="19"/>
  <c r="AB57" i="19"/>
  <c r="AA57" i="19"/>
  <c r="Z57" i="19"/>
  <c r="Y57" i="19"/>
  <c r="X57" i="19"/>
  <c r="W57" i="19"/>
  <c r="V57" i="19"/>
  <c r="U57" i="19"/>
  <c r="T57" i="19"/>
  <c r="S57" i="19"/>
  <c r="R57" i="19"/>
  <c r="Q57" i="19"/>
  <c r="P57" i="19"/>
  <c r="O57" i="19"/>
  <c r="N57" i="19"/>
  <c r="M57" i="19"/>
  <c r="L57" i="19"/>
  <c r="K57" i="19"/>
  <c r="AN56" i="19"/>
  <c r="AM56" i="19"/>
  <c r="AL56" i="19"/>
  <c r="AK56" i="19"/>
  <c r="AJ56" i="19"/>
  <c r="AI56" i="19"/>
  <c r="AH56" i="19"/>
  <c r="AG56" i="19"/>
  <c r="AF56" i="19"/>
  <c r="AE56" i="19"/>
  <c r="AD56" i="19"/>
  <c r="AC56" i="19"/>
  <c r="AB56" i="19"/>
  <c r="AA56" i="19"/>
  <c r="Z56" i="19"/>
  <c r="Y56" i="19"/>
  <c r="X56" i="19"/>
  <c r="W56" i="19"/>
  <c r="V56" i="19"/>
  <c r="U56" i="19"/>
  <c r="T56" i="19"/>
  <c r="S56" i="19"/>
  <c r="R56" i="19"/>
  <c r="Q56" i="19"/>
  <c r="P56" i="19"/>
  <c r="O56" i="19"/>
  <c r="N56" i="19"/>
  <c r="M56" i="19"/>
  <c r="L56" i="19"/>
  <c r="K56" i="19"/>
  <c r="AN55" i="19"/>
  <c r="AM55" i="19"/>
  <c r="AL55" i="19"/>
  <c r="AK55" i="19"/>
  <c r="AJ55" i="19"/>
  <c r="AI55" i="19"/>
  <c r="AH55" i="19"/>
  <c r="AG55" i="19"/>
  <c r="AF55" i="19"/>
  <c r="AE55" i="19"/>
  <c r="AD55" i="19"/>
  <c r="AC55" i="19"/>
  <c r="AB55" i="19"/>
  <c r="AA55" i="19"/>
  <c r="Z55" i="19"/>
  <c r="Y55" i="19"/>
  <c r="X55" i="19"/>
  <c r="W55" i="19"/>
  <c r="V55" i="19"/>
  <c r="U55" i="19"/>
  <c r="T55" i="19"/>
  <c r="S55" i="19"/>
  <c r="R55" i="19"/>
  <c r="Q55" i="19"/>
  <c r="P55" i="19"/>
  <c r="O55" i="19"/>
  <c r="N55" i="19"/>
  <c r="M55" i="19"/>
  <c r="L55" i="19"/>
  <c r="K55" i="19"/>
  <c r="AN54" i="19"/>
  <c r="AM54" i="19"/>
  <c r="AL54" i="19"/>
  <c r="AK54" i="19"/>
  <c r="AJ54" i="19"/>
  <c r="AI54" i="19"/>
  <c r="AH54" i="19"/>
  <c r="AG54" i="19"/>
  <c r="AF54" i="19"/>
  <c r="AE54" i="19"/>
  <c r="AD54" i="19"/>
  <c r="AC54" i="19"/>
  <c r="AB54" i="19"/>
  <c r="AA54" i="19"/>
  <c r="Z54" i="19"/>
  <c r="Y54" i="19"/>
  <c r="X54" i="19"/>
  <c r="W54" i="19"/>
  <c r="V54" i="19"/>
  <c r="U54" i="19"/>
  <c r="T54" i="19"/>
  <c r="S54" i="19"/>
  <c r="R54" i="19"/>
  <c r="Q54" i="19"/>
  <c r="P54" i="19"/>
  <c r="O54" i="19"/>
  <c r="N54" i="19"/>
  <c r="M54" i="19"/>
  <c r="L54" i="19"/>
  <c r="K54" i="19"/>
  <c r="AN53" i="19"/>
  <c r="AM53" i="19"/>
  <c r="AL53" i="19"/>
  <c r="AK53" i="19"/>
  <c r="AH53" i="19"/>
  <c r="AG53" i="19"/>
  <c r="AF53" i="19"/>
  <c r="AE53" i="19"/>
  <c r="AB53" i="19"/>
  <c r="AA53" i="19"/>
  <c r="Z53" i="19"/>
  <c r="Y53" i="19"/>
  <c r="V53" i="19"/>
  <c r="U53" i="19"/>
  <c r="T53" i="19"/>
  <c r="S53" i="19"/>
  <c r="P53" i="19"/>
  <c r="O53" i="19"/>
  <c r="N53" i="19"/>
  <c r="M53" i="19"/>
  <c r="AN51" i="19"/>
  <c r="AM51" i="19"/>
  <c r="AL51" i="19"/>
  <c r="AK51" i="19"/>
  <c r="AJ51" i="19"/>
  <c r="AI51" i="19"/>
  <c r="AH51" i="19"/>
  <c r="AG51" i="19"/>
  <c r="AF51" i="19"/>
  <c r="AD51" i="19"/>
  <c r="AC51" i="19"/>
  <c r="AB51" i="19"/>
  <c r="AA51" i="19"/>
  <c r="Z51" i="19"/>
  <c r="Y51" i="19"/>
  <c r="X51" i="19"/>
  <c r="W51" i="19"/>
  <c r="V51" i="19"/>
  <c r="U51" i="19"/>
  <c r="T51" i="19"/>
  <c r="S51" i="19"/>
  <c r="R51" i="19"/>
  <c r="Q51" i="19"/>
  <c r="P51" i="19"/>
  <c r="O51" i="19"/>
  <c r="N51" i="19"/>
  <c r="M51" i="19"/>
  <c r="L51" i="19"/>
  <c r="K51" i="19"/>
  <c r="AN50" i="19"/>
  <c r="AM50" i="19"/>
  <c r="AL50" i="19"/>
  <c r="AK50" i="19"/>
  <c r="AJ50" i="19"/>
  <c r="AI50" i="19"/>
  <c r="AH50" i="19"/>
  <c r="AG50" i="19"/>
  <c r="AF50" i="19"/>
  <c r="AE50" i="19"/>
  <c r="AD50" i="19"/>
  <c r="AC50" i="19"/>
  <c r="AB50" i="19"/>
  <c r="AA50" i="19"/>
  <c r="Z50" i="19"/>
  <c r="Y50" i="19"/>
  <c r="X50" i="19"/>
  <c r="W50" i="19"/>
  <c r="V50" i="19"/>
  <c r="U50" i="19"/>
  <c r="T50" i="19"/>
  <c r="S50" i="19"/>
  <c r="R50" i="19"/>
  <c r="Q50" i="19"/>
  <c r="P50" i="19"/>
  <c r="O50" i="19"/>
  <c r="N50" i="19"/>
  <c r="M50" i="19"/>
  <c r="L50" i="19"/>
  <c r="K50" i="19"/>
  <c r="AN49" i="19"/>
  <c r="AM49" i="19"/>
  <c r="AL49" i="19"/>
  <c r="AK49" i="19"/>
  <c r="AJ49" i="19"/>
  <c r="AI49" i="19"/>
  <c r="AH49" i="19"/>
  <c r="AG49" i="19"/>
  <c r="AF49" i="19"/>
  <c r="AE49" i="19"/>
  <c r="AD49" i="19"/>
  <c r="AC49" i="19"/>
  <c r="AB49" i="19"/>
  <c r="AA49" i="19"/>
  <c r="Z49" i="19"/>
  <c r="Y49" i="19"/>
  <c r="X49" i="19"/>
  <c r="W49" i="19"/>
  <c r="V49" i="19"/>
  <c r="U49" i="19"/>
  <c r="T49" i="19"/>
  <c r="S49" i="19"/>
  <c r="R49" i="19"/>
  <c r="Q49" i="19"/>
  <c r="P49" i="19"/>
  <c r="O49" i="19"/>
  <c r="N49" i="19"/>
  <c r="M49" i="19"/>
  <c r="L49" i="19"/>
  <c r="K49" i="19"/>
  <c r="AN48" i="19"/>
  <c r="AM48" i="19"/>
  <c r="AL48" i="19"/>
  <c r="AK48" i="19"/>
  <c r="AJ48" i="19"/>
  <c r="AI48" i="19"/>
  <c r="AH48" i="19"/>
  <c r="AG48" i="19"/>
  <c r="AF48" i="19"/>
  <c r="AE48" i="19"/>
  <c r="AD48" i="19"/>
  <c r="AC48" i="19"/>
  <c r="AB48" i="19"/>
  <c r="AA48" i="19"/>
  <c r="Z48" i="19"/>
  <c r="Y48" i="19"/>
  <c r="X48" i="19"/>
  <c r="W48" i="19"/>
  <c r="V48" i="19"/>
  <c r="U48" i="19"/>
  <c r="T48" i="19"/>
  <c r="S48" i="19"/>
  <c r="R48" i="19"/>
  <c r="Q48" i="19"/>
  <c r="P48" i="19"/>
  <c r="O48" i="19"/>
  <c r="N48" i="19"/>
  <c r="M48" i="19"/>
  <c r="L48" i="19"/>
  <c r="K48" i="19"/>
  <c r="AN47" i="19"/>
  <c r="AM47" i="19"/>
  <c r="AL47" i="19"/>
  <c r="AK47" i="19"/>
  <c r="AJ47" i="19"/>
  <c r="AI47" i="19"/>
  <c r="AH47" i="19"/>
  <c r="AG47" i="19"/>
  <c r="AF47" i="19"/>
  <c r="AE47" i="19"/>
  <c r="AD47" i="19"/>
  <c r="AC47" i="19"/>
  <c r="AB47" i="19"/>
  <c r="AA47" i="19"/>
  <c r="Z47" i="19"/>
  <c r="Y47" i="19"/>
  <c r="X47" i="19"/>
  <c r="W47" i="19"/>
  <c r="V47" i="19"/>
  <c r="U47" i="19"/>
  <c r="T47" i="19"/>
  <c r="S47" i="19"/>
  <c r="R47" i="19"/>
  <c r="Q47" i="19"/>
  <c r="P47" i="19"/>
  <c r="O47" i="19"/>
  <c r="N47" i="19"/>
  <c r="M47" i="19"/>
  <c r="L47" i="19"/>
  <c r="K47" i="19"/>
  <c r="AN46" i="19"/>
  <c r="AM46" i="19"/>
  <c r="AL46" i="19"/>
  <c r="AK46" i="19"/>
  <c r="AJ46" i="19"/>
  <c r="AI46" i="19"/>
  <c r="AH46" i="19"/>
  <c r="AG46" i="19"/>
  <c r="AF46" i="19"/>
  <c r="AE46" i="19"/>
  <c r="AD46" i="19"/>
  <c r="AC46" i="19"/>
  <c r="AB46" i="19"/>
  <c r="AA46" i="19"/>
  <c r="Z46" i="19"/>
  <c r="Y46" i="19"/>
  <c r="X46" i="19"/>
  <c r="W46" i="19"/>
  <c r="V46" i="19"/>
  <c r="U46" i="19"/>
  <c r="T46" i="19"/>
  <c r="S46" i="19"/>
  <c r="R46" i="19"/>
  <c r="Q46" i="19"/>
  <c r="P46" i="19"/>
  <c r="O46" i="19"/>
  <c r="N46" i="19"/>
  <c r="M46" i="19"/>
  <c r="L46" i="19"/>
  <c r="K46" i="19"/>
  <c r="AN45" i="19"/>
  <c r="AM45" i="19"/>
  <c r="AL45" i="19"/>
  <c r="AK45" i="19"/>
  <c r="AJ45" i="19"/>
  <c r="AI45" i="19"/>
  <c r="AH45" i="19"/>
  <c r="AG45" i="19"/>
  <c r="AF45" i="19"/>
  <c r="AE45" i="19"/>
  <c r="AD45" i="19"/>
  <c r="AC45" i="19"/>
  <c r="AB45" i="19"/>
  <c r="AA45" i="19"/>
  <c r="Z45" i="19"/>
  <c r="Y45" i="19"/>
  <c r="X45" i="19"/>
  <c r="W45" i="19"/>
  <c r="V45" i="19"/>
  <c r="U45" i="19"/>
  <c r="T45" i="19"/>
  <c r="S45" i="19"/>
  <c r="R45" i="19"/>
  <c r="Q45" i="19"/>
  <c r="P45" i="19"/>
  <c r="O45" i="19"/>
  <c r="N45" i="19"/>
  <c r="M45" i="19"/>
  <c r="L45" i="19"/>
  <c r="K45" i="19"/>
  <c r="AN44" i="19"/>
  <c r="AM44" i="19"/>
  <c r="AL44" i="19"/>
  <c r="AK44" i="19"/>
  <c r="AJ44" i="19"/>
  <c r="AI44" i="19"/>
  <c r="AH44" i="19"/>
  <c r="AG44" i="19"/>
  <c r="AF44" i="19"/>
  <c r="AE44" i="19"/>
  <c r="AD44" i="19"/>
  <c r="AC44" i="19"/>
  <c r="AB44" i="19"/>
  <c r="AA44" i="19"/>
  <c r="Z44" i="19"/>
  <c r="Y44" i="19"/>
  <c r="X44" i="19"/>
  <c r="W44" i="19"/>
  <c r="V44" i="19"/>
  <c r="U44" i="19"/>
  <c r="T44" i="19"/>
  <c r="S44" i="19"/>
  <c r="R44" i="19"/>
  <c r="Q44" i="19"/>
  <c r="P44" i="19"/>
  <c r="O44" i="19"/>
  <c r="N44" i="19"/>
  <c r="M44" i="19"/>
  <c r="L44" i="19"/>
  <c r="K44" i="19"/>
  <c r="AN43" i="19"/>
  <c r="AM43" i="19"/>
  <c r="AL43" i="19"/>
  <c r="AK43" i="19"/>
  <c r="AH43" i="19"/>
  <c r="AG43" i="19"/>
  <c r="AF43" i="19"/>
  <c r="AE43" i="19"/>
  <c r="AB43" i="19"/>
  <c r="AA43" i="19"/>
  <c r="Z43" i="19"/>
  <c r="Y43" i="19"/>
  <c r="V43" i="19"/>
  <c r="U43" i="19"/>
  <c r="T43" i="19"/>
  <c r="S43" i="19"/>
  <c r="P43" i="19"/>
  <c r="O43" i="19"/>
  <c r="N43" i="19"/>
  <c r="M43" i="19"/>
  <c r="AM41" i="19"/>
  <c r="AL41" i="19"/>
  <c r="AK41" i="19"/>
  <c r="AJ41" i="19"/>
  <c r="AI41" i="19"/>
  <c r="AH41" i="19"/>
  <c r="AG41" i="19"/>
  <c r="AF41" i="19"/>
  <c r="AE41" i="19"/>
  <c r="AD41" i="19"/>
  <c r="AC41" i="19"/>
  <c r="AB41" i="19"/>
  <c r="AA41" i="19"/>
  <c r="Z41" i="19"/>
  <c r="Y41" i="19"/>
  <c r="X41" i="19"/>
  <c r="W41" i="19"/>
  <c r="V41" i="19"/>
  <c r="U41" i="19"/>
  <c r="T41" i="19"/>
  <c r="S41" i="19"/>
  <c r="R41" i="19"/>
  <c r="Q41" i="19"/>
  <c r="P41" i="19"/>
  <c r="O41" i="19"/>
  <c r="N41" i="19"/>
  <c r="M41" i="19"/>
  <c r="L41" i="19"/>
  <c r="K41" i="19"/>
  <c r="AN40" i="19"/>
  <c r="AM40" i="19"/>
  <c r="AL40" i="19"/>
  <c r="AK40" i="19"/>
  <c r="AJ40" i="19"/>
  <c r="AI40" i="19"/>
  <c r="AH40" i="19"/>
  <c r="AG40" i="19"/>
  <c r="AF40" i="19"/>
  <c r="AE40" i="19"/>
  <c r="AD40" i="19"/>
  <c r="AC40" i="19"/>
  <c r="AB40" i="19"/>
  <c r="AA40" i="19"/>
  <c r="Z40" i="19"/>
  <c r="Y40" i="19"/>
  <c r="X40" i="19"/>
  <c r="W40" i="19"/>
  <c r="V40" i="19"/>
  <c r="U40" i="19"/>
  <c r="T40" i="19"/>
  <c r="S40" i="19"/>
  <c r="R40" i="19"/>
  <c r="Q40" i="19"/>
  <c r="P40" i="19"/>
  <c r="O40" i="19"/>
  <c r="N40" i="19"/>
  <c r="M40" i="19"/>
  <c r="L40" i="19"/>
  <c r="K40" i="19"/>
  <c r="AN39" i="19"/>
  <c r="AM39" i="19"/>
  <c r="AL39" i="19"/>
  <c r="AK39" i="19"/>
  <c r="AJ39" i="19"/>
  <c r="AI39" i="19"/>
  <c r="AH39" i="19"/>
  <c r="AG39" i="19"/>
  <c r="AF39" i="19"/>
  <c r="AE39" i="19"/>
  <c r="AD39" i="19"/>
  <c r="AC39" i="19"/>
  <c r="AB39" i="19"/>
  <c r="AA39" i="19"/>
  <c r="Z39" i="19"/>
  <c r="Y39" i="19"/>
  <c r="X39" i="19"/>
  <c r="W39" i="19"/>
  <c r="V39" i="19"/>
  <c r="U39" i="19"/>
  <c r="T39" i="19"/>
  <c r="S39" i="19"/>
  <c r="R39" i="19"/>
  <c r="Q39" i="19"/>
  <c r="P39" i="19"/>
  <c r="O39" i="19"/>
  <c r="N39" i="19"/>
  <c r="M39" i="19"/>
  <c r="L39" i="19"/>
  <c r="K39" i="19"/>
  <c r="AN38" i="19"/>
  <c r="AM38" i="19"/>
  <c r="AL38" i="19"/>
  <c r="AK38" i="19"/>
  <c r="AJ38" i="19"/>
  <c r="AI38" i="19"/>
  <c r="AH38" i="19"/>
  <c r="AG38" i="19"/>
  <c r="AF38" i="19"/>
  <c r="AE38" i="19"/>
  <c r="AD38" i="19"/>
  <c r="AC38" i="19"/>
  <c r="AB38" i="19"/>
  <c r="AA38" i="19"/>
  <c r="Z38" i="19"/>
  <c r="Y38" i="19"/>
  <c r="X38" i="19"/>
  <c r="W38" i="19"/>
  <c r="V38" i="19"/>
  <c r="U38" i="19"/>
  <c r="T38" i="19"/>
  <c r="S38" i="19"/>
  <c r="R38" i="19"/>
  <c r="Q38" i="19"/>
  <c r="P38" i="19"/>
  <c r="O38" i="19"/>
  <c r="N38" i="19"/>
  <c r="M38" i="19"/>
  <c r="L38" i="19"/>
  <c r="K38" i="19"/>
  <c r="AN37" i="19"/>
  <c r="AM37" i="19"/>
  <c r="AL37" i="19"/>
  <c r="AK37" i="19"/>
  <c r="AJ37" i="19"/>
  <c r="AI37" i="19"/>
  <c r="AH37" i="19"/>
  <c r="AG37" i="19"/>
  <c r="AF37" i="19"/>
  <c r="AE37" i="19"/>
  <c r="AD37" i="19"/>
  <c r="AC37" i="19"/>
  <c r="AB37" i="19"/>
  <c r="AA37" i="19"/>
  <c r="Z37" i="19"/>
  <c r="Y37" i="19"/>
  <c r="X37" i="19"/>
  <c r="W37" i="19"/>
  <c r="V37" i="19"/>
  <c r="U37" i="19"/>
  <c r="T37" i="19"/>
  <c r="S37" i="19"/>
  <c r="R37" i="19"/>
  <c r="Q37" i="19"/>
  <c r="P37" i="19"/>
  <c r="O37" i="19"/>
  <c r="N37" i="19"/>
  <c r="M37" i="19"/>
  <c r="L37" i="19"/>
  <c r="K37" i="19"/>
  <c r="AN36" i="19"/>
  <c r="AM36" i="19"/>
  <c r="AL36" i="19"/>
  <c r="AK36" i="19"/>
  <c r="AJ36" i="19"/>
  <c r="AI36" i="19"/>
  <c r="AH36" i="19"/>
  <c r="AG36" i="19"/>
  <c r="AF36" i="19"/>
  <c r="AE36" i="19"/>
  <c r="AD36" i="19"/>
  <c r="AC36" i="19"/>
  <c r="AB36" i="19"/>
  <c r="AA36" i="19"/>
  <c r="Z36" i="19"/>
  <c r="Y36" i="19"/>
  <c r="X36" i="19"/>
  <c r="W36" i="19"/>
  <c r="V36" i="19"/>
  <c r="U36" i="19"/>
  <c r="T36" i="19"/>
  <c r="S36" i="19"/>
  <c r="R36" i="19"/>
  <c r="Q36" i="19"/>
  <c r="P36" i="19"/>
  <c r="O36" i="19"/>
  <c r="N36" i="19"/>
  <c r="M36" i="19"/>
  <c r="L36" i="19"/>
  <c r="K36" i="19"/>
  <c r="AN35" i="19"/>
  <c r="AM35" i="19"/>
  <c r="AL35" i="19"/>
  <c r="AK35" i="19"/>
  <c r="AJ35" i="19"/>
  <c r="AI35" i="19"/>
  <c r="AH35" i="19"/>
  <c r="AG35" i="19"/>
  <c r="AF35" i="19"/>
  <c r="AE35" i="19"/>
  <c r="AD35" i="19"/>
  <c r="AC35" i="19"/>
  <c r="AB35" i="19"/>
  <c r="AA35" i="19"/>
  <c r="Z35" i="19"/>
  <c r="Y35" i="19"/>
  <c r="X35" i="19"/>
  <c r="W35" i="19"/>
  <c r="V35" i="19"/>
  <c r="U35" i="19"/>
  <c r="T35" i="19"/>
  <c r="S35" i="19"/>
  <c r="R35" i="19"/>
  <c r="Q35" i="19"/>
  <c r="P35" i="19"/>
  <c r="O35" i="19"/>
  <c r="N35" i="19"/>
  <c r="M35" i="19"/>
  <c r="L35" i="19"/>
  <c r="K35" i="19"/>
  <c r="AN34" i="19"/>
  <c r="AM34" i="19"/>
  <c r="AL34" i="19"/>
  <c r="AK34" i="19"/>
  <c r="AJ34" i="19"/>
  <c r="AI34" i="19"/>
  <c r="AH34" i="19"/>
  <c r="AG34" i="19"/>
  <c r="AF34" i="19"/>
  <c r="AE34" i="19"/>
  <c r="AD34" i="19"/>
  <c r="AC34" i="19"/>
  <c r="AB34" i="19"/>
  <c r="AA34" i="19"/>
  <c r="Z34" i="19"/>
  <c r="Y34" i="19"/>
  <c r="X34" i="19"/>
  <c r="W34" i="19"/>
  <c r="V34" i="19"/>
  <c r="U34" i="19"/>
  <c r="T34" i="19"/>
  <c r="S34" i="19"/>
  <c r="R34" i="19"/>
  <c r="Q34" i="19"/>
  <c r="P34" i="19"/>
  <c r="O34" i="19"/>
  <c r="N34" i="19"/>
  <c r="M34" i="19"/>
  <c r="L34" i="19"/>
  <c r="K34" i="19"/>
  <c r="AN33" i="19"/>
  <c r="AM33" i="19"/>
  <c r="AL33" i="19"/>
  <c r="AK33" i="19"/>
  <c r="AH33" i="19"/>
  <c r="AG33" i="19"/>
  <c r="AF33" i="19"/>
  <c r="AE33" i="19"/>
  <c r="AB33" i="19"/>
  <c r="AA33" i="19"/>
  <c r="Z33" i="19"/>
  <c r="Y33" i="19"/>
  <c r="V33" i="19"/>
  <c r="U33" i="19"/>
  <c r="T33" i="19"/>
  <c r="S33" i="19"/>
  <c r="P33" i="19"/>
  <c r="O33" i="19"/>
  <c r="N33" i="19"/>
  <c r="M33" i="19"/>
  <c r="AM31" i="19"/>
  <c r="AL31" i="19"/>
  <c r="AK31" i="19"/>
  <c r="AJ31" i="19"/>
  <c r="AI31" i="19"/>
  <c r="AH31" i="19"/>
  <c r="AG31" i="19"/>
  <c r="AF31" i="19"/>
  <c r="AE31" i="19"/>
  <c r="AD31" i="19"/>
  <c r="AC31" i="19"/>
  <c r="AB31" i="19"/>
  <c r="AA31" i="19"/>
  <c r="Z31" i="19"/>
  <c r="Y31" i="19"/>
  <c r="X31" i="19"/>
  <c r="W31" i="19"/>
  <c r="V31" i="19"/>
  <c r="U31" i="19"/>
  <c r="T31" i="19"/>
  <c r="S31" i="19"/>
  <c r="R31" i="19"/>
  <c r="Q31" i="19"/>
  <c r="P31" i="19"/>
  <c r="O31" i="19"/>
  <c r="N31" i="19"/>
  <c r="M31" i="19"/>
  <c r="L31" i="19"/>
  <c r="K31" i="19"/>
  <c r="AN30" i="19"/>
  <c r="AM30" i="19"/>
  <c r="AL30" i="19"/>
  <c r="AK30" i="19"/>
  <c r="AJ30" i="19"/>
  <c r="AI30" i="19"/>
  <c r="AH30" i="19"/>
  <c r="AG30" i="19"/>
  <c r="AF30" i="19"/>
  <c r="AE30" i="19"/>
  <c r="AD30" i="19"/>
  <c r="AC30" i="19"/>
  <c r="AB30" i="19"/>
  <c r="AA30" i="19"/>
  <c r="Z30" i="19"/>
  <c r="Y30" i="19"/>
  <c r="X30" i="19"/>
  <c r="W30" i="19"/>
  <c r="V30" i="19"/>
  <c r="U30" i="19"/>
  <c r="T30" i="19"/>
  <c r="S30" i="19"/>
  <c r="R30" i="19"/>
  <c r="Q30" i="19"/>
  <c r="P30" i="19"/>
  <c r="O30" i="19"/>
  <c r="N30" i="19"/>
  <c r="M30" i="19"/>
  <c r="L30" i="19"/>
  <c r="K30" i="19"/>
  <c r="AN29" i="19"/>
  <c r="AM29" i="19"/>
  <c r="AL29" i="19"/>
  <c r="AK29" i="19"/>
  <c r="AJ29" i="19"/>
  <c r="AI29" i="19"/>
  <c r="AH29" i="19"/>
  <c r="AG29" i="19"/>
  <c r="AF29" i="19"/>
  <c r="AE29" i="19"/>
  <c r="AD29" i="19"/>
  <c r="AC29" i="19"/>
  <c r="AB29" i="19"/>
  <c r="AA29" i="19"/>
  <c r="Z29" i="19"/>
  <c r="Y29" i="19"/>
  <c r="X29" i="19"/>
  <c r="W29" i="19"/>
  <c r="V29" i="19"/>
  <c r="U29" i="19"/>
  <c r="T29" i="19"/>
  <c r="S29" i="19"/>
  <c r="R29" i="19"/>
  <c r="Q29" i="19"/>
  <c r="P29" i="19"/>
  <c r="O29" i="19"/>
  <c r="N29" i="19"/>
  <c r="M29" i="19"/>
  <c r="L29" i="19"/>
  <c r="K29" i="19"/>
  <c r="AN28" i="19"/>
  <c r="AM28" i="19"/>
  <c r="AL28" i="19"/>
  <c r="AK28" i="19"/>
  <c r="AJ28" i="19"/>
  <c r="AI28" i="19"/>
  <c r="AH28" i="19"/>
  <c r="AG28" i="19"/>
  <c r="AF28" i="19"/>
  <c r="AE28" i="19"/>
  <c r="AD28" i="19"/>
  <c r="AC28" i="19"/>
  <c r="AB28" i="19"/>
  <c r="AA28" i="19"/>
  <c r="Z28" i="19"/>
  <c r="Y28" i="19"/>
  <c r="X28" i="19"/>
  <c r="W28" i="19"/>
  <c r="V28" i="19"/>
  <c r="U28" i="19"/>
  <c r="T28" i="19"/>
  <c r="S28" i="19"/>
  <c r="R28" i="19"/>
  <c r="Q28" i="19"/>
  <c r="P28" i="19"/>
  <c r="O28" i="19"/>
  <c r="N28" i="19"/>
  <c r="M28" i="19"/>
  <c r="L28" i="19"/>
  <c r="K28" i="19"/>
  <c r="AN27" i="19"/>
  <c r="AM27" i="19"/>
  <c r="AL27" i="19"/>
  <c r="AK27" i="19"/>
  <c r="AJ27" i="19"/>
  <c r="AI27" i="19"/>
  <c r="AH27" i="19"/>
  <c r="AG27" i="19"/>
  <c r="AF27" i="19"/>
  <c r="AE27" i="19"/>
  <c r="AD27" i="19"/>
  <c r="AC27" i="19"/>
  <c r="AB27" i="19"/>
  <c r="AA27" i="19"/>
  <c r="Z27" i="19"/>
  <c r="Y27" i="19"/>
  <c r="X27" i="19"/>
  <c r="W27" i="19"/>
  <c r="V27" i="19"/>
  <c r="U27" i="19"/>
  <c r="T27" i="19"/>
  <c r="S27" i="19"/>
  <c r="R27" i="19"/>
  <c r="Q27" i="19"/>
  <c r="P27" i="19"/>
  <c r="O27" i="19"/>
  <c r="N27" i="19"/>
  <c r="M27" i="19"/>
  <c r="L27" i="19"/>
  <c r="K27" i="19"/>
  <c r="AN26" i="19"/>
  <c r="AM26" i="19"/>
  <c r="AL26" i="19"/>
  <c r="AK26" i="19"/>
  <c r="AJ26" i="19"/>
  <c r="AI26" i="19"/>
  <c r="AH26" i="19"/>
  <c r="AG26" i="19"/>
  <c r="AF26" i="19"/>
  <c r="AE26" i="19"/>
  <c r="AD26" i="19"/>
  <c r="AC26" i="19"/>
  <c r="AB26" i="19"/>
  <c r="AA26" i="19"/>
  <c r="Z26" i="19"/>
  <c r="Y26" i="19"/>
  <c r="X26" i="19"/>
  <c r="W26" i="19"/>
  <c r="V26" i="19"/>
  <c r="U26" i="19"/>
  <c r="T26" i="19"/>
  <c r="S26" i="19"/>
  <c r="R26" i="19"/>
  <c r="Q26" i="19"/>
  <c r="P26" i="19"/>
  <c r="O26" i="19"/>
  <c r="N26" i="19"/>
  <c r="M26" i="19"/>
  <c r="L26" i="19"/>
  <c r="K26" i="19"/>
  <c r="AN25" i="19"/>
  <c r="AM25" i="19"/>
  <c r="AL25" i="19"/>
  <c r="AK25" i="19"/>
  <c r="AJ25" i="19"/>
  <c r="AI25" i="19"/>
  <c r="AH25" i="19"/>
  <c r="AG25" i="19"/>
  <c r="AF25" i="19"/>
  <c r="AE25" i="19"/>
  <c r="AD25" i="19"/>
  <c r="AC25" i="19"/>
  <c r="AB25" i="19"/>
  <c r="AA25" i="19"/>
  <c r="Z25" i="19"/>
  <c r="Y25" i="19"/>
  <c r="X25" i="19"/>
  <c r="W25" i="19"/>
  <c r="V25" i="19"/>
  <c r="U25" i="19"/>
  <c r="T25" i="19"/>
  <c r="S25" i="19"/>
  <c r="R25" i="19"/>
  <c r="Q25" i="19"/>
  <c r="P25" i="19"/>
  <c r="O25" i="19"/>
  <c r="N25" i="19"/>
  <c r="M25" i="19"/>
  <c r="L25" i="19"/>
  <c r="K25" i="19"/>
  <c r="AN24" i="19"/>
  <c r="AM24" i="19"/>
  <c r="AL24" i="19"/>
  <c r="AK24" i="19"/>
  <c r="AJ24"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AN23" i="19"/>
  <c r="AM23" i="19"/>
  <c r="AL23" i="19"/>
  <c r="AK23" i="19"/>
  <c r="AH23" i="19"/>
  <c r="AG23" i="19"/>
  <c r="AF23" i="19"/>
  <c r="AE23" i="19"/>
  <c r="AB23" i="19"/>
  <c r="AA23" i="19"/>
  <c r="Z23" i="19"/>
  <c r="Y23" i="19"/>
  <c r="V23" i="19"/>
  <c r="U23" i="19"/>
  <c r="T23" i="19"/>
  <c r="S23" i="19"/>
  <c r="P23" i="19"/>
  <c r="O23" i="19"/>
  <c r="N23" i="19"/>
  <c r="M23" i="19"/>
  <c r="AN41" i="19"/>
  <c r="AN31" i="19"/>
  <c r="AN21" i="19"/>
  <c r="AM21" i="19"/>
  <c r="AL21" i="19"/>
  <c r="AK21" i="19"/>
  <c r="AJ21" i="19"/>
  <c r="AI21" i="19"/>
  <c r="AN20" i="19"/>
  <c r="AM20" i="19"/>
  <c r="AL20" i="19"/>
  <c r="AK20" i="19"/>
  <c r="AJ20" i="19"/>
  <c r="AI20" i="19"/>
  <c r="AN19" i="19"/>
  <c r="AM19" i="19"/>
  <c r="AL19" i="19"/>
  <c r="AK19" i="19"/>
  <c r="AJ19" i="19"/>
  <c r="AI19" i="19"/>
  <c r="AN18" i="19"/>
  <c r="AM18" i="19"/>
  <c r="AL18" i="19"/>
  <c r="AK18" i="19"/>
  <c r="AJ18" i="19"/>
  <c r="AI18" i="19"/>
  <c r="AN17" i="19"/>
  <c r="AM17" i="19"/>
  <c r="AL17" i="19"/>
  <c r="AK17" i="19"/>
  <c r="AJ17" i="19"/>
  <c r="AI17" i="19"/>
  <c r="AN16" i="19"/>
  <c r="AM16" i="19"/>
  <c r="AL16" i="19"/>
  <c r="AK16" i="19"/>
  <c r="AJ16" i="19"/>
  <c r="AI16" i="19"/>
  <c r="AN15" i="19"/>
  <c r="AM15" i="19"/>
  <c r="AL15" i="19"/>
  <c r="AK15" i="19"/>
  <c r="AJ15" i="19"/>
  <c r="AI15" i="19"/>
  <c r="AN14" i="19"/>
  <c r="AM14" i="19"/>
  <c r="AL14" i="19"/>
  <c r="AK14" i="19"/>
  <c r="AJ14" i="19"/>
  <c r="AI14" i="19"/>
  <c r="Q14" i="19"/>
  <c r="AN13" i="19"/>
  <c r="AM13" i="19"/>
  <c r="AL13" i="19"/>
  <c r="AK13" i="19"/>
  <c r="AC14" i="19"/>
  <c r="AD14" i="19"/>
  <c r="AE14" i="19"/>
  <c r="AF14" i="19"/>
  <c r="AH14" i="19"/>
  <c r="AG14" i="19"/>
  <c r="AH21" i="19"/>
  <c r="AF13" i="19"/>
  <c r="AE13" i="19"/>
  <c r="AG15" i="19"/>
  <c r="AG13" i="19"/>
  <c r="AH13" i="19"/>
  <c r="AG21" i="19"/>
  <c r="AF21" i="19"/>
  <c r="AE21" i="19"/>
  <c r="AD21" i="19"/>
  <c r="AC21" i="19"/>
  <c r="AH20" i="19"/>
  <c r="AG20" i="19"/>
  <c r="AF20" i="19"/>
  <c r="AE20" i="19"/>
  <c r="AD20" i="19"/>
  <c r="AC20" i="19"/>
  <c r="AH19" i="19"/>
  <c r="AG19" i="19"/>
  <c r="AF19" i="19"/>
  <c r="AE19" i="19"/>
  <c r="AD19" i="19"/>
  <c r="AC19" i="19"/>
  <c r="AH18" i="19"/>
  <c r="AG18" i="19"/>
  <c r="AF18" i="19"/>
  <c r="AE18" i="19"/>
  <c r="AD18" i="19"/>
  <c r="AC18" i="19"/>
  <c r="AH17" i="19"/>
  <c r="AG17" i="19"/>
  <c r="AF17" i="19"/>
  <c r="AE17" i="19"/>
  <c r="AD17" i="19"/>
  <c r="AC17" i="19"/>
  <c r="AH16" i="19"/>
  <c r="AG16" i="19"/>
  <c r="AF16" i="19"/>
  <c r="AE16" i="19"/>
  <c r="AD16" i="19"/>
  <c r="AC16" i="19"/>
  <c r="AH15" i="19"/>
  <c r="AF15" i="19"/>
  <c r="AE15" i="19"/>
  <c r="AD15" i="19"/>
  <c r="AC15" i="19"/>
  <c r="W21" i="19"/>
  <c r="X21" i="19"/>
  <c r="Y21" i="19"/>
  <c r="Z21" i="19"/>
  <c r="AA21" i="19"/>
  <c r="AB21" i="19"/>
  <c r="AB20" i="19"/>
  <c r="AA20" i="19"/>
  <c r="Z20" i="19"/>
  <c r="Y20" i="19"/>
  <c r="X20" i="19"/>
  <c r="W20" i="19"/>
  <c r="W19" i="19"/>
  <c r="X19" i="19"/>
  <c r="Y19" i="19"/>
  <c r="Z19" i="19"/>
  <c r="AA19" i="19"/>
  <c r="AB19" i="19"/>
  <c r="AB18" i="19"/>
  <c r="AA18" i="19"/>
  <c r="Z18" i="19"/>
  <c r="Y18" i="19"/>
  <c r="X18" i="19"/>
  <c r="W18" i="19"/>
  <c r="W17" i="19"/>
  <c r="X17" i="19"/>
  <c r="Y17" i="19"/>
  <c r="Z17" i="19"/>
  <c r="AA17" i="19"/>
  <c r="AB17" i="19"/>
  <c r="AB16" i="19"/>
  <c r="AA16" i="19"/>
  <c r="Z16" i="19"/>
  <c r="Y16" i="19"/>
  <c r="X16" i="19"/>
  <c r="W16" i="19"/>
  <c r="W15" i="19"/>
  <c r="X15" i="19"/>
  <c r="Y15" i="19"/>
  <c r="Z15" i="19"/>
  <c r="AA15" i="19"/>
  <c r="AB15" i="19"/>
  <c r="AB14" i="19"/>
  <c r="AA14" i="19"/>
  <c r="Z14" i="19"/>
  <c r="Y14" i="19"/>
  <c r="X14" i="19"/>
  <c r="W14" i="19"/>
  <c r="Y13" i="19"/>
  <c r="Z13" i="19"/>
  <c r="AA13" i="19"/>
  <c r="AB13" i="19"/>
  <c r="V21" i="19"/>
  <c r="U21" i="19"/>
  <c r="T21" i="19"/>
  <c r="S21" i="19"/>
  <c r="R21" i="19"/>
  <c r="Q21" i="19"/>
  <c r="Q20" i="19"/>
  <c r="R20" i="19"/>
  <c r="S20" i="19"/>
  <c r="T20" i="19"/>
  <c r="U20" i="19"/>
  <c r="V20" i="19"/>
  <c r="U19" i="19"/>
  <c r="V19" i="19"/>
  <c r="T19" i="19"/>
  <c r="S19" i="19"/>
  <c r="R19" i="19"/>
  <c r="Q19" i="19"/>
  <c r="Q18" i="19"/>
  <c r="R18" i="19"/>
  <c r="S18" i="19"/>
  <c r="T18" i="19"/>
  <c r="U18" i="19"/>
  <c r="V18" i="19"/>
  <c r="V17" i="19"/>
  <c r="U17" i="19"/>
  <c r="T17" i="19"/>
  <c r="S17" i="19"/>
  <c r="R17" i="19"/>
  <c r="Q17" i="19"/>
  <c r="Q16" i="19"/>
  <c r="R16" i="19"/>
  <c r="S16" i="19"/>
  <c r="T16" i="19"/>
  <c r="U16" i="19"/>
  <c r="V16" i="19"/>
  <c r="V15" i="19"/>
  <c r="U15" i="19"/>
  <c r="T15" i="19"/>
  <c r="S15" i="19"/>
  <c r="R15" i="19"/>
  <c r="Q15" i="19"/>
  <c r="V13" i="19"/>
  <c r="V14" i="19"/>
  <c r="U14" i="19"/>
  <c r="T14" i="19"/>
  <c r="S14" i="19"/>
  <c r="R14" i="19"/>
  <c r="S13" i="19"/>
  <c r="T13" i="19"/>
  <c r="U13" i="19"/>
  <c r="P21" i="19"/>
  <c r="O21" i="19"/>
  <c r="N21" i="19"/>
  <c r="M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49" i="18"/>
  <c r="N49" i="18"/>
  <c r="P49" i="18"/>
  <c r="R49" i="18"/>
  <c r="T49" i="18"/>
  <c r="V49" i="18"/>
  <c r="X49" i="18"/>
  <c r="Z49" i="18"/>
  <c r="AB49" i="18"/>
  <c r="AD49" i="18"/>
  <c r="AF49" i="18"/>
  <c r="AH49" i="18"/>
  <c r="AJ49" i="18"/>
  <c r="AL49" i="18"/>
  <c r="AN49" i="18"/>
  <c r="AN47" i="18"/>
  <c r="AH47" i="18"/>
  <c r="AB47" i="18"/>
  <c r="V47" i="18"/>
  <c r="P47" i="18"/>
  <c r="N47" i="18"/>
  <c r="N45" i="18"/>
  <c r="P45" i="18"/>
  <c r="P43" i="18"/>
  <c r="N43" i="18"/>
  <c r="L41" i="18"/>
  <c r="N41" i="18"/>
  <c r="P41" i="18"/>
  <c r="R41" i="18"/>
  <c r="T41" i="18"/>
  <c r="V41" i="18"/>
  <c r="X41" i="18"/>
  <c r="Z41" i="18"/>
  <c r="AB41" i="18"/>
  <c r="AD41" i="18"/>
  <c r="AF41" i="18"/>
  <c r="AH41" i="18"/>
  <c r="AJ41" i="18"/>
  <c r="AL41" i="18"/>
  <c r="AN41" i="18"/>
  <c r="AN39" i="18"/>
  <c r="AH39" i="18"/>
  <c r="AB39" i="18"/>
  <c r="V39" i="18"/>
  <c r="P39" i="18"/>
  <c r="N39" i="18"/>
  <c r="N37" i="18"/>
  <c r="P37" i="18"/>
  <c r="P35" i="18"/>
  <c r="N35" i="18"/>
  <c r="AN33" i="18"/>
  <c r="AL33" i="18"/>
  <c r="AJ33" i="18"/>
  <c r="AH33" i="18"/>
  <c r="AF33" i="18"/>
  <c r="AD33" i="18"/>
  <c r="AB33" i="18"/>
  <c r="Z33" i="18"/>
  <c r="X33" i="18"/>
  <c r="V33" i="18"/>
  <c r="T33" i="18"/>
  <c r="R33" i="18"/>
  <c r="P33" i="18"/>
  <c r="N33" i="18"/>
  <c r="L33" i="18"/>
  <c r="N31" i="18"/>
  <c r="P31" i="18"/>
  <c r="V31" i="18"/>
  <c r="AB31" i="18"/>
  <c r="AH31" i="18"/>
  <c r="AN31" i="18"/>
  <c r="P29" i="18"/>
  <c r="N29" i="18"/>
  <c r="P27" i="18"/>
  <c r="N27" i="18"/>
  <c r="AN25" i="18"/>
  <c r="AL25" i="18"/>
  <c r="AJ25" i="18"/>
  <c r="AN23" i="18"/>
  <c r="AH25" i="18"/>
  <c r="AF25" i="18"/>
  <c r="AD25" i="18"/>
  <c r="AH23" i="18"/>
  <c r="AB25" i="18"/>
  <c r="X25" i="18"/>
  <c r="Z25" i="18"/>
  <c r="AB23" i="18"/>
  <c r="V25" i="18"/>
  <c r="T25" i="18"/>
  <c r="R25" i="18"/>
  <c r="V23" i="18"/>
  <c r="P25" i="18"/>
  <c r="N25" i="18"/>
  <c r="L25" i="18"/>
  <c r="P23" i="18"/>
  <c r="N23" i="18"/>
  <c r="P21" i="18"/>
  <c r="N21" i="18"/>
  <c r="P19" i="18"/>
  <c r="N19" i="18"/>
  <c r="AN17" i="18"/>
  <c r="AL17" i="18"/>
  <c r="AJ17" i="18"/>
  <c r="AN15" i="18"/>
  <c r="AH17" i="18"/>
  <c r="AF17" i="18"/>
  <c r="AD17" i="18"/>
  <c r="AH15" i="18"/>
  <c r="AB17" i="18"/>
  <c r="Z17" i="18"/>
  <c r="X17" i="18"/>
  <c r="AB15" i="18"/>
  <c r="V17" i="18"/>
  <c r="V15" i="18"/>
  <c r="T17" i="18"/>
  <c r="R17" i="18"/>
  <c r="L17" i="18"/>
  <c r="P17" i="18"/>
  <c r="N17" i="18"/>
  <c r="P15" i="18"/>
  <c r="N15" i="18"/>
  <c r="P13" i="18"/>
  <c r="N13" i="18"/>
  <c r="P11" i="18"/>
  <c r="N11" i="18"/>
  <c r="AH15" i="1" l="1"/>
  <c r="AI15" i="1"/>
  <c r="AH16" i="1"/>
  <c r="AI16" i="1"/>
  <c r="AG17" i="1"/>
  <c r="AI17" i="1" s="1"/>
  <c r="AG18" i="1"/>
  <c r="AL21" i="1"/>
  <c r="AI53" i="19"/>
  <c r="AN13" i="18"/>
  <c r="AN29" i="18"/>
  <c r="AN37" i="18"/>
  <c r="AN21" i="18"/>
  <c r="AN45" i="18"/>
  <c r="AI18" i="1" l="1"/>
  <c r="AH18" i="1"/>
  <c r="AH17" i="1"/>
  <c r="F29" i="27"/>
  <c r="E29" i="27"/>
  <c r="G29" i="27" s="1"/>
  <c r="P37" i="1" l="1"/>
  <c r="F221" i="13" l="1"/>
  <c r="F211" i="13"/>
  <c r="F212" i="13"/>
  <c r="F213" i="13"/>
  <c r="F214" i="13"/>
  <c r="F215" i="13"/>
  <c r="F216" i="13"/>
  <c r="F217" i="13"/>
  <c r="F218" i="13"/>
  <c r="F219" i="13"/>
  <c r="F220" i="13"/>
  <c r="F210" i="13"/>
  <c r="B221" i="13" a="1"/>
  <c r="B221" i="13" l="1"/>
  <c r="B223" i="13" l="1"/>
  <c r="B222" i="13"/>
  <c r="H210" i="13" s="1"/>
  <c r="AD53" i="19" l="1"/>
  <c r="X23" i="19"/>
  <c r="AJ13" i="19"/>
  <c r="X13" i="19"/>
  <c r="R43" i="19"/>
  <c r="R33" i="19"/>
  <c r="R53" i="19"/>
  <c r="R23" i="19"/>
  <c r="AD13" i="19"/>
  <c r="X53" i="19"/>
  <c r="AJ43" i="19"/>
  <c r="L43" i="19"/>
  <c r="L33" i="19"/>
  <c r="L53" i="19"/>
  <c r="AJ33" i="19"/>
  <c r="AJ23" i="19"/>
  <c r="L23" i="19"/>
  <c r="X33" i="19"/>
  <c r="AD43" i="19"/>
  <c r="AD33" i="19"/>
  <c r="AJ53" i="19"/>
  <c r="AD23" i="19"/>
  <c r="X43" i="19"/>
  <c r="R13" i="19"/>
  <c r="L13" i="19"/>
  <c r="AC53" i="19"/>
  <c r="W43" i="19"/>
  <c r="W33" i="19"/>
  <c r="W23" i="19"/>
  <c r="W53" i="19"/>
  <c r="AI13" i="19"/>
  <c r="Q43" i="19"/>
  <c r="Q33" i="19"/>
  <c r="K13" i="19"/>
  <c r="Q53" i="19"/>
  <c r="Q23" i="19"/>
  <c r="AC13" i="19"/>
  <c r="AI43" i="19"/>
  <c r="K43" i="19"/>
  <c r="K33" i="19"/>
  <c r="K23" i="19"/>
  <c r="K53" i="19"/>
  <c r="AI33" i="19"/>
  <c r="AI23" i="19"/>
  <c r="AC23" i="19"/>
  <c r="W13" i="19"/>
  <c r="AC43" i="19"/>
  <c r="AC33" i="19"/>
  <c r="Q13" i="19"/>
  <c r="P52" i="19"/>
  <c r="AH42" i="19"/>
  <c r="AH32" i="19"/>
  <c r="AB12" i="19"/>
  <c r="P12" i="19"/>
  <c r="AH52" i="19"/>
  <c r="P42" i="19"/>
  <c r="P32" i="19"/>
  <c r="AH22" i="19"/>
  <c r="P22" i="19"/>
  <c r="AN12" i="19"/>
  <c r="V22" i="19"/>
  <c r="AB52" i="19"/>
  <c r="AB42" i="19"/>
  <c r="AB32" i="19"/>
  <c r="AB22" i="19"/>
  <c r="AH12" i="19"/>
  <c r="V12" i="19"/>
  <c r="AN42" i="19"/>
  <c r="AN32" i="19"/>
  <c r="AN52" i="19"/>
  <c r="V52" i="19"/>
  <c r="V42" i="19"/>
  <c r="V32" i="19"/>
  <c r="AN22" i="19"/>
  <c r="U52" i="19"/>
  <c r="U22" i="19"/>
  <c r="O12" i="19"/>
  <c r="O52" i="19"/>
  <c r="AG42" i="19"/>
  <c r="AG32" i="19"/>
  <c r="AG52" i="19"/>
  <c r="O42" i="19"/>
  <c r="O32" i="19"/>
  <c r="AG22" i="19"/>
  <c r="U12" i="19"/>
  <c r="AM12" i="19"/>
  <c r="AA22" i="19"/>
  <c r="U32" i="19"/>
  <c r="O22" i="19"/>
  <c r="AA52" i="19"/>
  <c r="AA42" i="19"/>
  <c r="AA32" i="19"/>
  <c r="AG12" i="19"/>
  <c r="U42" i="19"/>
  <c r="AM42" i="19"/>
  <c r="AM32" i="19"/>
  <c r="AA12" i="19"/>
  <c r="AM52" i="19"/>
  <c r="AM22" i="19"/>
  <c r="U17" i="1" l="1"/>
  <c r="AL20" i="1"/>
  <c r="L21" i="18"/>
  <c r="L37" i="18"/>
  <c r="R13" i="18"/>
  <c r="R37" i="18"/>
  <c r="AD29" i="18"/>
  <c r="L45" i="18"/>
  <c r="AD45" i="18"/>
  <c r="X13" i="18"/>
  <c r="AJ21" i="18"/>
  <c r="AD37" i="18"/>
  <c r="L13" i="18"/>
  <c r="X21" i="18"/>
  <c r="R21" i="18"/>
  <c r="X37" i="18"/>
  <c r="R29" i="18"/>
  <c r="X29" i="18"/>
  <c r="AJ13" i="18"/>
  <c r="AJ45" i="18"/>
  <c r="X45" i="18"/>
  <c r="R45" i="18"/>
  <c r="AJ29" i="18"/>
  <c r="AD13" i="18"/>
  <c r="L29" i="18"/>
  <c r="AJ37" i="18"/>
  <c r="AD21" i="18"/>
  <c r="Z31" i="18"/>
  <c r="AL23" i="18"/>
  <c r="Z15" i="18"/>
  <c r="Z23" i="18"/>
  <c r="AF39" i="18"/>
  <c r="Z39" i="18"/>
  <c r="AL31" i="18"/>
  <c r="T47" i="18"/>
  <c r="AF15" i="18"/>
  <c r="AL15" i="18"/>
  <c r="T39" i="18"/>
  <c r="AL47" i="18"/>
  <c r="AF23" i="18"/>
  <c r="AL39" i="18"/>
  <c r="T31" i="18"/>
  <c r="T15" i="18"/>
  <c r="AF31" i="18"/>
  <c r="AF47" i="18"/>
  <c r="T23" i="18"/>
  <c r="Z47" i="18"/>
  <c r="Z21" i="18"/>
  <c r="Z29" i="18"/>
  <c r="AL21" i="18"/>
  <c r="AF37" i="18"/>
  <c r="AL29" i="18"/>
  <c r="AF13" i="18"/>
  <c r="T21" i="18"/>
  <c r="AF29" i="18"/>
  <c r="T37" i="18"/>
  <c r="Z37" i="18"/>
  <c r="AL13" i="18"/>
  <c r="T45" i="18"/>
  <c r="T29" i="18"/>
  <c r="AF45" i="18"/>
  <c r="T13" i="18"/>
  <c r="Z45" i="18"/>
  <c r="AL37" i="18"/>
  <c r="AF21" i="18"/>
  <c r="Z13" i="18"/>
  <c r="AL45" i="18"/>
  <c r="R15" i="18"/>
  <c r="AJ23" i="18"/>
  <c r="R39" i="18"/>
  <c r="AJ39" i="18"/>
  <c r="R31" i="18"/>
  <c r="L47" i="18"/>
  <c r="X23" i="18"/>
  <c r="L39" i="18"/>
  <c r="L31" i="18"/>
  <c r="X15" i="18"/>
  <c r="X31" i="18"/>
  <c r="AD39" i="18"/>
  <c r="AJ31" i="18"/>
  <c r="R23" i="18"/>
  <c r="AJ47" i="18"/>
  <c r="AD23" i="18"/>
  <c r="X47" i="18"/>
  <c r="L23" i="18"/>
  <c r="R47" i="18"/>
  <c r="L15" i="18"/>
  <c r="AD31" i="18"/>
  <c r="AD15" i="18"/>
  <c r="AJ15" i="18"/>
  <c r="X39" i="18"/>
  <c r="AD47" i="18"/>
  <c r="AH29" i="18"/>
  <c r="V13" i="18"/>
  <c r="AB45" i="18"/>
  <c r="AH45" i="18"/>
  <c r="AB29" i="18"/>
  <c r="AB13" i="18"/>
  <c r="V29" i="18"/>
  <c r="V37" i="18"/>
  <c r="AH13" i="18"/>
  <c r="AH37" i="18"/>
  <c r="AB37" i="18"/>
  <c r="AB21" i="18"/>
  <c r="V21" i="18"/>
  <c r="V45" i="18"/>
  <c r="AH21" i="18"/>
  <c r="Z19" i="18"/>
  <c r="AL43" i="18"/>
  <c r="AF35" i="18"/>
  <c r="AF11" i="18"/>
  <c r="AN27" i="18"/>
  <c r="AN19" i="18"/>
  <c r="AB43" i="18"/>
  <c r="V27" i="18"/>
  <c r="AN43" i="18"/>
  <c r="AN35" i="18"/>
  <c r="AB19" i="18"/>
  <c r="V11" i="18"/>
  <c r="AN11" i="18"/>
  <c r="AH43" i="18"/>
  <c r="V19" i="18"/>
  <c r="AH35" i="18"/>
  <c r="AH19" i="18"/>
  <c r="AB35" i="18"/>
  <c r="V43" i="18"/>
  <c r="AB11" i="18"/>
  <c r="AH11" i="18"/>
  <c r="AH27" i="18"/>
  <c r="AB27" i="18"/>
  <c r="V35" i="18"/>
  <c r="AK18" i="1" l="1"/>
  <c r="AJ18" i="1" s="1"/>
  <c r="AL18" i="1" s="1"/>
  <c r="AK17" i="1"/>
  <c r="AJ17" i="1" s="1"/>
  <c r="M52" i="19" s="1"/>
  <c r="Z43" i="18"/>
  <c r="T15" i="1"/>
  <c r="AK16" i="1" s="1"/>
  <c r="AJ16" i="1" s="1"/>
  <c r="AL35" i="18"/>
  <c r="AF27" i="18"/>
  <c r="AF19" i="18"/>
  <c r="T11" i="18"/>
  <c r="Z11" i="18"/>
  <c r="Z35" i="18"/>
  <c r="T43" i="18"/>
  <c r="T35" i="18"/>
  <c r="AF43" i="18"/>
  <c r="T19" i="18"/>
  <c r="AL19" i="18"/>
  <c r="AL27" i="18"/>
  <c r="T27" i="18"/>
  <c r="Z27" i="18"/>
  <c r="AL11" i="18"/>
  <c r="AF22" i="19"/>
  <c r="AL22" i="19"/>
  <c r="AF12" i="19"/>
  <c r="Z22" i="19"/>
  <c r="N22" i="19"/>
  <c r="T52" i="19"/>
  <c r="T42" i="19"/>
  <c r="Z32" i="19"/>
  <c r="AL42" i="19"/>
  <c r="Z52" i="19"/>
  <c r="N32" i="19"/>
  <c r="T12" i="19"/>
  <c r="T32" i="19"/>
  <c r="AF32" i="19"/>
  <c r="T22" i="19"/>
  <c r="AF52" i="19"/>
  <c r="N42" i="19"/>
  <c r="AL12" i="19"/>
  <c r="AL32" i="19"/>
  <c r="Z12" i="19"/>
  <c r="N52" i="19"/>
  <c r="AF42" i="19"/>
  <c r="AL52" i="19"/>
  <c r="N12" i="19"/>
  <c r="Z42" i="19"/>
  <c r="AK52" i="19" l="1"/>
  <c r="S42" i="19"/>
  <c r="M42" i="19"/>
  <c r="S32" i="19"/>
  <c r="S22" i="19"/>
  <c r="M32" i="19"/>
  <c r="AE42" i="19"/>
  <c r="AE52" i="19"/>
  <c r="AK32" i="19"/>
  <c r="AK42" i="19"/>
  <c r="M22" i="19"/>
  <c r="AE22" i="19"/>
  <c r="AK22" i="19"/>
  <c r="M12" i="19"/>
  <c r="AE32" i="19"/>
  <c r="AK12" i="19"/>
  <c r="S52" i="19"/>
  <c r="S12" i="19"/>
  <c r="AL17" i="1"/>
  <c r="AE12" i="19"/>
  <c r="AK15" i="1"/>
  <c r="AJ15" i="1" s="1"/>
  <c r="AL15" i="1" s="1"/>
  <c r="R12" i="19"/>
  <c r="X32" i="19"/>
  <c r="AD22" i="19"/>
  <c r="L22" i="19"/>
  <c r="X42" i="19"/>
  <c r="AD12" i="19"/>
  <c r="R52" i="19"/>
  <c r="AJ42" i="19"/>
  <c r="AD32" i="19"/>
  <c r="AJ32" i="19"/>
  <c r="R32" i="19"/>
  <c r="AJ52" i="19"/>
  <c r="AJ22" i="19"/>
  <c r="AJ12" i="19"/>
  <c r="R22" i="19"/>
  <c r="AD52" i="19"/>
  <c r="AD42" i="19"/>
  <c r="L42" i="19"/>
  <c r="L52" i="19"/>
  <c r="R42" i="19"/>
  <c r="L12" i="19"/>
  <c r="X22" i="19"/>
  <c r="X12" i="19"/>
  <c r="L32" i="19"/>
  <c r="X52" i="19" l="1"/>
  <c r="AL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tc={31DE014E-1502-4058-AF14-D12B122223C2}</author>
    <author>tc={7319F458-F751-4993-B913-0ED035E30CF3}</author>
    <author>Calidad ETITC</author>
    <author>tc={1816B48D-01BB-448B-AFCC-2FEDB756BA42}</author>
    <author>tc={8ADAA9EE-5890-4480-85AE-C33717331CF8}</author>
    <author>tc={975DE72D-945A-4BAE-A64E-E42069A0D1CB}</author>
    <author>tc={837D0758-B511-4B9B-885F-44B15625A2B0}</author>
    <author>Carlos Duvan Supanteve Castillo</author>
  </authors>
  <commentList>
    <comment ref="F13" authorId="0" shapeId="0" xr:uid="{31DE014E-1502-4058-AF14-D12B122223C2}">
      <text>
        <t>[Threaded comment]
Your version of Excel allows you to read this threaded comment; however, any edits to it will get removed if the file is opened in a newer version of Excel. Learn more: https://go.microsoft.com/fwlink/?linkid=870924
Comment:
    Para el riesgo Fiscal, solo aplica IMPACTO ECONÓMICO</t>
      </text>
    </comment>
    <comment ref="G13" authorId="1" shapeId="0" xr:uid="{7319F458-F751-4993-B913-0ED035E30CF3}">
      <text>
        <t>[Threaded comment]
Your version of Excel allows you to read this threaded comment; however, any edits to it will get removed if the file is opened in a newer version of Excel. Learn more: https://go.microsoft.com/fwlink/?linkid=870924
Comment:
    Aplica para Riesgo FISCAL</t>
      </text>
    </comment>
    <comment ref="K13" authorId="2" shapeId="0" xr:uid="{00000000-0006-0000-0200-000001000000}">
      <text>
        <r>
          <rPr>
            <sz val="11"/>
            <color theme="1"/>
            <rFont val="Calibri"/>
            <family val="2"/>
            <scheme val="minor"/>
          </rPr>
          <t xml:space="preserve">Inicia con el IMPACTO+ Conector (por) Causa(s) Inmediata(s)+ Conector (debido a) Causa(s) Raíz.
Para el riesgo de Corrupción: se debe tener en cuenta: ACCIÓN U OMISIÓN + USO DEL PODER + DESVIACIÓN DE LA GESTIÓN DE
LO PÚBLICO + EL BENEFICIO PRIVADO. Es decir tener en cuenta los anteriores criterios. 
Aplica para riesgo Gestión/Fiscal/Seguridad de la Información: 
Inicia: IMPACTO+ Conector (por) Causa inmediata+ Conector (debido a) Causa Raíz. 
Riesgos de Corrupción; </t>
        </r>
      </text>
    </comment>
    <comment ref="AU13" authorId="3" shapeId="0" xr:uid="{1816B48D-01BB-448B-AFCC-2FEDB756BA42}">
      <text>
        <t xml:space="preserve">[Threaded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 Así como las desviaciones presentadas en la aplicación del control. </t>
      </text>
    </comment>
    <comment ref="AV13" authorId="4" shapeId="0" xr:uid="{8ADAA9EE-5890-4480-85AE-C33717331CF8}">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 ref="AW13" authorId="5" shapeId="0" xr:uid="{975DE72D-945A-4BAE-A64E-E42069A0D1CB}">
      <text>
        <t>[Threaded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t>
      </text>
    </comment>
    <comment ref="AX13" authorId="6" shapeId="0" xr:uid="{837D0758-B511-4B9B-885F-44B15625A2B0}">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 ref="O15" authorId="7" shapeId="0" xr:uid="{3138D791-6862-4134-BC2F-4E9322DC1C59}">
      <text>
        <r>
          <rPr>
            <b/>
            <sz val="10"/>
            <color indexed="81"/>
            <rFont val="Tahoma"/>
          </rPr>
          <t>Carlos Duvan Supanteve Castillo:</t>
        </r>
        <r>
          <rPr>
            <sz val="10"/>
            <color indexed="81"/>
            <rFont val="Tahoma"/>
          </rPr>
          <t xml:space="preserve">
validar con Antonia la explicación</t>
        </r>
      </text>
    </comment>
    <comment ref="W23" authorId="7" shapeId="0" xr:uid="{AB2F9DA6-F7CD-43E1-B3F7-45363BFD13B6}">
      <text>
        <r>
          <rPr>
            <b/>
            <sz val="10"/>
            <color indexed="81"/>
            <rFont val="Tahoma"/>
          </rPr>
          <t>Carlos Duvan Supanteve Castillo:</t>
        </r>
        <r>
          <rPr>
            <sz val="10"/>
            <color indexed="81"/>
            <rFont val="Tahoma"/>
          </rPr>
          <t xml:space="preserve">
Validar con el área de seguridad de información</t>
        </r>
      </text>
    </comment>
  </commentList>
</comments>
</file>

<file path=xl/sharedStrings.xml><?xml version="1.0" encoding="utf-8"?>
<sst xmlns="http://schemas.openxmlformats.org/spreadsheetml/2006/main" count="845" uniqueCount="492">
  <si>
    <r>
      <rPr>
        <b/>
        <sz val="6"/>
        <color rgb="FF000000"/>
        <rFont val="Arial"/>
        <family val="2"/>
      </rPr>
      <t xml:space="preserve">Escuela Tecnológica Instituto Técnico Central
</t>
    </r>
    <r>
      <rPr>
        <b/>
        <sz val="5"/>
        <color rgb="FF000000"/>
        <rFont val="Arial"/>
        <family val="2"/>
      </rPr>
      <t>Establecimiento Público de Educación Superior</t>
    </r>
  </si>
  <si>
    <t>MAPA Y PLAN DE TRATAMIENTO DE RIESGOS</t>
  </si>
  <si>
    <t>CÓDIGO: GSI- CA-FO-09</t>
  </si>
  <si>
    <t>VERSIÓN: 9</t>
  </si>
  <si>
    <t>VIGENCIA: 2026-04-28</t>
  </si>
  <si>
    <t>PÁGINA:     1 de 1</t>
  </si>
  <si>
    <t xml:space="preserve">PREGUNTAR  RIESGOS DE CORRUPCIÓN </t>
  </si>
  <si>
    <t>CRITERIOS PARA CALIFICAR EL IMPACTO EN RIESGOS DE CORRUPCIÓN</t>
  </si>
  <si>
    <t>CÓDIGO:GSI- CA-FO-09</t>
  </si>
  <si>
    <t>REGRESAR</t>
  </si>
  <si>
    <t>ITEM</t>
  </si>
  <si>
    <t>Criterios para calificar el impacto en riesgos de corrupción</t>
  </si>
  <si>
    <t>MARACAR CON X</t>
  </si>
  <si>
    <t>Pregunta: ¿Si el riesgo de corrupción se materializa podría:</t>
  </si>
  <si>
    <t>SI</t>
  </si>
  <si>
    <t>NO</t>
  </si>
  <si>
    <t>¿Afectar al grupo de funcionarios del proceso?</t>
  </si>
  <si>
    <t>X</t>
  </si>
  <si>
    <t>¿Afectar el cumplimiento de metas y objetivos de la dependencia?</t>
  </si>
  <si>
    <t>¿Afectar el cumplimiento de misión de la entidad?</t>
  </si>
  <si>
    <t>¿Afectar el cumplimiento de la misión del sector al que pertenece la entidad?</t>
  </si>
  <si>
    <t>¿Afectar el cumplimiento de misión del sector al que pertenece la entidad?</t>
  </si>
  <si>
    <t>¿Generar perdida de confianza de la entidad , afectando su reputación?</t>
  </si>
  <si>
    <t>¿Generar perdida de recursos económicos?</t>
  </si>
  <si>
    <t>¿Afectar la generación de los productos o la prestación de los servicios?</t>
  </si>
  <si>
    <t>¿Dar lugar al detrimento de la calidad de vida de la comunidad por la perdida del bien, servicio o recursos públicos?</t>
  </si>
  <si>
    <t>¿Generar pérdida de información de la entidad?</t>
  </si>
  <si>
    <t>¿Generar intervención de los órganos de control, de la Fiscalia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</si>
  <si>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</si>
  <si>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</si>
  <si>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</si>
  <si>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</si>
  <si>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</si>
  <si>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</si>
  <si>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</si>
  <si>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</si>
  <si>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</si>
  <si>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Para la calificación del impacto de los riesgos clasificados con tipología de corrupción, se deberá responder las siguientes preguntas, con el fin de determinar el nivel de impacto del riesgo en caso de llegarse a materializar. 
Una vez responda las diecinueve (19) preguntas para cada uno de los riesgos de corrupción, automáticamente la presente hoja se establecerá el nivel de impacto del riesgo que se encuentra valorando, segun los rangos descritos a continuación:</t>
  </si>
  <si>
    <t xml:space="preserve">
Escuela Tecnológica Instituto Técnico Central
Establecimiento Público de Educación Superior</t>
  </si>
  <si>
    <t>MAPA DE RIESGOS</t>
  </si>
  <si>
    <t>VERSIÓN:  9</t>
  </si>
  <si>
    <t>PÁGINA:    1 de 1</t>
  </si>
  <si>
    <t>Proceso:</t>
  </si>
  <si>
    <t>GESTIÓN DE INFORMÁTICA Y TELECOMUNICACIONES</t>
  </si>
  <si>
    <t>Objetivo:</t>
  </si>
  <si>
    <t>Aprovechar las TIC para mejorar la provisión de servicios digitales, el desarrollo de procesos internos eficientes, la toma de decisiones basadas en datos y el empoderamiento de los ciudadanos generando valor público en un entorno de confianza digital.</t>
  </si>
  <si>
    <t>Alcance:</t>
  </si>
  <si>
    <t>Aplica para todos los procesos desde la generación hasta el retiro de los servicios digitales</t>
  </si>
  <si>
    <t>PRIMERA LÍNEA DE DEFENSA (Líder del Proceso)</t>
  </si>
  <si>
    <t xml:space="preserve">
PRIMERA LÍNEA DE DEFENSA
MONITOREO  
</t>
  </si>
  <si>
    <t xml:space="preserve">SEGUNDA LÍNEA DE DEFENSA  (Oficina asesora de Planeación) 
</t>
  </si>
  <si>
    <t>TERCERA LÍNEA DE DEFENSA (Control Interno)</t>
  </si>
  <si>
    <t>Identificación del riesgo</t>
  </si>
  <si>
    <t>Análisis del riesgo inherente</t>
  </si>
  <si>
    <t>Evaluación del riesgo - Valoración de los controles</t>
  </si>
  <si>
    <t>Documentación</t>
  </si>
  <si>
    <t>Evaluación del riesgo - Nivel del riesgo residual</t>
  </si>
  <si>
    <t>Plan de Tratamiento</t>
  </si>
  <si>
    <t xml:space="preserve">Referencia </t>
  </si>
  <si>
    <t>Tipo de Riesgo  (Clasificación)</t>
  </si>
  <si>
    <t>Impacto</t>
  </si>
  <si>
    <t>Efecto Dañoso (Riesgo Fiscal)</t>
  </si>
  <si>
    <t>Factor</t>
  </si>
  <si>
    <t xml:space="preserve">Causa Inmediata
</t>
  </si>
  <si>
    <t>Causa Raíz-Amenazas</t>
  </si>
  <si>
    <t xml:space="preserve">Descripción del Riesgo
</t>
  </si>
  <si>
    <t>Clasificación del Riesgo</t>
  </si>
  <si>
    <t xml:space="preserve">Seguridad de la Información </t>
  </si>
  <si>
    <t>Frecuencia con la cual se realiza la actividad</t>
  </si>
  <si>
    <t>Probabilidad Inherente</t>
  </si>
  <si>
    <t>%</t>
  </si>
  <si>
    <t>Criterios de impacto</t>
  </si>
  <si>
    <t>Impacto 
Inherente</t>
  </si>
  <si>
    <t>Zona de Riesgo Inherente</t>
  </si>
  <si>
    <t>No. Control</t>
  </si>
  <si>
    <t>Descripción del Control
Responsable+ Frecuencia+ Propósito+ Desviación</t>
  </si>
  <si>
    <t>Soportes del Control</t>
  </si>
  <si>
    <t>Afectación</t>
  </si>
  <si>
    <t>Atributos</t>
  </si>
  <si>
    <t>Probabilidad Residual</t>
  </si>
  <si>
    <t>Probabilidad Residual Final</t>
  </si>
  <si>
    <t>Impacto Residual Final</t>
  </si>
  <si>
    <t>Zona de Riesgo Final</t>
  </si>
  <si>
    <t>Tratamiento</t>
  </si>
  <si>
    <t>No. Acciones</t>
  </si>
  <si>
    <t xml:space="preserve"> Acción</t>
  </si>
  <si>
    <t>Responsable</t>
  </si>
  <si>
    <t xml:space="preserve"> Evidencia de la Acción</t>
  </si>
  <si>
    <t>Fecha Implementación</t>
  </si>
  <si>
    <t xml:space="preserve">Fecha de Reporte </t>
  </si>
  <si>
    <t>¿El riesgo se materializó?</t>
  </si>
  <si>
    <t xml:space="preserve">
Avance de Ejecución de Control(es)</t>
  </si>
  <si>
    <t xml:space="preserve">Evidencias de la ejecución del Control </t>
  </si>
  <si>
    <t xml:space="preserve">
Avance de Ejecución de Plan de Tratamiento</t>
  </si>
  <si>
    <t>Evidencias de la ejecucióndel Plan de Tratamiento</t>
  </si>
  <si>
    <t xml:space="preserve">Estado del Plan de Acción </t>
  </si>
  <si>
    <t>Fecha Seguimiento</t>
  </si>
  <si>
    <t xml:space="preserve">Seguimiento
</t>
  </si>
  <si>
    <t xml:space="preserve">Ubicación de las evidencias </t>
  </si>
  <si>
    <t xml:space="preserve">Seguimiento y Evaluación
</t>
  </si>
  <si>
    <t>Activo de información afectado</t>
  </si>
  <si>
    <t>Criterio afectado</t>
  </si>
  <si>
    <t>Tipo</t>
  </si>
  <si>
    <t>Implementación</t>
  </si>
  <si>
    <t>Calificación</t>
  </si>
  <si>
    <t>Frecuencia</t>
  </si>
  <si>
    <t>Evidencia</t>
  </si>
  <si>
    <t>Gestión</t>
  </si>
  <si>
    <t>Reputacional</t>
  </si>
  <si>
    <t>Tecnología</t>
  </si>
  <si>
    <t>Indisponibilidad, de los activos de información por falta de actualizaciones y/o mala configuración</t>
  </si>
  <si>
    <t>Desactualizaciones o problemas en las configuraciones de los sistemas de información gestionados por el Proceso Gestión de Informática y Telecomunicaciones- GIT</t>
  </si>
  <si>
    <t>Posibilidad de afectación reputacional, por Indisponibilidad  de los activos de información, debido a desactualizaciones y/o problemas en las configuraciones de los sistemas de información gestionados por el Proceso Gestión de Informática y Telecomunicaciones- GIT</t>
  </si>
  <si>
    <t>Fallas Tecnologicas</t>
  </si>
  <si>
    <t>Hardware</t>
  </si>
  <si>
    <t>Disponibilidad</t>
  </si>
  <si>
    <t xml:space="preserve">     El riesgo afecta la imagen de la entidad con algunos usuarios de relevancia frente al logro de los objetivos</t>
  </si>
  <si>
    <t>El profesional líder de área del Proceso GIT, realizará de manera cuatrimestral, seguimiento al plan de acción del área, en este plan se incluyen actividades de seguimiento al plan de mantenimiento. En caso de identificar alguna desviación, retraso o incumplimiento en las actividades programadas, documentará las causas y definirá las acciones correctivas o preventivas correspondientes para su ajuste.</t>
  </si>
  <si>
    <t>Seguimiento plan de acción del área
Documentación cuando se genere incumplimiento (Cuando Aplique)</t>
  </si>
  <si>
    <t>Preventivo</t>
  </si>
  <si>
    <t>Manual</t>
  </si>
  <si>
    <t>Documentado</t>
  </si>
  <si>
    <t>Continua</t>
  </si>
  <si>
    <t>Con Registro</t>
  </si>
  <si>
    <t>Plan de Acción con seguimiento</t>
  </si>
  <si>
    <t>Reducir (mitigar)</t>
  </si>
  <si>
    <t>Seguimiento Plan de acció del cuatrimestre correspondiente</t>
  </si>
  <si>
    <t>Carlos Supanteve</t>
  </si>
  <si>
    <t>Excel de seguimiento</t>
  </si>
  <si>
    <t>El profesional de infraestructura tecnológica, haciendo uso del plan de mantenimiento preventivo, realizará las debidas configuraciones establecidas en los tiempos estipulados en el plan para los activos de información que deban tener esta medida. En caso de presentar alguna desviación, retraso o impedimento técnico para aplicar las configuraciones en el tiempo estipulado, documentará las causas y definirá las acciones correctivas, ajustes o ventanas de mantenimiento adicionales necesarias para garantizar la ejecución de la medida.</t>
  </si>
  <si>
    <t xml:space="preserve">Plan de mantenimiento Ejecutado (Plan Mastro pasado)
Documentación cuando se genere incumplimiento (Cuando Aplique)
</t>
  </si>
  <si>
    <t>Plan de mantenimiento ejecutado</t>
  </si>
  <si>
    <t>Seguimiento al plan de mantenimiento</t>
  </si>
  <si>
    <t>Crsitian Rodriguez</t>
  </si>
  <si>
    <t>Por la no segregación de roles y pefiles en la administración de los sistemas de infornación</t>
  </si>
  <si>
    <t>Accesos no autorizados a la información sensible de los sistemas de información (Confidencialidad)</t>
  </si>
  <si>
    <t>Posibilidad de afectación reputacional, por no segregación de roles y perfiles en la administración de los sistemas de información,debido a accesos no autorizados a la información sensible de los sistemas de información (Confidencialidad)</t>
  </si>
  <si>
    <t>Software</t>
  </si>
  <si>
    <t>Confidencialidad</t>
  </si>
  <si>
    <t>El profesional líder del área Proceso GIT, realizará seguimiento y verificación a la matriz de roles y perfiles de acceso a los sistemas de información y/o bases de datos de la entidad de manera semestral, para actualizar los dueños y/o administradores. En caso de identificar alguna desviación, como inconsistencias en los perfiles asignados, cuentas desactualizadas o retrasos en la verificación, documentará los hallazgos y ejecutará las acciones correctivas necesarias, tales como la regularización o revocación inmediata de los accesos.</t>
  </si>
  <si>
    <t>Matriz de roles y perfiles
Documentación cuando se genere incumplimiento (Cuando Aplique)</t>
  </si>
  <si>
    <t>Matriz de roles y perfiles</t>
  </si>
  <si>
    <t>Actualización de la matriz de Roles y perfiles</t>
  </si>
  <si>
    <t>Lidya</t>
  </si>
  <si>
    <t>Matriz de Roles y Perfiles</t>
  </si>
  <si>
    <t>El profesional líder del área Proceso GIT, realizará anualmente a los administradores de los sistemas de información, socialización de la segregación de roles, para mantener una cultura de seguridad en la entidad. En caso de identificar alguna desviación, como el incumplimiento en la periodicidad anual o la inasistencia de administradores convocados, documentará las causas y definirá las acciones correctivas necesarias, tales como la reprogramación de las sesiones o el uso de estrategias alternas para garantizar la cobertura total de la socialización.</t>
  </si>
  <si>
    <t>Lista de Asistencia de las capacitaciones
Documentación cuando se genere incumplimiento (Cuando Aplique)</t>
  </si>
  <si>
    <t>Lista de asistencia</t>
  </si>
  <si>
    <t xml:space="preserve">Sesiones de Capacitación - Socialización  </t>
  </si>
  <si>
    <t>Lidya
Carlos
Jair</t>
  </si>
  <si>
    <t>Acta de la socialicación</t>
  </si>
  <si>
    <t>Económico y Reputacional</t>
  </si>
  <si>
    <t>Daños,  fallas o incidencias  de los sistemas criticos de la entidad por parte de los proveedores externos</t>
  </si>
  <si>
    <t>Ausencia de una matriz de ANS  definida  que afecte directamente los sistemas criticos de la entidad (Disponibilidad)</t>
  </si>
  <si>
    <t>Posibilidad de afectación económica por daños,  fallas o incidencias  de los sistemas criticos de la entidad por parte de los proveedores externos, debido a la ausencia de una matriz de ANS (Disponibilidad).</t>
  </si>
  <si>
    <t>Servicios</t>
  </si>
  <si>
    <t>El profesional líder del área Proceso GIT, en los procesos contractuales, solicitará la matriz de ANS y la respuesta a eventos inesperados que afecten los sistemas críticos de la entidad. En caso de identificar alguna desviación, como la omisión en la entrega de estos documentos por parte del proveedor o que los mismos no cumplan con los requerimientos exigidos, documentará los hallazgos y definirá las acciones correctivas pertinentes, tales como la solicitud de ajustes inmediatos al proveedor antes de formalizar el servicio o el requerimiento de cumplimiento contractual.</t>
  </si>
  <si>
    <t>Matriz ANS del proveedor ajustada a sistema critico afectado
Documentación cuando se genere incumplimiento (Cuando Aplique)</t>
  </si>
  <si>
    <t>matriz ANS</t>
  </si>
  <si>
    <t>Matriz de Acuerdos de Nivel de Servicio</t>
  </si>
  <si>
    <t>Jair
Carlos
Lidya</t>
  </si>
  <si>
    <t>Excel Matriz</t>
  </si>
  <si>
    <t>D11 - Incumplimiento de las metas formuladas en el Plan de Desarrollo Institucional 2025-2032</t>
  </si>
  <si>
    <t>NA</t>
  </si>
  <si>
    <t>El profesional líder del área Proceso GIT, validará que en los estudios previos se encuentre detallada de forma clara la información asociada a los tiempos de cumplimiento de la matriz de Acuerdos de Nivel de Servicio (ANS). En caso de identificar alguna desviación, como la ausencia, ambigüedad o definición incompleta de estos tiempos, documentará los hallazgos y definirá las acciones correctivas necesarias, tales como la devolución del documento para su respectivo ajuste antes de continuar con el proceso de contratación.</t>
  </si>
  <si>
    <t>Estudios Previos
Documentación cuando se genere incumplimiento (Cuando Aplique)</t>
  </si>
  <si>
    <t>Estudios Previos</t>
  </si>
  <si>
    <t>Revisión de estudios previos</t>
  </si>
  <si>
    <t>Acta revisión</t>
  </si>
  <si>
    <t>Fiscal</t>
  </si>
  <si>
    <t>Económico</t>
  </si>
  <si>
    <t>Recursos Públicos</t>
  </si>
  <si>
    <t xml:space="preserve">Uso inadecuado de la infraestructura tecnológica asignada a los usuarios </t>
  </si>
  <si>
    <t>Exposición  de condiciones de operación inadecuadas (sobrecarga, temperatura, humedad o fallas eléctricas  (Disponibilidad)</t>
  </si>
  <si>
    <t xml:space="preserve">Posibilidad de afectación dañosa sobre bien público por uso inadecuado de la infraestructura tecnológica asignada a los usuarios debido a exposición  de condiciones de operación inadecuadas (sobrecarga, temperatura, humedad o fallas eléctricas </t>
  </si>
  <si>
    <t>Daños Activos Fisicos</t>
  </si>
  <si>
    <t>El profesional líder del área Proceso GIT, realizará seguimiento a la ejecución de los planes de mantenimiento de los equipos asignados a los usuarios. En caso de identificar alguna desviación, como mantenimientos no ejecutados, retrasos frente al cronograma establecido o fallas recurrentes reportadas, documentará las causas y definirá las acciones correctivas necesarias, tales como la reprogramación prioritaria de los equipos pendientes o la escalación con el área de soporte o proveedor encargado."</t>
  </si>
  <si>
    <t>Ejecución del plan de matenimiento</t>
  </si>
  <si>
    <t>Seguimiento plan de mantenimiento</t>
  </si>
  <si>
    <t>Cristian</t>
  </si>
  <si>
    <t>Seguimiento plan de acción</t>
  </si>
  <si>
    <t>El Administrador de la mesa de ayuda realizará un informe técnico detallado de los mantenimientos ejecutados a los elementos tecnológicos de la entidad. En caso de identificar alguna desviación, como retrasos en la entrega del informe, información técnica incompleta o inconsistencias frente a los mantenimientos efectivamente realizados, documentará los hallazgos y definirá las acciones correctivas necesarias, tales como la solicitud de subsanación inmediata del documento o el requerimiento de aclaraciones a los técnicos o proveedores involucrados.</t>
  </si>
  <si>
    <t>Informe del mantenimiento realizado</t>
  </si>
  <si>
    <t>Informe técnico</t>
  </si>
  <si>
    <t>Informes mantenimiento</t>
  </si>
  <si>
    <t>Cristian 
Lidya</t>
  </si>
  <si>
    <t>Corrupción</t>
  </si>
  <si>
    <t>Procesos</t>
  </si>
  <si>
    <t>Uso indebida de la administración de accesos y privilegios tecnológicos asignados a los funcionarios de la entidad</t>
  </si>
  <si>
    <t>Ausencia de controles en la información privilegiada, afectando la confidencialidad de la información</t>
  </si>
  <si>
    <t xml:space="preserve">Posibilidad de afectación reputacional y económica por manipulación indebida de la administración de accesos y privilegios tecnológicos para favorecer intereses propios o de terceros, debido a la ausencia de controles en la información privilegiada, afectando la integridad y confiabilidad de la información institucional. 
</t>
  </si>
  <si>
    <t>Fraude Interno</t>
  </si>
  <si>
    <t>Mayor (Corrupción)</t>
  </si>
  <si>
    <t>El profesional líder del Proceso GIT, en articulación con el líder del Sistema de Seguridad de la Información, revisará de manera semestral la Política de Autenticación Multifactor (MFA) para asegurar su aplicabilidad y vigencia en la Escuela. En caso de identificar alguna desviación, como el incumplimiento en la periodicidad de la revisión o el hallazgo de lineamientos desactualizados frente a la realidad tecnológica o normativa de la entidad, se documentarán las causas y se definirán las acciones correctivas necesarias, tales como la actualización inmediata del documento y su respectivo trámite de aprobación.</t>
  </si>
  <si>
    <t>Acta de sesión de revisión
Documentación cuando se genere incumplimiento (Cuando Aplique)
Instrumento de excepciones para el MFA (Cuando Aplique)</t>
  </si>
  <si>
    <t>Acta de sesión</t>
  </si>
  <si>
    <t>Acta revisión de la política  MFA</t>
  </si>
  <si>
    <t>Jair Contreras</t>
  </si>
  <si>
    <t xml:space="preserve">El profesional líder del Proceso GIT revisará de forma semestral las políticas de cambio de contraseña en los sistemas de información, para asegurar su vigencia y correcta configuración técnica. En caso de identificar alguna desviación, como el incumplimiento en la periodicidad de la revisión, lineamientos desactualizados o inconsistencias entre la política, manuales y los parámetros reales configurados en los sistemas, documentará los hallazgos y definirá las acciones correctivas necesarias, tales como la actualización del documento normativo o la exigencia de ajustes técnicos inmediatos en las plataformas.
</t>
  </si>
  <si>
    <t>Acta de  la revisión y/o Informe técnico
Documentación cuando se genere incumplimiento (Cuando Aplique)</t>
  </si>
  <si>
    <t>Informe técnico de la revisión</t>
  </si>
  <si>
    <r>
      <rPr>
        <sz val="11"/>
        <color theme="9"/>
        <rFont val="Arial"/>
        <family val="2"/>
      </rPr>
      <t xml:space="preserve">*Nota: </t>
    </r>
    <r>
      <rPr>
        <sz val="11"/>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</si>
  <si>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r>
      <rPr>
        <b/>
        <sz val="14"/>
        <rFont val="Arial"/>
        <family val="2"/>
      </rPr>
      <t>LIDER DEL PROCESO:</t>
    </r>
    <r>
      <rPr>
        <sz val="14"/>
        <rFont val="Arial"/>
        <family val="2"/>
      </rPr>
      <t xml:space="preserve"> Hno. Ariosto Ardila Silva</t>
    </r>
  </si>
  <si>
    <t>Iniciada</t>
  </si>
  <si>
    <t>Sin iniciar</t>
  </si>
  <si>
    <t>CLASIF. DE CONFIDENCIALIDAD</t>
  </si>
  <si>
    <t>IPB</t>
  </si>
  <si>
    <t>CLASIF. DE INTEGRIDAD</t>
  </si>
  <si>
    <t>A</t>
  </si>
  <si>
    <t>CLASIF. DE DISPONIBILIDAD</t>
  </si>
  <si>
    <t>cumplida</t>
  </si>
  <si>
    <t xml:space="preserve">Documento controlado por el Sistema de Gestión de la Calidad
Asegúrese que corresponde a la última versión consultando el micrositio de calidad de la Escuela Tecnológica Instituto Técnico Central (ETITC) </t>
  </si>
  <si>
    <t>Incumplida</t>
  </si>
  <si>
    <t>Criterios_Impacto</t>
  </si>
  <si>
    <t xml:space="preserve">     Afectación menor a 10 SMLMV .</t>
  </si>
  <si>
    <t>Leve</t>
  </si>
  <si>
    <t xml:space="preserve">     Entre 10 y 50 SMLMV </t>
  </si>
  <si>
    <t>Menor</t>
  </si>
  <si>
    <t xml:space="preserve">     Entre 50 y 100 SMLMV </t>
  </si>
  <si>
    <t>Moderado</t>
  </si>
  <si>
    <t xml:space="preserve">     Entre 100 y 500 SMLMV </t>
  </si>
  <si>
    <t>Mayor</t>
  </si>
  <si>
    <t xml:space="preserve">     Mayor a 500 SMLMV </t>
  </si>
  <si>
    <t>Catastrófico</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</si>
  <si>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</si>
  <si>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</si>
  <si>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</si>
  <si>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</si>
  <si>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Moderado (Corrupción)</t>
  </si>
  <si>
    <t>Catastrófico (Corrupción)</t>
  </si>
  <si>
    <t>14.	Tipología de riesgos que enmarcan la política de administración del riesgo</t>
  </si>
  <si>
    <t>6.4.	 Identificación de áreas de factores de riesgo</t>
  </si>
  <si>
    <t>Efecto Dañoso (fiscal)</t>
  </si>
  <si>
    <t>FACTOR</t>
  </si>
  <si>
    <t xml:space="preserve">Clasificacion del riesgo </t>
  </si>
  <si>
    <t xml:space="preserve">Riesgo Materializado </t>
  </si>
  <si>
    <t>Activo de información</t>
  </si>
  <si>
    <t>Criterio</t>
  </si>
  <si>
    <t>Plan de accion (solo para la opción reducir)</t>
  </si>
  <si>
    <t>•	Procesos</t>
  </si>
  <si>
    <t>Evento externo</t>
  </si>
  <si>
    <t>Información</t>
  </si>
  <si>
    <t>Automático</t>
  </si>
  <si>
    <t>Registro Sustancial</t>
  </si>
  <si>
    <t>Aceptar</t>
  </si>
  <si>
    <t>Finalizado</t>
  </si>
  <si>
    <t>•	Talento humano</t>
  </si>
  <si>
    <t>Bienes Públicos</t>
  </si>
  <si>
    <t>Financiero</t>
  </si>
  <si>
    <t>Ejecucion y Administracion de procesos</t>
  </si>
  <si>
    <t xml:space="preserve">Software </t>
  </si>
  <si>
    <t>Detectivo</t>
  </si>
  <si>
    <t>Sin Documentar</t>
  </si>
  <si>
    <t>Aleatoria</t>
  </si>
  <si>
    <t>Registro Material</t>
  </si>
  <si>
    <t>Evitar</t>
  </si>
  <si>
    <t>En curso</t>
  </si>
  <si>
    <t>•	Tecnología</t>
  </si>
  <si>
    <t>Intereses Patrimoniales de Naturaleza Pública</t>
  </si>
  <si>
    <t>Infraestructura</t>
  </si>
  <si>
    <t>Integridad</t>
  </si>
  <si>
    <t>Correctivo</t>
  </si>
  <si>
    <t>Sin registro</t>
  </si>
  <si>
    <t>Reducir</t>
  </si>
  <si>
    <t>•	Infraestructura</t>
  </si>
  <si>
    <t>Fraude Externo</t>
  </si>
  <si>
    <t>NO APLICA</t>
  </si>
  <si>
    <t>•	Evento externo</t>
  </si>
  <si>
    <t>Talento humano</t>
  </si>
  <si>
    <t>Intangibles</t>
  </si>
  <si>
    <t>Reducir (compartir)</t>
  </si>
  <si>
    <t>Relaciones Laborales</t>
  </si>
  <si>
    <t>Componentes
de red</t>
  </si>
  <si>
    <t>Usuarios, productos y practicas , organizacionales</t>
  </si>
  <si>
    <t>Personas</t>
  </si>
  <si>
    <t>Instalaciones</t>
  </si>
  <si>
    <t>Redaccion del Riesgo General</t>
  </si>
  <si>
    <t xml:space="preserve">Redaccion del Riesgo  fiscal </t>
  </si>
  <si>
    <t>CONTEXTO - DOFA</t>
  </si>
  <si>
    <t>DEBILIDADES</t>
  </si>
  <si>
    <t>ESTADO</t>
  </si>
  <si>
    <t>D1. Falta de disponibilidad de recurso humano contratado, con cobertura en las diferentes sedes, Seccionales, Extensiones, unidades Agroambientales y Oficinas de la Universidad, que garantice el apoyo continuó durante todo el período académico</t>
  </si>
  <si>
    <t>D2. Falta de conocimiento de la normatividad legal vigente, aplicable y actualizada, relacionada con aspectos e impactos ambientales asociados al desempeño ambiental institucional y de su respectivo seguimiento.</t>
  </si>
  <si>
    <t>D3. Falta de conocimiento, participación, de la totalidad de  la comunidad universitaria y otras partes interesadas del  Sistema de Gestión Ambiental, y las actividades de implementación del mismo, de la Política Ambiental y  Programas ambientales del Plan Institucional de Gestión Ambiental PIGA.</t>
  </si>
  <si>
    <t>D4. Falta de compromiso y sentido de pertenencia con los temas ambientales por parte de algunos sectores de la comunidad universitaria y otras partes interesadas, reflejado en la falta de participación  en actividades del SGA y de lineamientos ambientales.</t>
  </si>
  <si>
    <t>D5. Falta de articulación de los lineamientos del SGA con los procesos del Modelo de Operación Digital</t>
  </si>
  <si>
    <t xml:space="preserve">D6. Falta de articulación con la academia en temas ambientales, reflejado en el bajo porcentaje de cobertura del Sistema de Gestión de Ambiental respecto a los estudiantes en relación en relación al porcentaje que representan en la comunidad universitaria. </t>
  </si>
  <si>
    <t xml:space="preserve">D7. Falta de articulación de temas ambientales con el Plan de Emergencias Institucional  </t>
  </si>
  <si>
    <t xml:space="preserve">D8. Falta de recursos disponibles de forma oportuna para el desarrollo y continuidad de actividades del Sistema de Gestión Ambiental. </t>
  </si>
  <si>
    <t>D9. Falta  de recursos para desplazamientos del equipo del Sistema de Gestión Ambiental.</t>
  </si>
  <si>
    <t>D10.  Incumplimiento del código de colores de clasificación de residuos institucional por desconocimiento, falta de conciencia ambiental y compromiso de parte de algunos sectores de la comunidad universitaria y otras partes interesadas, o por no contar con la totalidad de los dispositivos de almacenamiento requeridos.</t>
  </si>
  <si>
    <t>AMENAZAS</t>
  </si>
  <si>
    <t>A1. Prácticas ambientales inadecuadas por parte de vecinos de la comunidad circundante a las instalaciones de la Universidad, que puedan afectar su desempeño ambiental.</t>
  </si>
  <si>
    <t xml:space="preserve">A2. Afectación en el desarrollo de actividades presenciales o virtuales, internas y externas del SGA, debido al riesgo de contagio por virus que puedan alcanzar el nivel de pandemia </t>
  </si>
  <si>
    <t>A3. Falta  de alcance en servicios públicos o de comunicación, y condiciones específicas  de la infraestructura  de algunas sedes.</t>
  </si>
  <si>
    <t>A4. Falta de participación  de las partes interesadas externas en las actividades del Sistema de Gestión Ambiental.</t>
  </si>
  <si>
    <t>A5. Afectación de actividades  del Sistema de Gestión ambiental internas o externas), y  de recursos, elementos o insumos del Plan Institucional de Gestión Ambiental -PIGA, por alteraciones de orden público como manifestaciones, paros,  disturbios y asonadas.</t>
  </si>
  <si>
    <t>A6. Afectación de fenómenos naturales (Cambio climático, fenómeno del niño y la niña, sismos, incendios, caída de árboles, Vendavales) y antrópicos (Orden publico y manifestaciones estudiantiles) que puedan afectar las instalaciones.</t>
  </si>
  <si>
    <t xml:space="preserve">A7. Sanciones o multas por incumplimiento legal </t>
  </si>
  <si>
    <t>A8. Rotación constante de personal en diferentes procesos</t>
  </si>
  <si>
    <t>FORTALEZAS</t>
  </si>
  <si>
    <t>F1.Compromiso de la alta  Dirección para apoyar el proceso, reflejado en liderazgo de Directores Administrativos y del Rector.​</t>
  </si>
  <si>
    <t>F2. Articulación del Sistema de Gestión Ambiental a nivel institucional en Sede, Seccionales y Extensiones.</t>
  </si>
  <si>
    <t>F3. Equipo de profesionales del  Sistema de Gestión Ambiental con competencia  y actitud propositiva en el proceso de planeación, implementación, seguimiento y preparación para los procesos de auditoría del SGA.</t>
  </si>
  <si>
    <t>F4. Disponibilidad de la documentación del Sistema de Gestión ambiental en el sitio web del Modelo de Operación digital, en el marco del PHVA: Caracterización, Política y Objetivos de Gestión Ambiental, Plan Institucional de Gestión Ambiental - PIGA y programas ambientales, Procedimientos, Formatos, Matrices y otros registros SGA.</t>
  </si>
  <si>
    <t>F5.Asignación de rubro para implementación y certificación  del Sistema de Gestión Ambiental_ISO 14001:2015 a través del Proyecto UCundinamarca en Equilibrio con la Naturaleza.</t>
  </si>
  <si>
    <t>F6.Fortalecimiento de la cultura ambiental  a nivel institucional a través del #Reto Ambientalmente en equilibrio con la naturaleza, eventos y capacitaciones ambientales.</t>
  </si>
  <si>
    <t>F7.Divulgación de la Gestión ambiental con la comunidad universitaria y otras partes interesadas a través de publicaciones y eventos en canales institucionales como la página web, la agencia de noticias, redes sociales, revistas digitales de las Seccionales, Extensiones y Periódico digital institucional.</t>
  </si>
  <si>
    <t>F8. Implementación del código de colores de clasificación de residuos con la instalación gradual de Unidades Técnicas de Almacenamiento Central -UTAC-  y Puntos ecológicos en Sede, Seccionales y Extensiones.</t>
  </si>
  <si>
    <t>F9. Implementación de estrategias de sostenibilidad en la Sede, Seccionales y Extensiones, mediante la instalación de dispositivos de ahorro de agua y de energía como paneles fotovoltaicos e iluminación LED.</t>
  </si>
  <si>
    <t>F10.Articulación con los demás componentes del Sistema Integrado de Gestión como: SG SST, SGSI, SGC y con las diferentes procesos y dependencias.</t>
  </si>
  <si>
    <t>F11. Proceso de Medición de Huella de Carbono y reporte internacional de sostenibilidad GRI en articulación con Interacción Social Universitaria y diferentes dependencias relacionadas.</t>
  </si>
  <si>
    <t>F12. Articulación del Sistema de Gestión Ambiental  como parte del proceso de formación para la vida de la comunidad universitaria, desde la dimensión naturaleza del Modelo de Educación Digital Transmoderno -MEDIT.</t>
  </si>
  <si>
    <t>F13. Participación activa de los estudiantes en la Gestión Ambiental Institucional como practicantes y pasantes al SGA</t>
  </si>
  <si>
    <t>F14 Articulación de criterios  ambientales en los procesos  de compras institucionales.</t>
  </si>
  <si>
    <t>F15. Disponibilidad de canales institucionales para la comunicación de solicitudes, felicitaciones</t>
  </si>
  <si>
    <t>OPORTUNIDADES</t>
  </si>
  <si>
    <t xml:space="preserve">O1. Fortalecer la articulación  del  Sistema de Gestión ambiental, con las partes interesadas Internas y  Externas de forma translocal a través de la cultura ambiental.     </t>
  </si>
  <si>
    <t>O2. Ampliar la  cobertura  del proceso de cultura ambiental de la comunidad universitaria con base en la Política de Gestión Ambiental, y los programas del Plan Institucional de Gestión Ambiental -PIGA.</t>
  </si>
  <si>
    <t>O3. Ampliar la cobertura de contenedores para disposición de residuos sólidos y  Unidades Técnicas de Almacenamiento Central UTAC en Sedes, Seccionales y Extensiones</t>
  </si>
  <si>
    <t>O4.Pomover alianzas para el desarrollo de espacios verdes en las Sedes, Seccionales y Extensiones, mediante la  implementación de actividades del Programa de Uso Eficiente de Servicios Ecosistemicos -PUESE- generando un ambiente sano para la comunidad.</t>
  </si>
  <si>
    <t>O5. Fortalecer el acompañamiento y asesoría en las unidades regionales, en condiciones de Pandemia, con actividades virtuales y presenciales según las necesidades de la Sede, Seccional o Extensión.</t>
  </si>
  <si>
    <t>O6.Articulación en de Proyectos Ambientales Universitarios -PRAU- con partes interesadas internas y externas.</t>
  </si>
  <si>
    <t xml:space="preserve">O7. Ampliación de actividades de  medición  de impacto y desempeño institucional con proyección translocal.  </t>
  </si>
  <si>
    <t xml:space="preserve">O8. Instaurar lineamiento de austeridad del gasto con el proceso de Bienes y Servicios articulados con el  Sistema de Gestión Ambiental con el fin de  minimizar el consumo de  materiales a nivel institucional </t>
  </si>
  <si>
    <t xml:space="preserve">O9. Generar espacios virtuales o presenciales para  el fortalecimiento de la cultura ambiental de la comunidad educativa, a través de cursos, diplomados,  programas de voluntariado ( ambiental)  y proyectos que generen impacto ambiental positivo  mediante alianzas estratégicas. </t>
  </si>
  <si>
    <r>
      <rPr>
        <b/>
        <sz val="6"/>
        <color theme="1"/>
        <rFont val="Arial"/>
        <family val="2"/>
      </rPr>
      <t>Escuela Tecnológica Instituto Técnico Central</t>
    </r>
    <r>
      <rPr>
        <b/>
        <sz val="5"/>
        <color theme="1"/>
        <rFont val="Arial"/>
        <family val="2"/>
      </rPr>
      <t xml:space="preserve">
Establecimiento Público de Educación Superior</t>
    </r>
  </si>
  <si>
    <t>CÓDIGO: GDC-FO-09</t>
  </si>
  <si>
    <t>VIGENCIA: 2024-08-22</t>
  </si>
  <si>
    <t>Matriz de Calor Inherente</t>
  </si>
  <si>
    <t>Probabilidad</t>
  </si>
  <si>
    <t>Muy Alta
100%</t>
  </si>
  <si>
    <t>Extremo</t>
  </si>
  <si>
    <t>Alta
80%</t>
  </si>
  <si>
    <t>Alto</t>
  </si>
  <si>
    <t>Media
60%</t>
  </si>
  <si>
    <t>Baja
40%</t>
  </si>
  <si>
    <t>Bajo</t>
  </si>
  <si>
    <t>Muy Baja
20%</t>
  </si>
  <si>
    <t>Leve
20%</t>
  </si>
  <si>
    <t>Menor
40%</t>
  </si>
  <si>
    <t>Moderado
60%</t>
  </si>
  <si>
    <t>Mayor
80%</t>
  </si>
  <si>
    <t>Catastrófico
100%</t>
  </si>
  <si>
    <t>(Y('Mapa final'!$L$22="Muy Alta",'Mapa final'!$P$22="Leve"),CONCATENAR("R",'Mapa final'!$A$22),"")</t>
  </si>
  <si>
    <t xml:space="preserve"> Matriz de Calor Residual</t>
  </si>
  <si>
    <t>Escuela Tecnológica Instituto Técnico Central
Establecimiento Público de Educación Superior</t>
  </si>
  <si>
    <t>FECHA</t>
  </si>
  <si>
    <t>DESCRIPCIÓN DE LA ACTUALIZACIÓN</t>
  </si>
  <si>
    <t>RESPONSABLE</t>
  </si>
  <si>
    <t>CARGO</t>
  </si>
  <si>
    <t xml:space="preserve">Se actualiza en la versión 9 del formato, se eliminan los riesgos No 5 y 6 Para incluirlos como riesgo No 1 en los mapas de comunicaciones y Internacionalización </t>
  </si>
  <si>
    <t xml:space="preserve"> Hno. Ariosto Ardila Silva</t>
  </si>
  <si>
    <t xml:space="preserve">Rector </t>
  </si>
  <si>
    <r>
      <rPr>
        <b/>
        <sz val="11"/>
        <color theme="1"/>
        <rFont val="Arial"/>
        <family val="2"/>
      </rPr>
      <t>C</t>
    </r>
    <r>
      <rPr>
        <sz val="11"/>
        <color theme="1"/>
        <rFont val="Arial"/>
        <family val="2"/>
      </rPr>
      <t xml:space="preserve">ontexto:
Se elininaron las debilidades D3 Y D8:
Se incluyeron las debilidades D10, D11.
se eliminaron las fortalezas: F2,F11,F12,F13Y la F9 paso a fortaleza.
Riesgos: Se elimino el R1(Posibilidad de afectación económica y reputacional por recibir o solicitar cualquier dádiva o beneficio a nombre propio o de terceros al formular proyectos direccionados que no respondan a ninguna necesidad.) por racionalización de riesgos de integro al riesgo No2.
R2:Se cambiaron los controles del riesgos No2, se ajusto redacción en el control no1 y se implemento el control No2.
R4:Se ajusto redacción del riesgo y el control </t>
    </r>
  </si>
  <si>
    <t>Matriz Mapa de Riesgos</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</si>
  <si>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V6</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</si>
  <si>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</si>
  <si>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</si>
  <si>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2,3 y 5 Mapa Final de Gestión, Corrupción y Seguridad de la Información: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</si>
  <si>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</si>
  <si>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</si>
  <si>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</si>
  <si>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</si>
  <si>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</si>
  <si>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</si>
  <si>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</si>
  <si>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</si>
  <si>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</si>
  <si>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</si>
  <si>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</si>
  <si>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</si>
  <si>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</si>
  <si>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</si>
  <si>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</si>
  <si>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</si>
  <si>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</si>
  <si>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</si>
  <si>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</si>
  <si>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</si>
  <si>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</si>
  <si>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</si>
  <si>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</si>
  <si>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</si>
  <si>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</si>
  <si>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</si>
  <si>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r>
      <t xml:space="preserve">ATRIBUTOS EFICIENCIA
</t>
    </r>
    <r>
      <rPr>
        <sz val="9"/>
        <rFont val="Arial Narrow"/>
        <family val="2"/>
      </rPr>
      <t>Tipo</t>
    </r>
  </si>
  <si>
    <t>Utilice la lista de despligue que se encuentra parametrizada, le aparecerán las opciones: i)Preventivo, ii)Detectivo, iii)Correctivo.</t>
  </si>
  <si>
    <r>
      <t xml:space="preserve">ATRIBUTOS EFICIENCIA
</t>
    </r>
    <r>
      <rPr>
        <sz val="9"/>
        <rFont val="Arial Narrow"/>
        <family val="2"/>
      </rPr>
      <t>Implementación</t>
    </r>
  </si>
  <si>
    <t>Utilice la lista de despligue que se encuentra parametrizada, le aparecerán las opciones: i)Automático, ii)Manual.</t>
  </si>
  <si>
    <r>
      <t xml:space="preserve">ATRIBUTOS EFICIENCIA
</t>
    </r>
    <r>
      <rPr>
        <sz val="9"/>
        <rFont val="Arial Narrow"/>
        <family val="2"/>
      </rPr>
      <t>Calificación</t>
    </r>
  </si>
  <si>
    <t xml:space="preserve">La matriz automáticamente hará el cálculo para el control analizado (Columna T) </t>
  </si>
  <si>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</si>
  <si>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</si>
  <si>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</si>
  <si>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</si>
  <si>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</si>
  <si>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</si>
  <si>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</si>
  <si>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</si>
  <si>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</si>
  <si>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r>
      <t xml:space="preserve">Plan de Acción
</t>
    </r>
    <r>
      <rPr>
        <sz val="9"/>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</si>
  <si>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</si>
  <si>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</si>
  <si>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</si>
  <si>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Hoja 6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</si>
  <si>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7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</si>
  <si>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8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</si>
  <si>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9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</si>
  <si>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10 Tabla de Valoración de Controles: </t>
    </r>
    <r>
      <rPr>
        <sz val="11"/>
        <rFont val="Arial Narrow"/>
        <family val="2"/>
      </rPr>
      <t>Tabla referente para todos los cálculos (no se diligencia)</t>
    </r>
  </si>
  <si>
    <t xml:space="preserve">Tipo </t>
  </si>
  <si>
    <t>Ambiental</t>
  </si>
  <si>
    <t>Estratégico</t>
  </si>
  <si>
    <t>Documental</t>
  </si>
  <si>
    <t>Seguridad digital</t>
  </si>
  <si>
    <t>SST</t>
  </si>
  <si>
    <t>Tecnológico</t>
  </si>
  <si>
    <t>VERSIÓN: 8</t>
  </si>
  <si>
    <t>VERSIÓN</t>
  </si>
  <si>
    <t>CAMBIOS</t>
  </si>
  <si>
    <t xml:space="preserve">Se incluye protada, control de cambios del registro, riesgos fiscales </t>
  </si>
  <si>
    <t>28/4/2026</t>
  </si>
  <si>
    <t xml:space="preserve">Se ajusta el formato en las siguientes condiciones: 
1- Se ajustan las tipologias de riesgos: Corrupción, Fiscal, Seguridad de la Información y Gestión.
2- Se incluye en los criterios de impacto de corrupción: Moderado, Mayor, Catastrófico.
3- Se ajusta las variables del diseño del control
4- Se ajustan la descripción para el monitoreo de la primera y segunda linea, así como la evaluación para la tercera linea de defensa. m
</t>
  </si>
  <si>
    <t>ELABORÓ</t>
  </si>
  <si>
    <t>REVISÓ</t>
  </si>
  <si>
    <t>APROBÓ</t>
  </si>
  <si>
    <t>ANAY PINTO</t>
  </si>
  <si>
    <t xml:space="preserve">JORGE HERRERA ORTIZ </t>
  </si>
  <si>
    <t>Profesional de Calidad</t>
  </si>
  <si>
    <t>Representante de la Dirección</t>
  </si>
  <si>
    <t>Documento controlado por el Sistema de Gestión de la Calidad</t>
  </si>
  <si>
    <t>Asegúrese que corresponde a la última versión consultando el micrositio de calidad de la Escuela Tecnológica Instituto Técnico Central (ETITC)</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</si>
  <si>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</si>
  <si>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</si>
  <si>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</si>
  <si>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</si>
  <si>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</si>
  <si>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</si>
  <si>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</si>
  <si>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</si>
  <si>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</si>
  <si>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</si>
  <si>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</si>
  <si>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</si>
  <si>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</si>
  <si>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</si>
  <si>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</si>
  <si>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</si>
  <si>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</si>
  <si>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</si>
  <si>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</si>
  <si>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</si>
  <si>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</si>
  <si>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</si>
  <si>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</si>
  <si>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</si>
  <si>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</si>
  <si>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</si>
  <si>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</si>
  <si>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la entidad con efecto publicitario sostenido a nivel de sector administrativo, nivel departamental o municipal</t>
  </si>
  <si>
    <t>Catastrófico 100%</t>
  </si>
  <si>
    <t xml:space="preserve">Mayor a 500 SMLMV </t>
  </si>
  <si>
    <t>El riesgo afecta la imagen de la entidad a nivel nacional, con efecto publicitarios sostenible a nivel país</t>
  </si>
  <si>
    <t>Afectación_Económica_o_presupuestal</t>
  </si>
  <si>
    <t>Pérdida_Reputacional</t>
  </si>
  <si>
    <t>Criterios</t>
  </si>
  <si>
    <t>Subcriterios</t>
  </si>
  <si>
    <t>Afectación Económica o presupuestal</t>
  </si>
  <si>
    <t>Afectación menor a 10 SMLMV .</t>
  </si>
  <si>
    <t>El riesgo afecta la imagen de de la entidad con efecto publicitario sostenido a nivel de sector administrativo, nivel departamental o municipal</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</si>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</sst>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103">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color rgb="FF000000"/>
      <name val="Arial"/>
      <family val="2"/>
    </font>
    <font>
      <b/>
      <sz val="12"/>
      <name val="Arial"/>
      <family val="2"/>
    </font>
    <font>
      <sz val="6"/>
      <color theme="1"/>
      <name val="Arial"/>
      <family val="2"/>
    </font>
    <font>
      <b/>
      <sz val="14"/>
      <color rgb="FF000000"/>
      <name val="Arial"/>
      <family val="2"/>
    </font>
    <font>
      <sz val="14"/>
      <color rgb="FF000000"/>
      <name val="Arial"/>
      <family val="2"/>
    </font>
    <font>
      <b/>
      <sz val="11"/>
      <color theme="0"/>
      <name val="Calibri"/>
      <family val="2"/>
      <scheme val="minor"/>
    </font>
    <font>
      <b/>
      <sz val="11"/>
      <color theme="1"/>
      <name val="Calibri"/>
      <family val="2"/>
      <scheme val="minor"/>
    </font>
    <font>
      <b/>
      <sz val="5"/>
      <color rgb="FF000000"/>
      <name val="Arial"/>
      <family val="2"/>
    </font>
    <font>
      <b/>
      <sz val="6"/>
      <color rgb="FF000000"/>
      <name val="Arial"/>
      <family val="2"/>
    </font>
    <font>
      <b/>
      <sz val="11"/>
      <color rgb="FF292929"/>
      <name val="Arial"/>
      <family val="2"/>
    </font>
    <font>
      <sz val="11"/>
      <color theme="1"/>
      <name val="Arial"/>
      <family val="2"/>
    </font>
    <font>
      <b/>
      <sz val="8"/>
      <color theme="1"/>
      <name val="Arial"/>
      <family val="2"/>
    </font>
    <font>
      <b/>
      <sz val="5"/>
      <color theme="1"/>
      <name val="Arial"/>
      <family val="2"/>
    </font>
    <font>
      <b/>
      <sz val="6"/>
      <color theme="1"/>
      <name val="Arial"/>
      <family val="2"/>
    </font>
    <font>
      <b/>
      <sz val="9"/>
      <color rgb="FF292929"/>
      <name val="Arial"/>
      <family val="2"/>
    </font>
    <font>
      <b/>
      <sz val="11"/>
      <color theme="0"/>
      <name val="Arial"/>
      <family val="2"/>
    </font>
    <font>
      <sz val="10"/>
      <color theme="1"/>
      <name val="Arial"/>
      <family val="2"/>
    </font>
    <font>
      <b/>
      <sz val="10"/>
      <color theme="0"/>
      <name val="Arial"/>
      <family val="2"/>
    </font>
    <font>
      <b/>
      <sz val="10"/>
      <color theme="1"/>
      <name val="Arial"/>
      <family val="2"/>
    </font>
    <font>
      <b/>
      <u/>
      <sz val="10"/>
      <color theme="1"/>
      <name val="Arial"/>
      <family val="2"/>
    </font>
    <font>
      <i/>
      <sz val="9"/>
      <color rgb="FF000000"/>
      <name val="Arial"/>
      <family val="2"/>
    </font>
    <font>
      <b/>
      <sz val="11"/>
      <color theme="1"/>
      <name val="Arial"/>
      <family val="2"/>
    </font>
    <font>
      <b/>
      <sz val="11"/>
      <color rgb="FF000000"/>
      <name val="Arial"/>
      <family val="2"/>
    </font>
    <font>
      <b/>
      <sz val="11"/>
      <color theme="1"/>
      <name val="Times New Roman"/>
      <family val="1"/>
    </font>
    <font>
      <b/>
      <sz val="11"/>
      <color theme="0"/>
      <name val="Times New Roman"/>
      <family val="1"/>
    </font>
    <font>
      <sz val="11"/>
      <color theme="0"/>
      <name val="Times New Roman"/>
      <family val="1"/>
    </font>
    <font>
      <sz val="11"/>
      <color rgb="FF7030A0"/>
      <name val="Calibri"/>
      <family val="2"/>
      <scheme val="minor"/>
    </font>
    <font>
      <b/>
      <sz val="16"/>
      <color rgb="FF7030A0"/>
      <name val="Times New Roman"/>
      <family val="1"/>
    </font>
    <font>
      <b/>
      <sz val="18"/>
      <color theme="0"/>
      <name val="Arial"/>
      <family val="2"/>
    </font>
    <font>
      <b/>
      <sz val="12"/>
      <color theme="0"/>
      <name val="Arial"/>
      <family val="2"/>
    </font>
    <font>
      <sz val="11"/>
      <color rgb="FF000000"/>
      <name val="Arial"/>
      <family val="2"/>
    </font>
    <font>
      <sz val="10"/>
      <color theme="0"/>
      <name val="Arial"/>
      <family val="2"/>
    </font>
    <font>
      <b/>
      <sz val="22"/>
      <color rgb="FF000000"/>
      <name val="Arial"/>
      <family val="2"/>
    </font>
    <font>
      <b/>
      <sz val="18"/>
      <name val="Arial"/>
      <family val="2"/>
    </font>
    <font>
      <sz val="11"/>
      <color theme="0"/>
      <name val="Arial"/>
      <family val="2"/>
    </font>
    <font>
      <sz val="11"/>
      <name val="Arial"/>
      <family val="2"/>
    </font>
    <font>
      <sz val="14"/>
      <name val="Arial"/>
      <family val="2"/>
    </font>
    <font>
      <b/>
      <sz val="14"/>
      <name val="Arial"/>
      <family val="2"/>
    </font>
    <font>
      <b/>
      <sz val="12"/>
      <color theme="0"/>
      <name val="Arial Black"/>
      <family val="2"/>
    </font>
    <font>
      <sz val="11"/>
      <color theme="9"/>
      <name val="Arial"/>
      <family val="2"/>
    </font>
    <font>
      <b/>
      <sz val="11"/>
      <name val="Arial"/>
      <family val="2"/>
    </font>
    <font>
      <u/>
      <sz val="11"/>
      <color theme="10"/>
      <name val="Calibri"/>
      <family val="2"/>
      <scheme val="minor"/>
    </font>
    <font>
      <sz val="11"/>
      <color rgb="FF000000"/>
      <name val="Calibri"/>
      <scheme val="minor"/>
    </font>
    <font>
      <b/>
      <sz val="11"/>
      <name val="Arial"/>
    </font>
    <font>
      <b/>
      <sz val="10"/>
      <color rgb="FF000000"/>
      <name val="Arial"/>
      <family val="2"/>
    </font>
    <font>
      <sz val="11"/>
      <color theme="1"/>
      <name val="Arial Narrow"/>
      <family val="2"/>
    </font>
    <font>
      <sz val="10"/>
      <color indexed="81"/>
      <name val="Tahoma"/>
    </font>
    <font>
      <b/>
      <sz val="10"/>
      <color indexed="81"/>
      <name val="Tahoma"/>
    </font>
  </fonts>
  <fills count="28">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6783C"/>
        <bgColor indexed="64"/>
      </patternFill>
    </fill>
    <fill>
      <patternFill patternType="solid">
        <fgColor theme="0" tint="-0.14999847407452621"/>
        <bgColor indexed="64"/>
      </patternFill>
    </fill>
    <fill>
      <patternFill patternType="solid">
        <fgColor rgb="FF287840"/>
        <bgColor indexed="64"/>
      </patternFill>
    </fill>
    <fill>
      <patternFill patternType="solid">
        <fgColor theme="0" tint="-0.499984740745262"/>
        <bgColor indexed="64"/>
      </patternFill>
    </fill>
    <fill>
      <patternFill patternType="solid">
        <fgColor rgb="FFDAAA00"/>
        <bgColor indexed="64"/>
      </patternFill>
    </fill>
    <fill>
      <patternFill patternType="solid">
        <fgColor rgb="FF4E4B48"/>
        <bgColor indexed="64"/>
      </patternFill>
    </fill>
    <fill>
      <patternFill patternType="solid">
        <fgColor rgb="FFFFFFFF"/>
        <bgColor rgb="FFFFFFFF"/>
      </patternFill>
    </fill>
    <fill>
      <patternFill patternType="solid">
        <fgColor rgb="FFFFFFFF"/>
        <bgColor rgb="FF000000"/>
      </patternFill>
    </fill>
    <fill>
      <patternFill patternType="solid">
        <fgColor rgb="FFFFFFFF"/>
        <bgColor indexed="64"/>
      </patternFill>
    </fill>
    <fill>
      <patternFill patternType="solid">
        <fgColor rgb="FFB4B3B6"/>
        <bgColor indexed="64"/>
      </patternFill>
    </fill>
    <fill>
      <patternFill patternType="solid">
        <fgColor rgb="FF00CC66"/>
        <bgColor indexed="64"/>
      </patternFill>
    </fill>
    <fill>
      <patternFill patternType="solid">
        <fgColor theme="0" tint="-0.249977111117893"/>
        <bgColor indexed="64"/>
      </patternFill>
    </fill>
  </fills>
  <borders count="11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auto="1"/>
      </left>
      <right/>
      <top/>
      <bottom style="thin">
        <color auto="1"/>
      </bottom>
      <diagonal/>
    </border>
    <border>
      <left/>
      <right/>
      <top/>
      <bottom style="dashed">
        <color theme="9" tint="-0.2499465926084170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thin">
        <color rgb="FF4B514E"/>
      </left>
      <right/>
      <top/>
      <bottom/>
      <diagonal/>
    </border>
    <border>
      <left/>
      <right style="thin">
        <color indexed="64"/>
      </right>
      <top/>
      <bottom/>
      <diagonal/>
    </border>
    <border>
      <left style="medium">
        <color rgb="FF000000"/>
      </left>
      <right style="thin">
        <color indexed="64"/>
      </right>
      <top/>
      <bottom style="medium">
        <color rgb="FF000000"/>
      </bottom>
      <diagonal/>
    </border>
    <border>
      <left style="thin">
        <color rgb="FF4B514E"/>
      </left>
      <right style="thin">
        <color rgb="FF4B514E"/>
      </right>
      <top style="thin">
        <color rgb="FF4B514E"/>
      </top>
      <bottom style="thin">
        <color rgb="FF4B514E"/>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right style="thin">
        <color rgb="FF4B514E"/>
      </right>
      <top/>
      <bottom/>
      <diagonal/>
    </border>
    <border>
      <left style="thin">
        <color rgb="FF4B514E"/>
      </left>
      <right/>
      <top style="medium">
        <color indexed="64"/>
      </top>
      <bottom/>
      <diagonal/>
    </border>
    <border>
      <left style="thin">
        <color rgb="FF4B514E"/>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auto="1"/>
      </left>
      <right/>
      <top style="thin">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auto="1"/>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auto="1"/>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diagonal/>
    </border>
    <border>
      <left/>
      <right style="thin">
        <color indexed="64"/>
      </right>
      <top style="medium">
        <color rgb="FF000000"/>
      </top>
      <bottom/>
      <diagonal/>
    </border>
    <border>
      <left/>
      <right style="thin">
        <color indexed="64"/>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6">
    <xf numFmtId="0" fontId="0" fillId="0" borderId="0"/>
    <xf numFmtId="9" fontId="12" fillId="0" borderId="0" applyFont="0" applyFill="0" applyBorder="0" applyAlignment="0" applyProtection="0"/>
    <xf numFmtId="0" fontId="43" fillId="0" borderId="0"/>
    <xf numFmtId="0" fontId="44" fillId="0" borderId="0"/>
    <xf numFmtId="0" fontId="4" fillId="0" borderId="0"/>
    <xf numFmtId="0" fontId="96" fillId="0" borderId="0" applyNumberFormat="0" applyFill="0" applyBorder="0" applyAlignment="0" applyProtection="0"/>
  </cellStyleXfs>
  <cellXfs count="653">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6" borderId="0" xfId="0" applyFont="1" applyFill="1" applyAlignment="1">
      <alignment horizontal="center" vertical="center" wrapText="1" readingOrder="1"/>
    </xf>
    <xf numFmtId="0" fontId="8" fillId="5"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4" borderId="1" xfId="0" applyFont="1" applyFill="1" applyBorder="1" applyAlignment="1">
      <alignment horizontal="center" vertical="center" wrapText="1" readingOrder="1"/>
    </xf>
    <xf numFmtId="0" fontId="8" fillId="8" borderId="1" xfId="0" applyFont="1" applyFill="1" applyBorder="1" applyAlignment="1">
      <alignment horizontal="center" vertical="center" wrapText="1" readingOrder="1"/>
    </xf>
    <xf numFmtId="0" fontId="9" fillId="9" borderId="1" xfId="0" applyFont="1" applyFill="1" applyBorder="1" applyAlignment="1">
      <alignment horizontal="center" vertical="center" wrapText="1" readingOrder="1"/>
    </xf>
    <xf numFmtId="0" fontId="13" fillId="0" borderId="0" xfId="0" applyFont="1"/>
    <xf numFmtId="0" fontId="11" fillId="0" borderId="0" xfId="0" applyFont="1"/>
    <xf numFmtId="0" fontId="24" fillId="0" borderId="0" xfId="0" applyFont="1" applyAlignment="1">
      <alignment vertical="center"/>
    </xf>
    <xf numFmtId="0" fontId="25" fillId="0" borderId="0" xfId="0" applyFont="1"/>
    <xf numFmtId="0" fontId="23" fillId="0" borderId="0" xfId="0" applyFont="1"/>
    <xf numFmtId="0" fontId="0" fillId="0" borderId="0" xfId="0" pivotButton="1"/>
    <xf numFmtId="0" fontId="10" fillId="0" borderId="0" xfId="0" applyFont="1" applyAlignment="1">
      <alignment horizontal="justify" vertical="center" wrapText="1" readingOrder="1"/>
    </xf>
    <xf numFmtId="0" fontId="26" fillId="0" borderId="0" xfId="0" applyFont="1"/>
    <xf numFmtId="0" fontId="28" fillId="6" borderId="0" xfId="0" applyFont="1" applyFill="1" applyAlignment="1">
      <alignment horizontal="center" vertical="center" wrapText="1" readingOrder="1"/>
    </xf>
    <xf numFmtId="0" fontId="29" fillId="0" borderId="4" xfId="0" applyFont="1" applyBorder="1" applyAlignment="1">
      <alignment horizontal="justify" vertical="center" wrapText="1" readingOrder="1"/>
    </xf>
    <xf numFmtId="0" fontId="29" fillId="0" borderId="1" xfId="0" applyFont="1" applyBorder="1" applyAlignment="1">
      <alignment horizontal="justify" vertical="center" wrapText="1" readingOrder="1"/>
    </xf>
    <xf numFmtId="0" fontId="29" fillId="5" borderId="4"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29" fillId="4" borderId="1" xfId="0" applyFont="1" applyFill="1" applyBorder="1" applyAlignment="1">
      <alignment horizontal="center" vertical="center" wrapText="1" readingOrder="1"/>
    </xf>
    <xf numFmtId="0" fontId="29" fillId="8" borderId="1" xfId="0" applyFont="1" applyFill="1" applyBorder="1" applyAlignment="1">
      <alignment horizontal="center" vertical="center" wrapText="1" readingOrder="1"/>
    </xf>
    <xf numFmtId="0" fontId="30" fillId="9" borderId="1" xfId="0" applyFont="1" applyFill="1" applyBorder="1" applyAlignment="1">
      <alignment horizontal="center" vertical="center" wrapText="1" readingOrder="1"/>
    </xf>
    <xf numFmtId="0" fontId="29" fillId="0" borderId="4" xfId="0" applyFont="1" applyBorder="1" applyAlignment="1">
      <alignment horizontal="center" vertical="center" wrapText="1" readingOrder="1"/>
    </xf>
    <xf numFmtId="0" fontId="29" fillId="0" borderId="1" xfId="0" applyFont="1" applyBorder="1" applyAlignment="1">
      <alignment horizontal="center" vertical="center" wrapText="1" readingOrder="1"/>
    </xf>
    <xf numFmtId="0" fontId="17" fillId="11" borderId="5" xfId="0" applyFont="1" applyFill="1" applyBorder="1" applyAlignment="1" applyProtection="1">
      <alignment horizontal="center" vertical="center" wrapText="1" readingOrder="1"/>
      <protection hidden="1"/>
    </xf>
    <xf numFmtId="0" fontId="17" fillId="11" borderId="12" xfId="0" applyFont="1" applyFill="1" applyBorder="1" applyAlignment="1" applyProtection="1">
      <alignment horizontal="center" vertical="center" wrapText="1" readingOrder="1"/>
      <protection hidden="1"/>
    </xf>
    <xf numFmtId="0" fontId="17" fillId="11" borderId="6" xfId="0" applyFont="1" applyFill="1" applyBorder="1" applyAlignment="1" applyProtection="1">
      <alignment horizontal="center" vertic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1" borderId="7" xfId="0" applyFont="1" applyFill="1" applyBorder="1" applyAlignment="1" applyProtection="1">
      <alignment horizontal="center" vertical="center" wrapText="1" readingOrder="1"/>
      <protection hidden="1"/>
    </xf>
    <xf numFmtId="0" fontId="17" fillId="11" borderId="0" xfId="0" applyFont="1" applyFill="1" applyAlignment="1" applyProtection="1">
      <alignment horizontal="center" vertical="center" wrapText="1" readingOrder="1"/>
      <protection hidden="1"/>
    </xf>
    <xf numFmtId="0" fontId="17" fillId="11" borderId="8" xfId="0" applyFont="1" applyFill="1" applyBorder="1" applyAlignment="1" applyProtection="1">
      <alignment horizontal="center" vertic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1" borderId="9" xfId="0" applyFont="1" applyFill="1" applyBorder="1" applyAlignment="1" applyProtection="1">
      <alignment horizontal="center" vertical="center" wrapText="1" readingOrder="1"/>
      <protection hidden="1"/>
    </xf>
    <xf numFmtId="0" fontId="17" fillId="11" borderId="11" xfId="0" applyFont="1" applyFill="1" applyBorder="1" applyAlignment="1" applyProtection="1">
      <alignment horizontal="center" vertical="center" wrapText="1" readingOrder="1"/>
      <protection hidden="1"/>
    </xf>
    <xf numFmtId="0" fontId="17" fillId="11" borderId="10" xfId="0" applyFont="1" applyFill="1" applyBorder="1" applyAlignment="1" applyProtection="1">
      <alignment horizontal="center" vertic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13" borderId="5" xfId="0" applyFont="1" applyFill="1" applyBorder="1" applyAlignment="1" applyProtection="1">
      <alignment horizontal="center" wrapText="1" readingOrder="1"/>
      <protection hidden="1"/>
    </xf>
    <xf numFmtId="0" fontId="17" fillId="13" borderId="12" xfId="0" applyFont="1" applyFill="1" applyBorder="1" applyAlignment="1" applyProtection="1">
      <alignment horizontal="center" wrapText="1" readingOrder="1"/>
      <protection hidden="1"/>
    </xf>
    <xf numFmtId="0" fontId="17" fillId="13" borderId="6" xfId="0" applyFont="1" applyFill="1" applyBorder="1" applyAlignment="1" applyProtection="1">
      <alignment horizontal="center" wrapText="1" readingOrder="1"/>
      <protection hidden="1"/>
    </xf>
    <xf numFmtId="0" fontId="17" fillId="13" borderId="7" xfId="0" applyFont="1" applyFill="1" applyBorder="1" applyAlignment="1" applyProtection="1">
      <alignment horizontal="center" wrapText="1" readingOrder="1"/>
      <protection hidden="1"/>
    </xf>
    <xf numFmtId="0" fontId="17" fillId="13" borderId="0" xfId="0" applyFont="1" applyFill="1" applyAlignment="1" applyProtection="1">
      <alignment horizontal="center" wrapText="1" readingOrder="1"/>
      <protection hidden="1"/>
    </xf>
    <xf numFmtId="0" fontId="17" fillId="13" borderId="8" xfId="0" applyFont="1" applyFill="1" applyBorder="1" applyAlignment="1" applyProtection="1">
      <alignment horizontal="center" wrapText="1" readingOrder="1"/>
      <protection hidden="1"/>
    </xf>
    <xf numFmtId="0" fontId="17" fillId="13" borderId="9" xfId="0" applyFont="1" applyFill="1" applyBorder="1" applyAlignment="1" applyProtection="1">
      <alignment horizontal="center" wrapText="1" readingOrder="1"/>
      <protection hidden="1"/>
    </xf>
    <xf numFmtId="0" fontId="17" fillId="13" borderId="11" xfId="0" applyFont="1" applyFill="1" applyBorder="1" applyAlignment="1" applyProtection="1">
      <alignment horizontal="center" wrapText="1" readingOrder="1"/>
      <protection hidden="1"/>
    </xf>
    <xf numFmtId="0" fontId="17" fillId="13" borderId="10" xfId="0" applyFont="1" applyFill="1" applyBorder="1" applyAlignment="1" applyProtection="1">
      <alignment horizontal="center" wrapText="1" readingOrder="1"/>
      <protection hidden="1"/>
    </xf>
    <xf numFmtId="0" fontId="17" fillId="5" borderId="5" xfId="0" applyFont="1" applyFill="1" applyBorder="1" applyAlignment="1" applyProtection="1">
      <alignment horizontal="center" wrapText="1" readingOrder="1"/>
      <protection hidden="1"/>
    </xf>
    <xf numFmtId="0" fontId="17" fillId="5" borderId="12" xfId="0" applyFont="1" applyFill="1" applyBorder="1" applyAlignment="1" applyProtection="1">
      <alignment horizontal="center" wrapText="1" readingOrder="1"/>
      <protection hidden="1"/>
    </xf>
    <xf numFmtId="0" fontId="17" fillId="5" borderId="6" xfId="0" applyFont="1" applyFill="1" applyBorder="1" applyAlignment="1" applyProtection="1">
      <alignment horizontal="center" wrapText="1" readingOrder="1"/>
      <protection hidden="1"/>
    </xf>
    <xf numFmtId="0" fontId="17" fillId="5" borderId="7" xfId="0" applyFont="1" applyFill="1" applyBorder="1" applyAlignment="1" applyProtection="1">
      <alignment horizontal="center" wrapText="1" readingOrder="1"/>
      <protection hidden="1"/>
    </xf>
    <xf numFmtId="0" fontId="17" fillId="5" borderId="0" xfId="0" applyFont="1" applyFill="1" applyAlignment="1" applyProtection="1">
      <alignment horizontal="center" wrapText="1" readingOrder="1"/>
      <protection hidden="1"/>
    </xf>
    <xf numFmtId="0" fontId="17" fillId="5" borderId="8" xfId="0" applyFont="1" applyFill="1" applyBorder="1" applyAlignment="1" applyProtection="1">
      <alignment horizontal="center" wrapText="1" readingOrder="1"/>
      <protection hidden="1"/>
    </xf>
    <xf numFmtId="0" fontId="17" fillId="5" borderId="9" xfId="0" applyFont="1" applyFill="1" applyBorder="1" applyAlignment="1" applyProtection="1">
      <alignment horizontal="center" wrapText="1" readingOrder="1"/>
      <protection hidden="1"/>
    </xf>
    <xf numFmtId="0" fontId="17" fillId="5" borderId="11" xfId="0" applyFont="1" applyFill="1" applyBorder="1" applyAlignment="1" applyProtection="1">
      <alignment horizontal="center" wrapText="1" readingOrder="1"/>
      <protection hidden="1"/>
    </xf>
    <xf numFmtId="0" fontId="17" fillId="5" borderId="10" xfId="0" applyFont="1" applyFill="1" applyBorder="1" applyAlignment="1" applyProtection="1">
      <alignment horizontal="center" wrapText="1" readingOrder="1"/>
      <protection hidden="1"/>
    </xf>
    <xf numFmtId="0" fontId="0" fillId="3" borderId="0" xfId="0" applyFill="1"/>
    <xf numFmtId="0" fontId="45" fillId="3" borderId="39" xfId="2" applyFont="1" applyFill="1" applyBorder="1"/>
    <xf numFmtId="0" fontId="45" fillId="3" borderId="40" xfId="2" applyFont="1" applyFill="1" applyBorder="1"/>
    <xf numFmtId="0" fontId="45" fillId="3" borderId="41" xfId="2" applyFont="1" applyFill="1" applyBorder="1"/>
    <xf numFmtId="0" fontId="14" fillId="3" borderId="0" xfId="0" applyFont="1" applyFill="1" applyAlignment="1">
      <alignment vertical="center"/>
    </xf>
    <xf numFmtId="0" fontId="4" fillId="3" borderId="0" xfId="0" applyFont="1" applyFill="1"/>
    <xf numFmtId="0" fontId="32" fillId="3" borderId="0" xfId="0" applyFont="1" applyFill="1"/>
    <xf numFmtId="0" fontId="34" fillId="3" borderId="22" xfId="0" applyFont="1" applyFill="1" applyBorder="1" applyAlignment="1">
      <alignment horizontal="justify" vertical="center" wrapText="1" readingOrder="1"/>
    </xf>
    <xf numFmtId="9" fontId="33" fillId="3" borderId="31" xfId="0" applyNumberFormat="1" applyFont="1" applyFill="1" applyBorder="1" applyAlignment="1">
      <alignment horizontal="center" vertical="center" wrapText="1" readingOrder="1"/>
    </xf>
    <xf numFmtId="0" fontId="34" fillId="3" borderId="21" xfId="0" applyFont="1" applyFill="1" applyBorder="1" applyAlignment="1">
      <alignment horizontal="justify" vertical="center" wrapText="1" readingOrder="1"/>
    </xf>
    <xf numFmtId="9" fontId="33" fillId="3" borderId="26" xfId="0" applyNumberFormat="1" applyFont="1" applyFill="1" applyBorder="1" applyAlignment="1">
      <alignment horizontal="center" vertical="center" wrapText="1" readingOrder="1"/>
    </xf>
    <xf numFmtId="0" fontId="34" fillId="3" borderId="26" xfId="0" applyFont="1" applyFill="1" applyBorder="1" applyAlignment="1">
      <alignment horizontal="center" vertical="center" wrapText="1" readingOrder="1"/>
    </xf>
    <xf numFmtId="0" fontId="34" fillId="3" borderId="28" xfId="0" applyFont="1" applyFill="1" applyBorder="1" applyAlignment="1">
      <alignment horizontal="justify" vertical="center" wrapText="1" readingOrder="1"/>
    </xf>
    <xf numFmtId="0" fontId="34" fillId="3" borderId="29" xfId="0" applyFont="1" applyFill="1" applyBorder="1" applyAlignment="1">
      <alignment horizontal="center" vertical="center" wrapText="1" readingOrder="1"/>
    </xf>
    <xf numFmtId="0" fontId="42" fillId="3" borderId="0" xfId="0" applyFont="1" applyFill="1"/>
    <xf numFmtId="0" fontId="33" fillId="15" borderId="34" xfId="0" applyFont="1" applyFill="1" applyBorder="1" applyAlignment="1">
      <alignment horizontal="center" vertical="center" wrapText="1" readingOrder="1"/>
    </xf>
    <xf numFmtId="0" fontId="11" fillId="3" borderId="0" xfId="0" applyFont="1" applyFill="1"/>
    <xf numFmtId="0" fontId="27" fillId="3" borderId="0" xfId="0" applyFont="1" applyFill="1" applyAlignment="1">
      <alignment horizontal="center" vertical="center" wrapText="1"/>
    </xf>
    <xf numFmtId="0" fontId="10" fillId="3" borderId="0" xfId="0" applyFont="1" applyFill="1" applyAlignment="1">
      <alignment horizontal="justify" vertical="center" wrapText="1" readingOrder="1"/>
    </xf>
    <xf numFmtId="0" fontId="3" fillId="3" borderId="0" xfId="0" applyFont="1" applyFill="1" applyAlignment="1">
      <alignment vertical="center"/>
    </xf>
    <xf numFmtId="0" fontId="13" fillId="3" borderId="0" xfId="0" applyFont="1" applyFill="1"/>
    <xf numFmtId="0" fontId="3" fillId="3" borderId="0" xfId="0" applyFont="1" applyFill="1" applyAlignment="1">
      <alignment horizontal="left" vertical="center"/>
    </xf>
    <xf numFmtId="0" fontId="45" fillId="3" borderId="7" xfId="2" applyFont="1" applyFill="1" applyBorder="1"/>
    <xf numFmtId="0" fontId="50" fillId="3" borderId="0" xfId="0" applyFont="1" applyFill="1" applyAlignment="1">
      <alignment horizontal="left" vertical="center" wrapText="1"/>
    </xf>
    <xf numFmtId="0" fontId="51" fillId="3" borderId="0" xfId="0" applyFont="1" applyFill="1" applyAlignment="1">
      <alignment horizontal="left" vertical="top" wrapText="1"/>
    </xf>
    <xf numFmtId="0" fontId="45" fillId="3" borderId="0" xfId="2" applyFont="1" applyFill="1"/>
    <xf numFmtId="0" fontId="45" fillId="3" borderId="8" xfId="2" applyFont="1" applyFill="1" applyBorder="1"/>
    <xf numFmtId="0" fontId="45" fillId="3" borderId="9" xfId="2" applyFont="1" applyFill="1" applyBorder="1"/>
    <xf numFmtId="0" fontId="45" fillId="3" borderId="11" xfId="2" applyFont="1" applyFill="1" applyBorder="1"/>
    <xf numFmtId="0" fontId="45" fillId="3" borderId="10" xfId="2" applyFont="1" applyFill="1" applyBorder="1"/>
    <xf numFmtId="0" fontId="49" fillId="3" borderId="0" xfId="2" applyFont="1" applyFill="1" applyAlignment="1">
      <alignment horizontal="left" vertical="center" wrapText="1"/>
    </xf>
    <xf numFmtId="0" fontId="45" fillId="3" borderId="0" xfId="2" applyFont="1" applyFill="1" applyAlignment="1">
      <alignment horizontal="left" vertical="center" wrapText="1"/>
    </xf>
    <xf numFmtId="0" fontId="45" fillId="3" borderId="0" xfId="2" quotePrefix="1" applyFont="1" applyFill="1" applyAlignment="1">
      <alignment horizontal="left" vertical="center" wrapText="1"/>
    </xf>
    <xf numFmtId="0" fontId="47" fillId="3" borderId="7" xfId="2" quotePrefix="1" applyFont="1" applyFill="1" applyBorder="1" applyAlignment="1">
      <alignment horizontal="left" vertical="top" wrapText="1"/>
    </xf>
    <xf numFmtId="0" fontId="48" fillId="3" borderId="0" xfId="2" quotePrefix="1" applyFont="1" applyFill="1" applyAlignment="1">
      <alignment horizontal="left" vertical="top" wrapText="1"/>
    </xf>
    <xf numFmtId="0" fontId="48" fillId="3" borderId="8" xfId="2" quotePrefix="1" applyFont="1" applyFill="1" applyBorder="1" applyAlignment="1">
      <alignment horizontal="left" vertical="top" wrapText="1"/>
    </xf>
    <xf numFmtId="0" fontId="43" fillId="0" borderId="7" xfId="0" applyFont="1" applyBorder="1" applyAlignment="1">
      <alignment vertical="center" wrapText="1"/>
    </xf>
    <xf numFmtId="0" fontId="43" fillId="0" borderId="0" xfId="0" applyFont="1" applyAlignment="1">
      <alignment vertical="center" wrapText="1"/>
    </xf>
    <xf numFmtId="0" fontId="56" fillId="0" borderId="0" xfId="0" applyFont="1" applyAlignment="1">
      <alignment horizontal="center" vertical="center" wrapText="1"/>
    </xf>
    <xf numFmtId="0" fontId="43" fillId="0" borderId="0" xfId="0" applyFont="1" applyAlignment="1">
      <alignment horizontal="center" vertical="center" wrapText="1"/>
    </xf>
    <xf numFmtId="0" fontId="43" fillId="0" borderId="0" xfId="0" applyFont="1" applyAlignment="1">
      <alignment horizontal="left" vertical="center" wrapText="1"/>
    </xf>
    <xf numFmtId="0" fontId="57" fillId="0" borderId="0" xfId="0" applyFont="1" applyAlignment="1">
      <alignment horizontal="center"/>
    </xf>
    <xf numFmtId="0" fontId="59" fillId="0" borderId="0" xfId="0" applyFont="1" applyAlignment="1">
      <alignment horizontal="center" vertical="center" wrapText="1"/>
    </xf>
    <xf numFmtId="0" fontId="0" fillId="0" borderId="0" xfId="0" applyAlignment="1">
      <alignment wrapText="1"/>
    </xf>
    <xf numFmtId="0" fontId="59" fillId="0" borderId="0" xfId="0" applyFont="1" applyAlignment="1">
      <alignment vertical="center" wrapText="1"/>
    </xf>
    <xf numFmtId="0" fontId="55" fillId="0" borderId="63" xfId="0" applyFont="1" applyBorder="1" applyAlignment="1" applyProtection="1">
      <alignment horizontal="center" wrapText="1"/>
      <protection locked="0"/>
    </xf>
    <xf numFmtId="0" fontId="55" fillId="0" borderId="57" xfId="0" applyFont="1" applyBorder="1" applyAlignment="1" applyProtection="1">
      <alignment horizontal="center" wrapText="1"/>
      <protection locked="0"/>
    </xf>
    <xf numFmtId="0" fontId="54" fillId="0" borderId="57" xfId="0" applyFont="1" applyBorder="1" applyAlignment="1">
      <alignment horizontal="left" vertical="center"/>
    </xf>
    <xf numFmtId="0" fontId="0" fillId="17" borderId="0" xfId="0" applyFill="1"/>
    <xf numFmtId="0" fontId="65" fillId="17" borderId="0" xfId="0" applyFont="1" applyFill="1"/>
    <xf numFmtId="14" fontId="65" fillId="0" borderId="74" xfId="0" applyNumberFormat="1" applyFont="1" applyBorder="1" applyAlignment="1" applyProtection="1">
      <alignment horizontal="center" vertical="center"/>
      <protection locked="0"/>
    </xf>
    <xf numFmtId="0" fontId="65" fillId="0" borderId="74" xfId="0" applyFont="1" applyBorder="1" applyAlignment="1" applyProtection="1">
      <alignment horizontal="center" vertical="center"/>
      <protection locked="0"/>
    </xf>
    <xf numFmtId="0" fontId="65" fillId="0" borderId="74" xfId="0" applyFont="1" applyBorder="1" applyAlignment="1" applyProtection="1">
      <alignment horizontal="center" vertical="center" wrapText="1"/>
      <protection locked="0"/>
    </xf>
    <xf numFmtId="0" fontId="65" fillId="0" borderId="74" xfId="0" applyFont="1" applyBorder="1" applyAlignment="1" applyProtection="1">
      <alignment horizontal="justify" wrapText="1"/>
      <protection locked="0"/>
    </xf>
    <xf numFmtId="0" fontId="11" fillId="17" borderId="0" xfId="0" applyFont="1" applyFill="1"/>
    <xf numFmtId="0" fontId="66" fillId="0" borderId="24" xfId="0" applyFont="1" applyBorder="1" applyAlignment="1">
      <alignment horizontal="center" vertical="center"/>
    </xf>
    <xf numFmtId="0" fontId="66" fillId="0" borderId="85" xfId="0" applyFont="1" applyBorder="1" applyAlignment="1">
      <alignment horizontal="center" vertical="center" wrapText="1"/>
    </xf>
    <xf numFmtId="0" fontId="66" fillId="0" borderId="85" xfId="0" applyFont="1" applyBorder="1" applyAlignment="1">
      <alignment horizontal="center" vertical="center"/>
    </xf>
    <xf numFmtId="0" fontId="0" fillId="0" borderId="5" xfId="0" applyBorder="1"/>
    <xf numFmtId="0" fontId="0" fillId="0" borderId="12"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applyBorder="1"/>
    <xf numFmtId="0" fontId="0" fillId="0" borderId="10" xfId="0" applyBorder="1"/>
    <xf numFmtId="14" fontId="70" fillId="16" borderId="74" xfId="0" applyNumberFormat="1" applyFont="1" applyFill="1" applyBorder="1" applyAlignment="1">
      <alignment horizontal="center" vertical="center" wrapText="1"/>
    </xf>
    <xf numFmtId="0" fontId="70" fillId="16" borderId="74" xfId="0" applyFont="1" applyFill="1" applyBorder="1" applyAlignment="1">
      <alignment horizontal="center" vertical="center" wrapText="1"/>
    </xf>
    <xf numFmtId="0" fontId="76" fillId="17" borderId="0" xfId="0" applyFont="1" applyFill="1" applyAlignment="1">
      <alignment horizontal="center" vertical="center" textRotation="90"/>
    </xf>
    <xf numFmtId="0" fontId="78" fillId="0" borderId="0" xfId="0" applyFont="1" applyAlignment="1">
      <alignment vertical="center"/>
    </xf>
    <xf numFmtId="0" fontId="81" fillId="0" borderId="0" xfId="0" applyFont="1"/>
    <xf numFmtId="0" fontId="76" fillId="0" borderId="0" xfId="0" applyFont="1" applyAlignment="1">
      <alignment horizontal="left" vertical="center"/>
    </xf>
    <xf numFmtId="0" fontId="65" fillId="0" borderId="91" xfId="0" applyFont="1" applyBorder="1" applyAlignment="1">
      <alignment horizontal="left" vertical="center"/>
    </xf>
    <xf numFmtId="0" fontId="65" fillId="0" borderId="92" xfId="0" applyFont="1" applyBorder="1" applyAlignment="1">
      <alignment horizontal="left" vertical="center"/>
    </xf>
    <xf numFmtId="0" fontId="81" fillId="3" borderId="0" xfId="0" applyFont="1" applyFill="1"/>
    <xf numFmtId="0" fontId="82" fillId="3" borderId="0" xfId="0" applyFont="1" applyFill="1" applyAlignment="1">
      <alignment horizontal="center" vertical="center"/>
    </xf>
    <xf numFmtId="0" fontId="0" fillId="0" borderId="85" xfId="0" applyBorder="1" applyAlignment="1">
      <alignment horizontal="center" vertical="center"/>
    </xf>
    <xf numFmtId="0" fontId="70" fillId="19" borderId="85" xfId="0" applyFont="1" applyFill="1" applyBorder="1" applyAlignment="1">
      <alignment horizontal="center" vertical="center"/>
    </xf>
    <xf numFmtId="0" fontId="79" fillId="18" borderId="0" xfId="0" applyFont="1" applyFill="1" applyAlignment="1">
      <alignment horizontal="center" vertical="center"/>
    </xf>
    <xf numFmtId="0" fontId="70" fillId="19" borderId="0" xfId="0" applyFont="1" applyFill="1" applyAlignment="1">
      <alignment horizontal="center" vertical="center"/>
    </xf>
    <xf numFmtId="0" fontId="80" fillId="0" borderId="0" xfId="0" applyFont="1" applyAlignment="1">
      <alignment horizontal="center"/>
    </xf>
    <xf numFmtId="0" fontId="80" fillId="0" borderId="0" xfId="0" applyFont="1" applyAlignment="1">
      <alignment horizontal="center" vertical="center"/>
    </xf>
    <xf numFmtId="0" fontId="72" fillId="21" borderId="27" xfId="0" applyFont="1" applyFill="1" applyBorder="1" applyAlignment="1">
      <alignment horizontal="center" vertical="center" wrapText="1"/>
    </xf>
    <xf numFmtId="0" fontId="72" fillId="21" borderId="28" xfId="0" applyFont="1" applyFill="1" applyBorder="1" applyAlignment="1">
      <alignment horizontal="center" vertical="center" wrapText="1"/>
    </xf>
    <xf numFmtId="0" fontId="85" fillId="3" borderId="21" xfId="0" applyFont="1" applyFill="1" applyBorder="1" applyAlignment="1" applyProtection="1">
      <alignment horizontal="justify" vertical="justify" wrapText="1"/>
      <protection locked="0"/>
    </xf>
    <xf numFmtId="0" fontId="71" fillId="0" borderId="22" xfId="0" applyFont="1" applyBorder="1" applyAlignment="1" applyProtection="1">
      <alignment horizontal="center" vertical="center" wrapText="1"/>
      <protection locked="0"/>
    </xf>
    <xf numFmtId="0" fontId="85" fillId="0" borderId="21" xfId="0" applyFont="1" applyBorder="1" applyAlignment="1" applyProtection="1">
      <alignment horizontal="justify" vertical="justify" wrapText="1"/>
      <protection locked="0"/>
    </xf>
    <xf numFmtId="0" fontId="71" fillId="0" borderId="21" xfId="0" applyFont="1" applyBorder="1" applyAlignment="1" applyProtection="1">
      <alignment horizontal="center" vertical="center" wrapText="1"/>
      <protection locked="0"/>
    </xf>
    <xf numFmtId="0" fontId="85" fillId="22" borderId="21" xfId="0" applyFont="1" applyFill="1" applyBorder="1" applyAlignment="1" applyProtection="1">
      <alignment horizontal="justify" vertical="justify" wrapText="1"/>
      <protection locked="0"/>
    </xf>
    <xf numFmtId="0" fontId="43" fillId="0" borderId="25" xfId="0" applyFont="1" applyBorder="1" applyAlignment="1" applyProtection="1">
      <alignment horizontal="justify" vertical="center" wrapText="1"/>
      <protection locked="0"/>
    </xf>
    <xf numFmtId="0" fontId="72" fillId="21" borderId="25" xfId="0" applyFont="1" applyFill="1" applyBorder="1" applyAlignment="1">
      <alignment horizontal="center" vertical="center" wrapText="1"/>
    </xf>
    <xf numFmtId="0" fontId="71" fillId="21" borderId="21" xfId="0" applyFont="1" applyFill="1" applyBorder="1" applyAlignment="1" applyProtection="1">
      <alignment horizontal="center" vertical="center"/>
      <protection locked="0"/>
    </xf>
    <xf numFmtId="0" fontId="85" fillId="23" borderId="22" xfId="0" applyFont="1" applyFill="1" applyBorder="1" applyAlignment="1" applyProtection="1">
      <alignment horizontal="justify" vertical="justify" wrapText="1"/>
      <protection locked="0"/>
    </xf>
    <xf numFmtId="0" fontId="86" fillId="21" borderId="21" xfId="0" applyFont="1" applyFill="1" applyBorder="1" applyAlignment="1" applyProtection="1">
      <alignment horizontal="center" vertical="center"/>
      <protection locked="0"/>
    </xf>
    <xf numFmtId="0" fontId="85" fillId="24" borderId="21" xfId="0" applyFont="1" applyFill="1" applyBorder="1" applyAlignment="1" applyProtection="1">
      <alignment horizontal="justify" vertical="justify" wrapText="1"/>
      <protection locked="0"/>
    </xf>
    <xf numFmtId="0" fontId="85" fillId="22" borderId="67" xfId="0" applyFont="1" applyFill="1" applyBorder="1" applyAlignment="1" applyProtection="1">
      <alignment wrapText="1"/>
      <protection locked="0"/>
    </xf>
    <xf numFmtId="0" fontId="65" fillId="3" borderId="21" xfId="0" applyFont="1" applyFill="1" applyBorder="1" applyAlignment="1" applyProtection="1">
      <alignment horizontal="justify" vertical="justify" wrapText="1"/>
      <protection locked="0"/>
    </xf>
    <xf numFmtId="0" fontId="11" fillId="18" borderId="0" xfId="0" applyFont="1" applyFill="1" applyAlignment="1">
      <alignment horizontal="center" vertical="center"/>
    </xf>
    <xf numFmtId="0" fontId="60" fillId="18" borderId="0" xfId="0" applyFont="1" applyFill="1" applyAlignment="1">
      <alignment horizontal="center" vertical="center"/>
    </xf>
    <xf numFmtId="0" fontId="60" fillId="18" borderId="0" xfId="0" applyFont="1" applyFill="1" applyAlignment="1">
      <alignment horizontal="center" vertical="center" wrapText="1"/>
    </xf>
    <xf numFmtId="0" fontId="11" fillId="18" borderId="0" xfId="0" applyFont="1" applyFill="1" applyAlignment="1">
      <alignment wrapText="1"/>
    </xf>
    <xf numFmtId="0" fontId="65" fillId="0" borderId="0" xfId="0" applyFont="1"/>
    <xf numFmtId="0" fontId="65" fillId="0" borderId="0" xfId="0" applyFont="1" applyAlignment="1">
      <alignment horizontal="center" vertical="center"/>
    </xf>
    <xf numFmtId="0" fontId="65" fillId="0" borderId="0" xfId="0" applyFont="1" applyAlignment="1">
      <alignment horizontal="center"/>
    </xf>
    <xf numFmtId="0" fontId="87" fillId="0" borderId="57" xfId="0" applyFont="1" applyBorder="1" applyAlignment="1" applyProtection="1">
      <alignment horizontal="center" vertical="center"/>
      <protection locked="0"/>
    </xf>
    <xf numFmtId="0" fontId="65" fillId="3" borderId="0" xfId="0" applyFont="1" applyFill="1"/>
    <xf numFmtId="0" fontId="89" fillId="3" borderId="0" xfId="0" applyFont="1" applyFill="1"/>
    <xf numFmtId="0" fontId="83" fillId="3" borderId="66" xfId="0" applyFont="1" applyFill="1" applyBorder="1" applyAlignment="1">
      <alignment horizontal="center" vertical="center"/>
    </xf>
    <xf numFmtId="0" fontId="83" fillId="3" borderId="67" xfId="0" applyFont="1" applyFill="1" applyBorder="1" applyAlignment="1">
      <alignment horizontal="center" vertical="center"/>
    </xf>
    <xf numFmtId="0" fontId="83" fillId="3" borderId="65" xfId="0" applyFont="1" applyFill="1" applyBorder="1" applyAlignment="1">
      <alignment horizontal="center" vertical="center"/>
    </xf>
    <xf numFmtId="0" fontId="83" fillId="3" borderId="57" xfId="0" applyFont="1" applyFill="1" applyBorder="1" applyAlignment="1">
      <alignment horizontal="center" vertical="center"/>
    </xf>
    <xf numFmtId="0" fontId="83" fillId="3" borderId="40" xfId="0" applyFont="1" applyFill="1" applyBorder="1" applyAlignment="1">
      <alignment vertical="center"/>
    </xf>
    <xf numFmtId="0" fontId="70" fillId="3" borderId="0" xfId="0" applyFont="1" applyFill="1" applyAlignment="1">
      <alignment horizontal="center" vertical="center"/>
    </xf>
    <xf numFmtId="0" fontId="76" fillId="3" borderId="0" xfId="0" applyFont="1" applyFill="1" applyAlignment="1">
      <alignment horizontal="center" vertical="center"/>
    </xf>
    <xf numFmtId="0" fontId="76" fillId="2" borderId="0" xfId="0" applyFont="1" applyFill="1" applyAlignment="1">
      <alignment horizontal="center" vertical="center"/>
    </xf>
    <xf numFmtId="0" fontId="65" fillId="0" borderId="0" xfId="0" applyFont="1" applyAlignment="1">
      <alignment horizontal="center" vertical="center" wrapText="1"/>
    </xf>
    <xf numFmtId="0" fontId="65" fillId="0" borderId="21" xfId="0" applyFont="1" applyBorder="1" applyAlignment="1" applyProtection="1">
      <alignment horizontal="center" vertical="center" textRotation="90" wrapText="1"/>
      <protection locked="0"/>
    </xf>
    <xf numFmtId="0" fontId="65" fillId="3" borderId="0" xfId="0" applyFont="1" applyFill="1" applyAlignment="1">
      <alignment horizontal="center" vertical="center" wrapText="1"/>
    </xf>
    <xf numFmtId="0" fontId="65" fillId="0" borderId="3" xfId="0" applyFont="1" applyBorder="1" applyAlignment="1">
      <alignment horizontal="center" vertical="center"/>
    </xf>
    <xf numFmtId="0" fontId="65" fillId="0" borderId="2" xfId="0" applyFont="1" applyBorder="1" applyAlignment="1">
      <alignment horizontal="center" vertical="center"/>
    </xf>
    <xf numFmtId="0" fontId="65" fillId="0" borderId="0" xfId="0" applyFont="1" applyAlignment="1">
      <alignment horizontal="center" wrapText="1"/>
    </xf>
    <xf numFmtId="0" fontId="65" fillId="0" borderId="0" xfId="0" applyFont="1" applyAlignment="1">
      <alignment wrapText="1"/>
    </xf>
    <xf numFmtId="0" fontId="65" fillId="0" borderId="0" xfId="0" applyFont="1" applyAlignment="1">
      <alignment vertical="center"/>
    </xf>
    <xf numFmtId="0" fontId="93" fillId="16" borderId="21" xfId="0" applyFont="1" applyFill="1" applyBorder="1" applyAlignment="1">
      <alignment horizontal="center" vertical="center" wrapText="1"/>
    </xf>
    <xf numFmtId="0" fontId="90" fillId="0" borderId="0" xfId="0" applyFont="1" applyAlignment="1">
      <alignment horizontal="center" vertical="center" wrapText="1"/>
    </xf>
    <xf numFmtId="0" fontId="90" fillId="0" borderId="21" xfId="0" applyFont="1" applyBorder="1" applyAlignment="1">
      <alignment horizontal="center" vertical="center" wrapText="1"/>
    </xf>
    <xf numFmtId="0" fontId="45" fillId="0" borderId="21" xfId="0" applyFont="1" applyBorder="1" applyAlignment="1" applyProtection="1">
      <alignment horizontal="justify" vertical="center" wrapText="1"/>
      <protection locked="0"/>
    </xf>
    <xf numFmtId="0" fontId="45" fillId="0" borderId="21" xfId="0" applyFont="1" applyBorder="1" applyAlignment="1" applyProtection="1">
      <alignment horizontal="left" vertical="center" wrapText="1"/>
      <protection locked="0"/>
    </xf>
    <xf numFmtId="0" fontId="90" fillId="0" borderId="21" xfId="0" applyFont="1" applyBorder="1" applyAlignment="1" applyProtection="1">
      <alignment horizontal="center" vertical="center" wrapText="1"/>
      <protection hidden="1"/>
    </xf>
    <xf numFmtId="0" fontId="90" fillId="0" borderId="21" xfId="0" applyFont="1" applyBorder="1" applyAlignment="1" applyProtection="1">
      <alignment horizontal="center" vertical="center" textRotation="90" wrapText="1"/>
      <protection locked="0"/>
    </xf>
    <xf numFmtId="9" fontId="90" fillId="0" borderId="21" xfId="0" applyNumberFormat="1" applyFont="1" applyBorder="1" applyAlignment="1" applyProtection="1">
      <alignment horizontal="center" vertical="center" wrapText="1"/>
      <protection hidden="1"/>
    </xf>
    <xf numFmtId="164" fontId="90" fillId="0" borderId="21" xfId="1" applyNumberFormat="1" applyFont="1" applyBorder="1" applyAlignment="1">
      <alignment horizontal="center" vertical="center" wrapText="1"/>
    </xf>
    <xf numFmtId="0" fontId="95" fillId="0" borderId="21" xfId="0" applyFont="1" applyBorder="1" applyAlignment="1" applyProtection="1">
      <alignment horizontal="center" vertical="center" textRotation="90" wrapText="1"/>
      <protection hidden="1"/>
    </xf>
    <xf numFmtId="0" fontId="90" fillId="3" borderId="0" xfId="0" applyFont="1" applyFill="1" applyAlignment="1">
      <alignment horizontal="center" vertical="center" wrapText="1"/>
    </xf>
    <xf numFmtId="0" fontId="1" fillId="0" borderId="21" xfId="0" applyFont="1" applyBorder="1" applyAlignment="1">
      <alignment horizontal="center" vertical="center"/>
    </xf>
    <xf numFmtId="0" fontId="65" fillId="0" borderId="74" xfId="0" applyFont="1" applyBorder="1" applyAlignment="1" applyProtection="1">
      <alignment horizontal="left" vertical="center" wrapText="1"/>
      <protection locked="0"/>
    </xf>
    <xf numFmtId="0" fontId="55" fillId="11" borderId="12" xfId="0" applyFont="1" applyFill="1" applyBorder="1" applyAlignment="1" applyProtection="1">
      <alignment horizontal="center" vertical="center" wrapText="1" readingOrder="1"/>
      <protection hidden="1"/>
    </xf>
    <xf numFmtId="0" fontId="77" fillId="13" borderId="12" xfId="0" applyFont="1" applyFill="1" applyBorder="1" applyAlignment="1" applyProtection="1">
      <alignment horizontal="center" wrapText="1" readingOrder="1"/>
      <protection hidden="1"/>
    </xf>
    <xf numFmtId="0" fontId="54" fillId="0" borderId="94" xfId="0" applyFont="1" applyBorder="1" applyAlignment="1">
      <alignment vertical="center"/>
    </xf>
    <xf numFmtId="0" fontId="54" fillId="0" borderId="90" xfId="0" applyFont="1" applyBorder="1" applyAlignment="1">
      <alignment vertical="center"/>
    </xf>
    <xf numFmtId="0" fontId="54" fillId="0" borderId="93" xfId="0" applyFont="1" applyBorder="1" applyAlignment="1">
      <alignment vertical="center"/>
    </xf>
    <xf numFmtId="0" fontId="84" fillId="16" borderId="21" xfId="0" applyFont="1" applyFill="1" applyBorder="1" applyAlignment="1">
      <alignment horizontal="center" vertical="center" textRotation="90"/>
    </xf>
    <xf numFmtId="0" fontId="59" fillId="0" borderId="68" xfId="0" applyFont="1" applyBorder="1" applyAlignment="1">
      <alignment horizontal="center" vertical="center" wrapText="1"/>
    </xf>
    <xf numFmtId="0" fontId="33" fillId="15" borderId="33"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14" fontId="96" fillId="3" borderId="0" xfId="5" applyNumberFormat="1" applyFill="1" applyAlignment="1">
      <alignment horizontal="center" vertical="center" wrapText="1"/>
    </xf>
    <xf numFmtId="0" fontId="96" fillId="3" borderId="0" xfId="5" applyFill="1" applyAlignment="1">
      <alignment horizontal="center" vertical="center" wrapText="1"/>
    </xf>
    <xf numFmtId="0" fontId="54" fillId="0" borderId="66" xfId="0" applyFont="1" applyBorder="1" applyAlignment="1">
      <alignment horizontal="left" vertical="center"/>
    </xf>
    <xf numFmtId="0" fontId="54" fillId="0" borderId="21" xfId="0" applyFont="1" applyBorder="1" applyAlignment="1">
      <alignment horizontal="left" vertical="center"/>
    </xf>
    <xf numFmtId="0" fontId="43" fillId="0" borderId="101" xfId="0" applyFont="1" applyBorder="1" applyAlignment="1" applyProtection="1">
      <alignment horizontal="center" vertical="center" wrapText="1"/>
      <protection locked="0"/>
    </xf>
    <xf numFmtId="0" fontId="83" fillId="3" borderId="0" xfId="0" applyFont="1" applyFill="1" applyAlignment="1">
      <alignment horizontal="center" vertical="center"/>
    </xf>
    <xf numFmtId="0" fontId="43" fillId="0" borderId="108" xfId="0" applyFont="1" applyBorder="1" applyAlignment="1" applyProtection="1">
      <alignment horizontal="center" vertical="center" wrapText="1"/>
      <protection locked="0"/>
    </xf>
    <xf numFmtId="0" fontId="84" fillId="16" borderId="63" xfId="0" applyFont="1" applyFill="1" applyBorder="1" applyAlignment="1">
      <alignment horizontal="center" vertical="center"/>
    </xf>
    <xf numFmtId="0" fontId="90" fillId="25" borderId="21" xfId="0" applyFont="1" applyFill="1" applyBorder="1" applyAlignment="1" applyProtection="1">
      <alignment horizontal="center" vertical="center" wrapText="1"/>
      <protection locked="0"/>
    </xf>
    <xf numFmtId="0" fontId="65" fillId="25" borderId="21" xfId="0" applyFont="1" applyFill="1" applyBorder="1" applyAlignment="1" applyProtection="1">
      <alignment horizontal="center" vertical="center" wrapText="1"/>
      <protection locked="0"/>
    </xf>
    <xf numFmtId="0" fontId="90" fillId="17" borderId="21" xfId="0" applyFont="1" applyFill="1" applyBorder="1" applyAlignment="1">
      <alignment horizontal="center" vertical="center" wrapText="1"/>
    </xf>
    <xf numFmtId="14" fontId="96" fillId="17" borderId="21" xfId="5" applyNumberFormat="1" applyFill="1" applyBorder="1" applyAlignment="1">
      <alignment horizontal="center" vertical="center" wrapText="1"/>
    </xf>
    <xf numFmtId="0" fontId="96" fillId="17" borderId="21" xfId="5" applyFill="1" applyBorder="1" applyAlignment="1">
      <alignment horizontal="center" vertical="center" wrapText="1"/>
    </xf>
    <xf numFmtId="0" fontId="65" fillId="17" borderId="21" xfId="0" applyFont="1" applyFill="1" applyBorder="1" applyAlignment="1" applyProtection="1">
      <alignment horizontal="center" vertical="center" wrapText="1"/>
      <protection locked="0"/>
    </xf>
    <xf numFmtId="14" fontId="90" fillId="27" borderId="21" xfId="0" applyNumberFormat="1" applyFont="1" applyFill="1" applyBorder="1" applyAlignment="1" applyProtection="1">
      <alignment horizontal="center" vertical="center" wrapText="1"/>
      <protection locked="0"/>
    </xf>
    <xf numFmtId="0" fontId="99" fillId="0" borderId="21" xfId="0" applyFont="1" applyBorder="1" applyAlignment="1">
      <alignment horizontal="left" vertical="center"/>
    </xf>
    <xf numFmtId="0" fontId="88" fillId="0" borderId="65" xfId="0" applyFont="1" applyBorder="1" applyAlignment="1">
      <alignment horizontal="left" vertical="center"/>
    </xf>
    <xf numFmtId="0" fontId="100" fillId="0" borderId="21" xfId="0" applyFont="1" applyBorder="1" applyAlignment="1" applyProtection="1">
      <alignment horizontal="left" vertical="center" wrapText="1"/>
      <protection locked="0"/>
    </xf>
    <xf numFmtId="0" fontId="1" fillId="0" borderId="22" xfId="0" applyFont="1" applyBorder="1" applyAlignment="1" applyProtection="1">
      <alignment vertical="center" wrapText="1"/>
      <protection locked="0"/>
    </xf>
    <xf numFmtId="0" fontId="1" fillId="0" borderId="21" xfId="0" applyFont="1" applyBorder="1" applyAlignment="1" applyProtection="1">
      <alignment vertical="center" wrapText="1"/>
      <protection locked="0"/>
    </xf>
    <xf numFmtId="14" fontId="1" fillId="0" borderId="21" xfId="0" applyNumberFormat="1" applyFont="1" applyBorder="1" applyAlignment="1" applyProtection="1">
      <alignment vertical="center" wrapText="1"/>
      <protection locked="0"/>
    </xf>
    <xf numFmtId="14" fontId="90" fillId="0" borderId="21" xfId="0" applyNumberFormat="1" applyFont="1" applyBorder="1" applyAlignment="1" applyProtection="1">
      <alignment vertical="center" wrapText="1"/>
      <protection locked="0"/>
    </xf>
    <xf numFmtId="0" fontId="88" fillId="0" borderId="66" xfId="0" applyFont="1" applyBorder="1" applyAlignment="1">
      <alignment horizontal="left" vertical="center"/>
    </xf>
    <xf numFmtId="0" fontId="88" fillId="0" borderId="65" xfId="0" applyFont="1" applyBorder="1" applyAlignment="1">
      <alignment horizontal="left" vertical="center"/>
    </xf>
    <xf numFmtId="0" fontId="88" fillId="0" borderId="67" xfId="0" applyFont="1" applyBorder="1" applyAlignment="1">
      <alignment horizontal="left" vertical="center"/>
    </xf>
    <xf numFmtId="0" fontId="58" fillId="0" borderId="68" xfId="0" applyFont="1" applyBorder="1" applyAlignment="1">
      <alignment horizontal="center" vertical="center" wrapText="1"/>
    </xf>
    <xf numFmtId="0" fontId="59" fillId="0" borderId="68" xfId="0" applyFont="1" applyBorder="1" applyAlignment="1">
      <alignment horizontal="center" vertical="center" wrapText="1"/>
    </xf>
    <xf numFmtId="0" fontId="65" fillId="0" borderId="64" xfId="0" applyFont="1" applyBorder="1" applyAlignment="1">
      <alignment horizontal="left" vertical="center" wrapText="1"/>
    </xf>
    <xf numFmtId="0" fontId="0" fillId="0" borderId="103" xfId="0" applyBorder="1" applyAlignment="1">
      <alignment horizontal="left" wrapText="1"/>
    </xf>
    <xf numFmtId="0" fontId="0" fillId="0" borderId="103" xfId="0" applyBorder="1" applyAlignment="1">
      <alignment horizontal="left"/>
    </xf>
    <xf numFmtId="0" fontId="93" fillId="16" borderId="66" xfId="0" applyFont="1" applyFill="1" applyBorder="1" applyAlignment="1">
      <alignment horizontal="center" vertical="center" wrapText="1"/>
    </xf>
    <xf numFmtId="0" fontId="93" fillId="16" borderId="67" xfId="0" applyFont="1" applyFill="1" applyBorder="1" applyAlignment="1">
      <alignment horizontal="center" vertical="center" wrapText="1"/>
    </xf>
    <xf numFmtId="0" fontId="84" fillId="16" borderId="101" xfId="0" applyFont="1" applyFill="1" applyBorder="1" applyAlignment="1">
      <alignment horizontal="center" vertical="center" textRotation="90"/>
    </xf>
    <xf numFmtId="0" fontId="84" fillId="16" borderId="102" xfId="0" applyFont="1" applyFill="1" applyBorder="1" applyAlignment="1">
      <alignment horizontal="center" vertical="center" textRotation="90"/>
    </xf>
    <xf numFmtId="0" fontId="84" fillId="16" borderId="22" xfId="0" applyFont="1" applyFill="1" applyBorder="1" applyAlignment="1">
      <alignment horizontal="center" vertical="center" textRotation="90"/>
    </xf>
    <xf numFmtId="0" fontId="90" fillId="0" borderId="101" xfId="0" applyFont="1" applyBorder="1" applyAlignment="1" applyProtection="1">
      <alignment horizontal="center" vertical="center" wrapText="1"/>
      <protection locked="0"/>
    </xf>
    <xf numFmtId="0" fontId="90" fillId="0" borderId="22" xfId="0" applyFont="1" applyBorder="1" applyAlignment="1" applyProtection="1">
      <alignment horizontal="center" vertical="center" wrapText="1"/>
      <protection locked="0"/>
    </xf>
    <xf numFmtId="0" fontId="95" fillId="0" borderId="101" xfId="0" applyFont="1" applyBorder="1" applyAlignment="1">
      <alignment horizontal="center" vertical="center" wrapText="1"/>
    </xf>
    <xf numFmtId="0" fontId="95" fillId="0" borderId="22" xfId="0" applyFont="1" applyBorder="1" applyAlignment="1">
      <alignment horizontal="center" vertical="center" wrapText="1"/>
    </xf>
    <xf numFmtId="0" fontId="90" fillId="0" borderId="101" xfId="0" applyFont="1" applyBorder="1" applyAlignment="1">
      <alignment horizontal="center" vertical="center" wrapText="1"/>
    </xf>
    <xf numFmtId="0" fontId="90" fillId="0" borderId="22" xfId="0" applyFont="1" applyBorder="1" applyAlignment="1">
      <alignment horizontal="center" vertical="center" wrapText="1"/>
    </xf>
    <xf numFmtId="0" fontId="95" fillId="0" borderId="101" xfId="0" applyFont="1" applyBorder="1" applyAlignment="1" applyProtection="1">
      <alignment horizontal="center" vertical="center" wrapText="1"/>
      <protection hidden="1"/>
    </xf>
    <xf numFmtId="0" fontId="95" fillId="0" borderId="22" xfId="0" applyFont="1" applyBorder="1" applyAlignment="1" applyProtection="1">
      <alignment horizontal="center" vertical="center" wrapText="1"/>
      <protection hidden="1"/>
    </xf>
    <xf numFmtId="0" fontId="90" fillId="0" borderId="101" xfId="0" applyFont="1" applyBorder="1" applyAlignment="1" applyProtection="1">
      <alignment horizontal="center" vertical="center" textRotation="90" wrapText="1"/>
      <protection locked="0"/>
    </xf>
    <xf numFmtId="0" fontId="90" fillId="0" borderId="22" xfId="0" applyFont="1" applyBorder="1" applyAlignment="1" applyProtection="1">
      <alignment horizontal="center" vertical="center" textRotation="90" wrapText="1"/>
      <protection locked="0"/>
    </xf>
    <xf numFmtId="0" fontId="98" fillId="0" borderId="101" xfId="0" applyFont="1" applyBorder="1" applyAlignment="1" applyProtection="1">
      <alignment horizontal="center" vertical="center" wrapText="1"/>
      <protection hidden="1"/>
    </xf>
    <xf numFmtId="0" fontId="98" fillId="0" borderId="22" xfId="0" applyFont="1" applyBorder="1" applyAlignment="1" applyProtection="1">
      <alignment horizontal="center" vertical="center" wrapText="1"/>
      <protection hidden="1"/>
    </xf>
    <xf numFmtId="9" fontId="90" fillId="0" borderId="101" xfId="0" applyNumberFormat="1" applyFont="1" applyBorder="1" applyAlignment="1" applyProtection="1">
      <alignment horizontal="center" vertical="center" wrapText="1"/>
      <protection hidden="1"/>
    </xf>
    <xf numFmtId="9" fontId="90" fillId="0" borderId="22" xfId="0" applyNumberFormat="1" applyFont="1" applyBorder="1" applyAlignment="1" applyProtection="1">
      <alignment horizontal="center" vertical="center" wrapText="1"/>
      <protection hidden="1"/>
    </xf>
    <xf numFmtId="9" fontId="90" fillId="0" borderId="101" xfId="0" applyNumberFormat="1" applyFont="1" applyBorder="1" applyAlignment="1" applyProtection="1">
      <alignment horizontal="center" vertical="center" wrapText="1"/>
      <protection locked="0"/>
    </xf>
    <xf numFmtId="9" fontId="90" fillId="0" borderId="22" xfId="0" applyNumberFormat="1" applyFont="1" applyBorder="1" applyAlignment="1" applyProtection="1">
      <alignment horizontal="center" vertical="center" wrapText="1"/>
      <protection locked="0"/>
    </xf>
    <xf numFmtId="0" fontId="76" fillId="0" borderId="0" xfId="0" applyFont="1" applyAlignment="1">
      <alignment horizontal="center"/>
    </xf>
    <xf numFmtId="0" fontId="76" fillId="0" borderId="72" xfId="0" applyFont="1" applyBorder="1" applyAlignment="1">
      <alignment horizontal="center"/>
    </xf>
    <xf numFmtId="0" fontId="84" fillId="16" borderId="101" xfId="0" applyFont="1" applyFill="1" applyBorder="1" applyAlignment="1">
      <alignment horizontal="center" vertical="center"/>
    </xf>
    <xf numFmtId="0" fontId="84" fillId="16" borderId="22" xfId="0" applyFont="1" applyFill="1" applyBorder="1" applyAlignment="1">
      <alignment horizontal="center" vertical="center"/>
    </xf>
    <xf numFmtId="0" fontId="84" fillId="16" borderId="101" xfId="0" applyFont="1" applyFill="1" applyBorder="1" applyAlignment="1">
      <alignment horizontal="center" vertical="center" wrapText="1"/>
    </xf>
    <xf numFmtId="0" fontId="84" fillId="16" borderId="22" xfId="0" applyFont="1" applyFill="1" applyBorder="1" applyAlignment="1">
      <alignment horizontal="center" vertical="center" wrapText="1"/>
    </xf>
    <xf numFmtId="0" fontId="84" fillId="16" borderId="21" xfId="0" applyFont="1" applyFill="1" applyBorder="1" applyAlignment="1">
      <alignment horizontal="center" vertical="center" textRotation="90" wrapText="1"/>
    </xf>
    <xf numFmtId="0" fontId="84" fillId="16" borderId="21" xfId="0" applyFont="1" applyFill="1" applyBorder="1" applyAlignment="1">
      <alignment horizontal="center" vertical="center" wrapText="1"/>
    </xf>
    <xf numFmtId="0" fontId="84" fillId="16" borderId="21" xfId="0" applyFont="1" applyFill="1" applyBorder="1" applyAlignment="1">
      <alignment horizontal="center" vertical="center"/>
    </xf>
    <xf numFmtId="0" fontId="84" fillId="16" borderId="66" xfId="0" applyFont="1" applyFill="1" applyBorder="1" applyAlignment="1">
      <alignment horizontal="center" vertical="center"/>
    </xf>
    <xf numFmtId="0" fontId="84" fillId="16" borderId="65" xfId="0" applyFont="1" applyFill="1" applyBorder="1" applyAlignment="1">
      <alignment horizontal="center" vertical="center"/>
    </xf>
    <xf numFmtId="0" fontId="84" fillId="16" borderId="107" xfId="0" applyFont="1" applyFill="1" applyBorder="1" applyAlignment="1">
      <alignment horizontal="center" vertical="center"/>
    </xf>
    <xf numFmtId="14" fontId="90" fillId="26" borderId="109" xfId="0" applyNumberFormat="1" applyFont="1" applyFill="1" applyBorder="1" applyAlignment="1">
      <alignment horizontal="center" vertical="center" wrapText="1"/>
    </xf>
    <xf numFmtId="14" fontId="90" fillId="26" borderId="22" xfId="0" applyNumberFormat="1" applyFont="1" applyFill="1" applyBorder="1" applyAlignment="1">
      <alignment horizontal="center" vertical="center" wrapText="1"/>
    </xf>
    <xf numFmtId="0" fontId="62" fillId="0" borderId="95" xfId="0" applyFont="1" applyBorder="1" applyAlignment="1">
      <alignment horizontal="center" vertical="center" wrapText="1"/>
    </xf>
    <xf numFmtId="0" fontId="62" fillId="0" borderId="96" xfId="0" applyFont="1" applyBorder="1" applyAlignment="1">
      <alignment horizontal="center" vertical="center" wrapText="1"/>
    </xf>
    <xf numFmtId="0" fontId="62" fillId="0" borderId="110" xfId="0" applyFont="1" applyBorder="1" applyAlignment="1">
      <alignment horizontal="center" vertical="center" wrapText="1"/>
    </xf>
    <xf numFmtId="0" fontId="62" fillId="0" borderId="86" xfId="0" applyFont="1" applyBorder="1" applyAlignment="1">
      <alignment horizontal="center" vertical="center" wrapText="1"/>
    </xf>
    <xf numFmtId="0" fontId="62" fillId="0" borderId="0" xfId="0" applyFont="1" applyAlignment="1">
      <alignment horizontal="center" vertical="center" wrapText="1"/>
    </xf>
    <xf numFmtId="0" fontId="62" fillId="0" borderId="72" xfId="0" applyFont="1" applyBorder="1" applyAlignment="1">
      <alignment horizontal="center" vertical="center" wrapText="1"/>
    </xf>
    <xf numFmtId="0" fontId="62" fillId="0" borderId="97" xfId="0" applyFont="1" applyBorder="1" applyAlignment="1">
      <alignment horizontal="center" vertical="center" wrapText="1"/>
    </xf>
    <xf numFmtId="0" fontId="62" fillId="0" borderId="98" xfId="0" applyFont="1" applyBorder="1" applyAlignment="1">
      <alignment horizontal="center" vertical="center" wrapText="1"/>
    </xf>
    <xf numFmtId="0" fontId="62" fillId="0" borderId="111" xfId="0" applyFont="1" applyBorder="1" applyAlignment="1">
      <alignment horizontal="center" vertical="center" wrapText="1"/>
    </xf>
    <xf numFmtId="0" fontId="87" fillId="0" borderId="21" xfId="0" applyFont="1" applyBorder="1" applyAlignment="1" applyProtection="1">
      <alignment horizontal="center" vertical="center"/>
      <protection locked="0"/>
    </xf>
    <xf numFmtId="0" fontId="83" fillId="16" borderId="66" xfId="0" applyFont="1" applyFill="1" applyBorder="1" applyAlignment="1">
      <alignment horizontal="left" vertical="center"/>
    </xf>
    <xf numFmtId="0" fontId="83" fillId="16" borderId="65" xfId="0" applyFont="1" applyFill="1" applyBorder="1" applyAlignment="1">
      <alignment horizontal="left" vertical="center"/>
    </xf>
    <xf numFmtId="0" fontId="83" fillId="16" borderId="67" xfId="0" applyFont="1" applyFill="1" applyBorder="1" applyAlignment="1">
      <alignment horizontal="left" vertical="center"/>
    </xf>
    <xf numFmtId="0" fontId="84" fillId="16" borderId="21" xfId="0" applyFont="1" applyFill="1" applyBorder="1" applyAlignment="1">
      <alignment horizontal="center" vertical="center" textRotation="90"/>
    </xf>
    <xf numFmtId="0" fontId="84" fillId="18" borderId="67" xfId="0" applyFont="1" applyFill="1" applyBorder="1" applyAlignment="1">
      <alignment horizontal="center" vertical="center" wrapText="1"/>
    </xf>
    <xf numFmtId="0" fontId="84" fillId="18" borderId="21" xfId="0" applyFont="1" applyFill="1" applyBorder="1" applyAlignment="1">
      <alignment horizontal="center" vertical="center" wrapText="1"/>
    </xf>
    <xf numFmtId="0" fontId="84" fillId="16" borderId="99" xfId="0" applyFont="1" applyFill="1" applyBorder="1" applyAlignment="1">
      <alignment horizontal="center" vertical="center" wrapText="1"/>
    </xf>
    <xf numFmtId="0" fontId="84" fillId="16" borderId="105" xfId="0" applyFont="1" applyFill="1" applyBorder="1" applyAlignment="1">
      <alignment horizontal="center" vertical="center" wrapText="1"/>
    </xf>
    <xf numFmtId="0" fontId="84" fillId="16" borderId="63" xfId="0" applyFont="1" applyFill="1" applyBorder="1" applyAlignment="1">
      <alignment horizontal="center" vertical="center" wrapText="1"/>
    </xf>
    <xf numFmtId="0" fontId="84" fillId="16" borderId="106" xfId="0" applyFont="1" applyFill="1" applyBorder="1" applyAlignment="1">
      <alignment horizontal="center" vertical="center" wrapText="1"/>
    </xf>
    <xf numFmtId="0" fontId="84" fillId="16" borderId="104" xfId="0" applyFont="1" applyFill="1" applyBorder="1" applyAlignment="1">
      <alignment horizontal="center" vertical="center" wrapText="1"/>
    </xf>
    <xf numFmtId="0" fontId="92" fillId="0" borderId="66" xfId="0" applyFont="1" applyBorder="1" applyAlignment="1">
      <alignment horizontal="left" vertical="center" wrapText="1"/>
    </xf>
    <xf numFmtId="0" fontId="92" fillId="0" borderId="65" xfId="0" applyFont="1" applyBorder="1" applyAlignment="1">
      <alignment horizontal="left" vertical="center" wrapText="1"/>
    </xf>
    <xf numFmtId="0" fontId="92" fillId="0" borderId="67" xfId="0" applyFont="1" applyBorder="1" applyAlignment="1">
      <alignment horizontal="left" vertical="center" wrapText="1"/>
    </xf>
    <xf numFmtId="0" fontId="91" fillId="0" borderId="21" xfId="0" applyFont="1" applyBorder="1" applyAlignment="1">
      <alignment horizontal="left" vertical="center" wrapText="1"/>
    </xf>
    <xf numFmtId="0" fontId="1" fillId="0" borderId="101"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65" fillId="0" borderId="101" xfId="0" applyFont="1" applyBorder="1" applyAlignment="1">
      <alignment horizontal="center" vertical="center" wrapText="1"/>
    </xf>
    <xf numFmtId="0" fontId="65" fillId="0" borderId="22" xfId="0" applyFont="1" applyBorder="1" applyAlignment="1">
      <alignment horizontal="center" vertical="center" wrapText="1"/>
    </xf>
    <xf numFmtId="0" fontId="76" fillId="0" borderId="101" xfId="0" applyFont="1" applyBorder="1" applyAlignment="1">
      <alignment horizontal="center" vertical="center" wrapText="1"/>
    </xf>
    <xf numFmtId="0" fontId="76" fillId="0" borderId="22" xfId="0" applyFont="1" applyBorder="1" applyAlignment="1">
      <alignment horizontal="center" vertical="center" wrapText="1"/>
    </xf>
    <xf numFmtId="0" fontId="90" fillId="0" borderId="21" xfId="0" applyFont="1" applyBorder="1" applyAlignment="1" applyProtection="1">
      <alignment horizontal="center" vertical="center" wrapText="1"/>
      <protection locked="0"/>
    </xf>
    <xf numFmtId="14" fontId="1" fillId="0" borderId="101" xfId="0" applyNumberFormat="1" applyFont="1" applyBorder="1" applyAlignment="1" applyProtection="1">
      <alignment horizontal="center" vertical="center" wrapText="1"/>
      <protection locked="0"/>
    </xf>
    <xf numFmtId="14" fontId="1" fillId="0" borderId="22" xfId="0" applyNumberFormat="1" applyFont="1" applyBorder="1" applyAlignment="1" applyProtection="1">
      <alignment horizontal="center" vertical="center" wrapText="1"/>
      <protection locked="0"/>
    </xf>
    <xf numFmtId="14" fontId="90" fillId="0" borderId="101" xfId="0" applyNumberFormat="1" applyFont="1" applyBorder="1" applyAlignment="1" applyProtection="1">
      <alignment horizontal="center" vertical="center" wrapText="1"/>
      <protection locked="0"/>
    </xf>
    <xf numFmtId="14" fontId="90" fillId="0" borderId="22" xfId="0" applyNumberFormat="1" applyFont="1" applyBorder="1" applyAlignment="1" applyProtection="1">
      <alignment horizontal="center" vertical="center" wrapText="1"/>
      <protection locked="0"/>
    </xf>
    <xf numFmtId="14" fontId="90" fillId="17" borderId="101" xfId="0" applyNumberFormat="1" applyFont="1" applyFill="1" applyBorder="1" applyAlignment="1">
      <alignment horizontal="center" vertical="center" wrapText="1"/>
    </xf>
    <xf numFmtId="14" fontId="90" fillId="17" borderId="102" xfId="0" applyNumberFormat="1" applyFont="1" applyFill="1" applyBorder="1" applyAlignment="1">
      <alignment horizontal="center" vertical="center" wrapText="1"/>
    </xf>
    <xf numFmtId="14" fontId="90" fillId="17" borderId="22" xfId="0" applyNumberFormat="1" applyFont="1" applyFill="1" applyBorder="1" applyAlignment="1">
      <alignment horizontal="center" vertical="center" wrapText="1"/>
    </xf>
    <xf numFmtId="14" fontId="90" fillId="25" borderId="101" xfId="0" applyNumberFormat="1" applyFont="1" applyFill="1" applyBorder="1" applyAlignment="1" applyProtection="1">
      <alignment horizontal="center" vertical="center" wrapText="1"/>
      <protection locked="0"/>
    </xf>
    <xf numFmtId="14" fontId="90" fillId="25" borderId="102" xfId="0" applyNumberFormat="1" applyFont="1" applyFill="1" applyBorder="1" applyAlignment="1" applyProtection="1">
      <alignment horizontal="center" vertical="center" wrapText="1"/>
      <protection locked="0"/>
    </xf>
    <xf numFmtId="14" fontId="90" fillId="25" borderId="22" xfId="0" applyNumberFormat="1" applyFont="1" applyFill="1" applyBorder="1" applyAlignment="1" applyProtection="1">
      <alignment horizontal="center" vertical="center" wrapText="1"/>
      <protection locked="0"/>
    </xf>
    <xf numFmtId="14" fontId="90" fillId="27" borderId="101" xfId="0" applyNumberFormat="1" applyFont="1" applyFill="1" applyBorder="1" applyAlignment="1" applyProtection="1">
      <alignment horizontal="center" vertical="center" wrapText="1"/>
      <protection locked="0"/>
    </xf>
    <xf numFmtId="14" fontId="90" fillId="27" borderId="102" xfId="0" applyNumberFormat="1" applyFont="1" applyFill="1" applyBorder="1" applyAlignment="1" applyProtection="1">
      <alignment horizontal="center" vertical="center" wrapText="1"/>
      <protection locked="0"/>
    </xf>
    <xf numFmtId="14" fontId="90" fillId="27" borderId="22" xfId="0" applyNumberFormat="1" applyFont="1" applyFill="1" applyBorder="1" applyAlignment="1" applyProtection="1">
      <alignment horizontal="center" vertical="center" wrapText="1"/>
      <protection locked="0"/>
    </xf>
    <xf numFmtId="0" fontId="61" fillId="0" borderId="0" xfId="0" applyFont="1" applyAlignment="1">
      <alignment horizontal="center" wrapText="1"/>
    </xf>
    <xf numFmtId="0" fontId="64" fillId="0" borderId="88" xfId="0" applyFont="1" applyBorder="1" applyAlignment="1">
      <alignment horizontal="center" vertical="center" wrapText="1"/>
    </xf>
    <xf numFmtId="0" fontId="64" fillId="0" borderId="12" xfId="0" applyFont="1" applyBorder="1" applyAlignment="1">
      <alignment horizontal="center" vertical="center" wrapText="1"/>
    </xf>
    <xf numFmtId="0" fontId="64" fillId="0" borderId="75" xfId="0" applyFont="1" applyBorder="1" applyAlignment="1">
      <alignment horizontal="center" vertical="center" wrapText="1"/>
    </xf>
    <xf numFmtId="0" fontId="64" fillId="0" borderId="71" xfId="0" applyFont="1" applyBorder="1" applyAlignment="1">
      <alignment horizontal="center" vertical="center" wrapText="1"/>
    </xf>
    <xf numFmtId="0" fontId="64" fillId="0" borderId="0" xfId="0" applyFont="1" applyAlignment="1">
      <alignment horizontal="center" vertical="center" wrapText="1"/>
    </xf>
    <xf numFmtId="0" fontId="64" fillId="0" borderId="72" xfId="0" applyFont="1" applyBorder="1" applyAlignment="1">
      <alignment horizontal="center" vertical="center" wrapText="1"/>
    </xf>
    <xf numFmtId="0" fontId="64" fillId="0" borderId="89" xfId="0" applyFont="1" applyBorder="1" applyAlignment="1">
      <alignment horizontal="center" vertical="center" wrapText="1"/>
    </xf>
    <xf numFmtId="0" fontId="64" fillId="0" borderId="11" xfId="0" applyFont="1" applyBorder="1" applyAlignment="1">
      <alignment horizontal="center" vertical="center" wrapText="1"/>
    </xf>
    <xf numFmtId="0" fontId="64" fillId="0" borderId="78" xfId="0" applyFont="1" applyBorder="1" applyAlignment="1">
      <alignment horizontal="center" vertical="center" wrapText="1"/>
    </xf>
    <xf numFmtId="0" fontId="62" fillId="0" borderId="5" xfId="0" applyFont="1" applyBorder="1" applyAlignment="1">
      <alignment horizontal="center" wrapText="1"/>
    </xf>
    <xf numFmtId="0" fontId="62" fillId="0" borderId="6" xfId="0" applyFont="1" applyBorder="1" applyAlignment="1">
      <alignment horizontal="center" wrapText="1"/>
    </xf>
    <xf numFmtId="0" fontId="62" fillId="0" borderId="7" xfId="0" applyFont="1" applyBorder="1" applyAlignment="1">
      <alignment horizontal="center" wrapText="1"/>
    </xf>
    <xf numFmtId="0" fontId="62" fillId="0" borderId="8" xfId="0" applyFont="1" applyBorder="1" applyAlignment="1">
      <alignment horizontal="center" wrapText="1"/>
    </xf>
    <xf numFmtId="0" fontId="62" fillId="0" borderId="9" xfId="0" applyFont="1" applyBorder="1" applyAlignment="1">
      <alignment horizontal="center" wrapText="1"/>
    </xf>
    <xf numFmtId="0" fontId="62" fillId="0" borderId="10" xfId="0" applyFont="1" applyBorder="1" applyAlignment="1">
      <alignment horizontal="center" wrapText="1"/>
    </xf>
    <xf numFmtId="0" fontId="54" fillId="0" borderId="76" xfId="0" applyFont="1" applyBorder="1" applyAlignment="1">
      <alignment horizontal="left" vertical="center"/>
    </xf>
    <xf numFmtId="0" fontId="54" fillId="0" borderId="6" xfId="0" applyFont="1" applyBorder="1" applyAlignment="1">
      <alignment horizontal="left" vertical="center"/>
    </xf>
    <xf numFmtId="0" fontId="54" fillId="0" borderId="77" xfId="0" applyFont="1" applyBorder="1" applyAlignment="1">
      <alignment horizontal="left" vertical="center"/>
    </xf>
    <xf numFmtId="0" fontId="54" fillId="0" borderId="8" xfId="0" applyFont="1" applyBorder="1" applyAlignment="1">
      <alignment horizontal="left" vertical="center"/>
    </xf>
    <xf numFmtId="0" fontId="54" fillId="0" borderId="79" xfId="0" applyFont="1" applyBorder="1" applyAlignment="1">
      <alignment horizontal="left" vertical="center"/>
    </xf>
    <xf numFmtId="0" fontId="54" fillId="0" borderId="10" xfId="0" applyFont="1" applyBorder="1" applyAlignment="1">
      <alignment horizontal="left" vertical="center"/>
    </xf>
    <xf numFmtId="0" fontId="65" fillId="0" borderId="23" xfId="0" applyFont="1" applyBorder="1" applyAlignment="1">
      <alignment horizontal="left" vertical="center" wrapText="1"/>
    </xf>
    <xf numFmtId="0" fontId="65" fillId="0" borderId="35" xfId="0" applyFont="1" applyBorder="1" applyAlignment="1">
      <alignment horizontal="left" vertical="center" wrapText="1"/>
    </xf>
    <xf numFmtId="0" fontId="97" fillId="0" borderId="112" xfId="0" applyFont="1" applyBorder="1" applyAlignment="1">
      <alignment horizontal="center" wrapText="1"/>
    </xf>
    <xf numFmtId="0" fontId="97" fillId="0" borderId="113" xfId="0" applyFont="1" applyBorder="1" applyAlignment="1">
      <alignment horizontal="center" wrapText="1"/>
    </xf>
    <xf numFmtId="0" fontId="97" fillId="0" borderId="114" xfId="0" applyFont="1" applyBorder="1" applyAlignment="1">
      <alignment horizontal="center" wrapText="1"/>
    </xf>
    <xf numFmtId="0" fontId="64" fillId="0" borderId="94" xfId="0" applyFont="1" applyBorder="1" applyAlignment="1">
      <alignment horizontal="center" vertical="center" wrapText="1"/>
    </xf>
    <xf numFmtId="0" fontId="64" fillId="0" borderId="90" xfId="0" applyFont="1" applyBorder="1" applyAlignment="1">
      <alignment horizontal="center" vertical="center" wrapText="1"/>
    </xf>
    <xf numFmtId="0" fontId="64" fillId="0" borderId="93" xfId="0" applyFont="1" applyBorder="1" applyAlignment="1">
      <alignment horizontal="center" vertical="center" wrapText="1"/>
    </xf>
    <xf numFmtId="0" fontId="60" fillId="18" borderId="94" xfId="0" applyFont="1" applyFill="1" applyBorder="1" applyAlignment="1">
      <alignment horizontal="center" vertical="center"/>
    </xf>
    <xf numFmtId="0" fontId="60" fillId="18" borderId="90" xfId="0" applyFont="1" applyFill="1" applyBorder="1" applyAlignment="1">
      <alignment horizontal="center" vertical="center"/>
    </xf>
    <xf numFmtId="0" fontId="60" fillId="18" borderId="93" xfId="0" applyFont="1" applyFill="1" applyBorder="1" applyAlignment="1">
      <alignment horizontal="center" vertical="center"/>
    </xf>
    <xf numFmtId="0" fontId="70" fillId="18" borderId="5" xfId="0" applyFont="1" applyFill="1" applyBorder="1" applyAlignment="1">
      <alignment horizontal="center" vertical="center"/>
    </xf>
    <xf numFmtId="0" fontId="70" fillId="18" borderId="6" xfId="0" applyFont="1" applyFill="1" applyBorder="1" applyAlignment="1">
      <alignment horizontal="center" vertical="center"/>
    </xf>
    <xf numFmtId="0" fontId="70" fillId="18" borderId="9" xfId="0" applyFont="1" applyFill="1" applyBorder="1" applyAlignment="1">
      <alignment horizontal="center" vertical="center"/>
    </xf>
    <xf numFmtId="0" fontId="70" fillId="18" borderId="10" xfId="0" applyFont="1" applyFill="1" applyBorder="1" applyAlignment="1">
      <alignment horizontal="center" vertical="center"/>
    </xf>
    <xf numFmtId="0" fontId="70" fillId="19" borderId="9" xfId="0" applyFont="1" applyFill="1" applyBorder="1" applyAlignment="1">
      <alignment horizontal="center" vertical="center"/>
    </xf>
    <xf numFmtId="0" fontId="70" fillId="19" borderId="10" xfId="0" applyFont="1" applyFill="1" applyBorder="1" applyAlignment="1">
      <alignment horizontal="center" vertical="center"/>
    </xf>
    <xf numFmtId="0" fontId="70" fillId="18" borderId="5" xfId="0" applyFont="1" applyFill="1" applyBorder="1" applyAlignment="1">
      <alignment horizontal="center" vertical="center" wrapText="1"/>
    </xf>
    <xf numFmtId="0" fontId="70" fillId="18" borderId="6" xfId="0" applyFont="1" applyFill="1" applyBorder="1" applyAlignment="1">
      <alignment horizontal="center" vertical="center" wrapText="1"/>
    </xf>
    <xf numFmtId="0" fontId="70" fillId="18" borderId="9" xfId="0" applyFont="1" applyFill="1" applyBorder="1" applyAlignment="1">
      <alignment horizontal="center" vertical="center" wrapText="1"/>
    </xf>
    <xf numFmtId="0" fontId="70" fillId="18" borderId="10" xfId="0" applyFont="1" applyFill="1" applyBorder="1" applyAlignment="1">
      <alignment horizontal="center" vertical="center" wrapText="1"/>
    </xf>
    <xf numFmtId="0" fontId="54" fillId="0" borderId="5" xfId="0" applyFont="1" applyBorder="1" applyAlignment="1">
      <alignment horizontal="left" vertical="center"/>
    </xf>
    <xf numFmtId="0" fontId="54" fillId="0" borderId="7" xfId="0" applyFont="1" applyBorder="1" applyAlignment="1">
      <alignment horizontal="left" vertical="center"/>
    </xf>
    <xf numFmtId="0" fontId="54" fillId="0" borderId="9" xfId="0" applyFont="1" applyBorder="1" applyAlignment="1">
      <alignment horizontal="left" vertical="center"/>
    </xf>
    <xf numFmtId="0" fontId="0" fillId="5" borderId="0" xfId="0" applyFill="1" applyAlignment="1">
      <alignment horizontal="center"/>
    </xf>
    <xf numFmtId="0" fontId="76" fillId="20" borderId="91" xfId="0" applyFont="1" applyFill="1" applyBorder="1" applyAlignment="1">
      <alignment horizontal="center" vertical="center" wrapText="1"/>
    </xf>
    <xf numFmtId="0" fontId="76" fillId="20" borderId="100" xfId="0" applyFont="1" applyFill="1" applyBorder="1" applyAlignment="1">
      <alignment horizontal="center" vertical="center" wrapText="1"/>
    </xf>
    <xf numFmtId="0" fontId="76" fillId="20" borderId="25" xfId="0" applyFont="1" applyFill="1" applyBorder="1" applyAlignment="1">
      <alignment horizontal="center" vertical="center" wrapText="1"/>
    </xf>
    <xf numFmtId="0" fontId="76" fillId="20" borderId="21" xfId="0" applyFont="1" applyFill="1" applyBorder="1" applyAlignment="1">
      <alignment horizontal="center" vertical="center" wrapText="1"/>
    </xf>
    <xf numFmtId="0" fontId="22" fillId="0" borderId="0" xfId="0" applyFont="1" applyAlignment="1">
      <alignment horizontal="center" vertical="center" wrapText="1"/>
    </xf>
    <xf numFmtId="0" fontId="18" fillId="5" borderId="7" xfId="0" applyFont="1" applyFill="1" applyBorder="1" applyAlignment="1" applyProtection="1">
      <alignment horizontal="center" wrapText="1" readingOrder="1"/>
      <protection hidden="1"/>
    </xf>
    <xf numFmtId="0" fontId="18" fillId="5" borderId="0" xfId="0" applyFont="1" applyFill="1" applyAlignment="1" applyProtection="1">
      <alignment horizontal="center" wrapText="1" readingOrder="1"/>
      <protection hidden="1"/>
    </xf>
    <xf numFmtId="0" fontId="18" fillId="5" borderId="8" xfId="0" applyFont="1" applyFill="1" applyBorder="1" applyAlignment="1" applyProtection="1">
      <alignment horizontal="center" wrapText="1" readingOrder="1"/>
      <protection hidden="1"/>
    </xf>
    <xf numFmtId="0" fontId="18" fillId="5" borderId="11" xfId="0" applyFont="1" applyFill="1" applyBorder="1" applyAlignment="1" applyProtection="1">
      <alignment horizontal="center" wrapText="1" readingOrder="1"/>
      <protection hidden="1"/>
    </xf>
    <xf numFmtId="0" fontId="18" fillId="5" borderId="10" xfId="0" applyFont="1" applyFill="1" applyBorder="1" applyAlignment="1" applyProtection="1">
      <alignment horizontal="center" wrapText="1" readingOrder="1"/>
      <protection hidden="1"/>
    </xf>
    <xf numFmtId="0" fontId="18" fillId="5" borderId="5" xfId="0" applyFont="1" applyFill="1" applyBorder="1" applyAlignment="1" applyProtection="1">
      <alignment horizontal="center" wrapText="1" readingOrder="1"/>
      <protection hidden="1"/>
    </xf>
    <xf numFmtId="0" fontId="18" fillId="5" borderId="12" xfId="0" applyFont="1" applyFill="1" applyBorder="1" applyAlignment="1" applyProtection="1">
      <alignment horizontal="center" wrapText="1" readingOrder="1"/>
      <protection hidden="1"/>
    </xf>
    <xf numFmtId="0" fontId="18" fillId="5" borderId="6" xfId="0" applyFont="1" applyFill="1" applyBorder="1" applyAlignment="1" applyProtection="1">
      <alignment horizontal="center" wrapText="1" readingOrder="1"/>
      <protection hidden="1"/>
    </xf>
    <xf numFmtId="0" fontId="18" fillId="5" borderId="9" xfId="0" applyFont="1" applyFill="1" applyBorder="1" applyAlignment="1" applyProtection="1">
      <alignment horizontal="center" wrapText="1" readingOrder="1"/>
      <protection hidden="1"/>
    </xf>
    <xf numFmtId="0" fontId="18" fillId="13" borderId="7" xfId="0" applyFont="1" applyFill="1" applyBorder="1" applyAlignment="1" applyProtection="1">
      <alignment horizontal="center" wrapText="1" readingOrder="1"/>
      <protection hidden="1"/>
    </xf>
    <xf numFmtId="0" fontId="18" fillId="13" borderId="0" xfId="0" applyFont="1" applyFill="1" applyAlignment="1" applyProtection="1">
      <alignment horizontal="center" wrapText="1" readingOrder="1"/>
      <protection hidden="1"/>
    </xf>
    <xf numFmtId="0" fontId="18" fillId="13" borderId="8" xfId="0" applyFont="1" applyFill="1" applyBorder="1" applyAlignment="1" applyProtection="1">
      <alignment horizontal="center" wrapText="1" readingOrder="1"/>
      <protection hidden="1"/>
    </xf>
    <xf numFmtId="0" fontId="18" fillId="13" borderId="9" xfId="0" applyFont="1" applyFill="1" applyBorder="1" applyAlignment="1" applyProtection="1">
      <alignment horizontal="center" wrapText="1" readingOrder="1"/>
      <protection hidden="1"/>
    </xf>
    <xf numFmtId="0" fontId="18" fillId="13" borderId="11" xfId="0" applyFont="1" applyFill="1" applyBorder="1" applyAlignment="1" applyProtection="1">
      <alignment horizontal="center" wrapText="1" readingOrder="1"/>
      <protection hidden="1"/>
    </xf>
    <xf numFmtId="0" fontId="18" fillId="13" borderId="10" xfId="0" applyFont="1" applyFill="1" applyBorder="1" applyAlignment="1" applyProtection="1">
      <alignment horizontal="center" wrapText="1" readingOrder="1"/>
      <protection hidden="1"/>
    </xf>
    <xf numFmtId="0" fontId="18" fillId="13" borderId="5" xfId="0" applyFont="1" applyFill="1" applyBorder="1" applyAlignment="1" applyProtection="1">
      <alignment horizontal="center" wrapText="1" readingOrder="1"/>
      <protection hidden="1"/>
    </xf>
    <xf numFmtId="0" fontId="18" fillId="13" borderId="12" xfId="0" applyFont="1" applyFill="1" applyBorder="1" applyAlignment="1" applyProtection="1">
      <alignment horizontal="center" wrapText="1" readingOrder="1"/>
      <protection hidden="1"/>
    </xf>
    <xf numFmtId="0" fontId="18" fillId="13" borderId="6" xfId="0" applyFont="1" applyFill="1" applyBorder="1" applyAlignment="1" applyProtection="1">
      <alignment horizont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1" borderId="7" xfId="0" applyFont="1" applyFill="1" applyBorder="1" applyAlignment="1" applyProtection="1">
      <alignment horizontal="center" vertical="center" wrapText="1" readingOrder="1"/>
      <protection hidden="1"/>
    </xf>
    <xf numFmtId="0" fontId="18" fillId="11" borderId="0" xfId="0" applyFont="1" applyFill="1" applyAlignment="1" applyProtection="1">
      <alignment horizontal="center" vertical="center" wrapText="1" readingOrder="1"/>
      <protection hidden="1"/>
    </xf>
    <xf numFmtId="0" fontId="18" fillId="11" borderId="8" xfId="0" applyFont="1" applyFill="1" applyBorder="1" applyAlignment="1" applyProtection="1">
      <alignment horizontal="center" vertical="center" wrapText="1" readingOrder="1"/>
      <protection hidden="1"/>
    </xf>
    <xf numFmtId="0" fontId="18" fillId="11" borderId="9" xfId="0" applyFont="1" applyFill="1" applyBorder="1" applyAlignment="1" applyProtection="1">
      <alignment horizontal="center" vertical="center" wrapText="1" readingOrder="1"/>
      <protection hidden="1"/>
    </xf>
    <xf numFmtId="0" fontId="18" fillId="11" borderId="11" xfId="0" applyFont="1" applyFill="1" applyBorder="1" applyAlignment="1" applyProtection="1">
      <alignment horizontal="center" vertical="center" wrapText="1" readingOrder="1"/>
      <protection hidden="1"/>
    </xf>
    <xf numFmtId="0" fontId="18" fillId="11" borderId="10" xfId="0" applyFont="1" applyFill="1" applyBorder="1" applyAlignment="1" applyProtection="1">
      <alignment horizontal="center" vertical="center" wrapText="1" readingOrder="1"/>
      <protection hidden="1"/>
    </xf>
    <xf numFmtId="0" fontId="18" fillId="11" borderId="5" xfId="0" applyFont="1" applyFill="1" applyBorder="1" applyAlignment="1" applyProtection="1">
      <alignment horizontal="center" vertical="center" wrapText="1" readingOrder="1"/>
      <protection hidden="1"/>
    </xf>
    <xf numFmtId="0" fontId="18" fillId="11" borderId="12" xfId="0" applyFont="1" applyFill="1" applyBorder="1" applyAlignment="1" applyProtection="1">
      <alignment horizontal="center" vertical="center" wrapText="1" readingOrder="1"/>
      <protection hidden="1"/>
    </xf>
    <xf numFmtId="0" fontId="18" fillId="11" borderId="6" xfId="0" applyFont="1" applyFill="1" applyBorder="1" applyAlignment="1" applyProtection="1">
      <alignment horizontal="center" vertical="center" wrapText="1" readingOrder="1"/>
      <protection hidden="1"/>
    </xf>
    <xf numFmtId="0" fontId="15" fillId="0" borderId="5"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5" fillId="0" borderId="7" xfId="0" applyFont="1" applyBorder="1" applyAlignment="1">
      <alignment horizontal="center" vertical="center" wrapText="1"/>
    </xf>
    <xf numFmtId="0" fontId="54" fillId="0" borderId="12" xfId="0" applyFont="1" applyBorder="1" applyAlignment="1">
      <alignment horizontal="left" vertical="center"/>
    </xf>
    <xf numFmtId="0" fontId="54" fillId="0" borderId="0" xfId="0" applyFont="1" applyAlignment="1">
      <alignment horizontal="left" vertical="center"/>
    </xf>
    <xf numFmtId="0" fontId="54" fillId="0" borderId="11" xfId="0" applyFont="1" applyBorder="1" applyAlignment="1">
      <alignment horizontal="left" vertical="center"/>
    </xf>
    <xf numFmtId="0" fontId="54" fillId="0" borderId="5" xfId="0" applyFont="1" applyBorder="1" applyAlignment="1">
      <alignment horizontal="center" vertical="center"/>
    </xf>
    <xf numFmtId="0" fontId="54" fillId="0" borderId="12" xfId="0" applyFont="1" applyBorder="1" applyAlignment="1">
      <alignment horizontal="center" vertical="center"/>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54" fillId="0" borderId="9" xfId="0" applyFont="1" applyBorder="1" applyAlignment="1">
      <alignment horizontal="center" vertical="center"/>
    </xf>
    <xf numFmtId="0" fontId="54" fillId="0" borderId="11" xfId="0" applyFont="1" applyBorder="1" applyAlignment="1">
      <alignment horizontal="center" vertical="center"/>
    </xf>
    <xf numFmtId="0" fontId="54" fillId="0" borderId="10" xfId="0" applyFont="1" applyBorder="1" applyAlignment="1">
      <alignment horizontal="center" vertical="center"/>
    </xf>
    <xf numFmtId="0" fontId="67" fillId="0" borderId="5" xfId="0" applyFont="1" applyBorder="1" applyAlignment="1">
      <alignment horizontal="center" wrapText="1"/>
    </xf>
    <xf numFmtId="0" fontId="67" fillId="0" borderId="12" xfId="0" applyFont="1" applyBorder="1" applyAlignment="1">
      <alignment horizontal="center" wrapText="1"/>
    </xf>
    <xf numFmtId="0" fontId="67" fillId="0" borderId="6" xfId="0" applyFont="1" applyBorder="1" applyAlignment="1">
      <alignment horizontal="center" wrapText="1"/>
    </xf>
    <xf numFmtId="0" fontId="67" fillId="0" borderId="7" xfId="0" applyFont="1" applyBorder="1" applyAlignment="1">
      <alignment horizontal="center" wrapText="1"/>
    </xf>
    <xf numFmtId="0" fontId="67" fillId="0" borderId="0" xfId="0" applyFont="1" applyAlignment="1">
      <alignment horizontal="center" wrapText="1"/>
    </xf>
    <xf numFmtId="0" fontId="67" fillId="0" borderId="8" xfId="0" applyFont="1" applyBorder="1" applyAlignment="1">
      <alignment horizontal="center" wrapText="1"/>
    </xf>
    <xf numFmtId="0" fontId="67" fillId="0" borderId="9" xfId="0" applyFont="1" applyBorder="1" applyAlignment="1">
      <alignment horizontal="center" wrapText="1"/>
    </xf>
    <xf numFmtId="0" fontId="67" fillId="0" borderId="11" xfId="0" applyFont="1" applyBorder="1" applyAlignment="1">
      <alignment horizontal="center" wrapText="1"/>
    </xf>
    <xf numFmtId="0" fontId="67" fillId="0" borderId="10" xfId="0" applyFont="1" applyBorder="1" applyAlignment="1">
      <alignment horizontal="center" wrapText="1"/>
    </xf>
    <xf numFmtId="0" fontId="16" fillId="10" borderId="0" xfId="0" applyFont="1" applyFill="1" applyAlignment="1">
      <alignment horizontal="center" vertical="center" textRotation="90" wrapText="1" readingOrder="1"/>
    </xf>
    <xf numFmtId="0" fontId="16" fillId="10" borderId="8" xfId="0" applyFont="1" applyFill="1" applyBorder="1" applyAlignment="1">
      <alignment horizontal="center" vertical="center" textRotation="90"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3" borderId="13" xfId="0" applyFont="1" applyFill="1" applyBorder="1" applyAlignment="1">
      <alignment horizontal="center" vertical="center" wrapText="1" readingOrder="1"/>
    </xf>
    <xf numFmtId="0" fontId="19" fillId="13" borderId="14" xfId="0" applyFont="1" applyFill="1" applyBorder="1" applyAlignment="1">
      <alignment horizontal="center" vertical="center" wrapText="1" readingOrder="1"/>
    </xf>
    <xf numFmtId="0" fontId="19" fillId="13" borderId="15" xfId="0" applyFont="1" applyFill="1" applyBorder="1" applyAlignment="1">
      <alignment horizontal="center" vertical="center" wrapText="1" readingOrder="1"/>
    </xf>
    <xf numFmtId="0" fontId="19" fillId="13" borderId="16" xfId="0" applyFont="1" applyFill="1" applyBorder="1" applyAlignment="1">
      <alignment horizontal="center" vertical="center" wrapText="1" readingOrder="1"/>
    </xf>
    <xf numFmtId="0" fontId="19" fillId="13" borderId="0" xfId="0" applyFont="1" applyFill="1" applyAlignment="1">
      <alignment horizontal="center" vertical="center" wrapText="1" readingOrder="1"/>
    </xf>
    <xf numFmtId="0" fontId="19" fillId="13" borderId="17" xfId="0" applyFont="1" applyFill="1" applyBorder="1" applyAlignment="1">
      <alignment horizontal="center" vertical="center" wrapText="1" readingOrder="1"/>
    </xf>
    <xf numFmtId="0" fontId="19" fillId="13" borderId="18" xfId="0" applyFont="1" applyFill="1" applyBorder="1" applyAlignment="1">
      <alignment horizontal="center" vertical="center" wrapText="1" readingOrder="1"/>
    </xf>
    <xf numFmtId="0" fontId="19" fillId="13" borderId="19" xfId="0" applyFont="1" applyFill="1" applyBorder="1" applyAlignment="1">
      <alignment horizontal="center" vertical="center" wrapText="1" readingOrder="1"/>
    </xf>
    <xf numFmtId="0" fontId="19" fillId="13" borderId="20" xfId="0" applyFont="1" applyFill="1" applyBorder="1" applyAlignment="1">
      <alignment horizontal="center" vertical="center" wrapText="1" readingOrder="1"/>
    </xf>
    <xf numFmtId="0" fontId="19" fillId="5" borderId="13" xfId="0" applyFont="1" applyFill="1" applyBorder="1" applyAlignment="1">
      <alignment horizontal="center" vertical="center" wrapText="1" readingOrder="1"/>
    </xf>
    <xf numFmtId="0" fontId="19" fillId="5" borderId="14" xfId="0" applyFont="1" applyFill="1" applyBorder="1" applyAlignment="1">
      <alignment horizontal="center" vertical="center" wrapText="1" readingOrder="1"/>
    </xf>
    <xf numFmtId="0" fontId="19" fillId="5" borderId="15" xfId="0" applyFont="1" applyFill="1" applyBorder="1" applyAlignment="1">
      <alignment horizontal="center" vertical="center" wrapText="1" readingOrder="1"/>
    </xf>
    <xf numFmtId="0" fontId="19" fillId="5" borderId="16" xfId="0" applyFont="1" applyFill="1" applyBorder="1" applyAlignment="1">
      <alignment horizontal="center" vertical="center" wrapText="1" readingOrder="1"/>
    </xf>
    <xf numFmtId="0" fontId="19" fillId="5" borderId="0" xfId="0" applyFont="1" applyFill="1" applyAlignment="1">
      <alignment horizontal="center" vertical="center" wrapText="1" readingOrder="1"/>
    </xf>
    <xf numFmtId="0" fontId="19" fillId="5" borderId="17" xfId="0" applyFont="1" applyFill="1" applyBorder="1" applyAlignment="1">
      <alignment horizontal="center" vertical="center" wrapText="1" readingOrder="1"/>
    </xf>
    <xf numFmtId="0" fontId="19" fillId="5" borderId="18" xfId="0" applyFont="1" applyFill="1" applyBorder="1" applyAlignment="1">
      <alignment horizontal="center" vertical="center" wrapText="1" readingOrder="1"/>
    </xf>
    <xf numFmtId="0" fontId="19" fillId="5" borderId="19" xfId="0" applyFont="1" applyFill="1" applyBorder="1" applyAlignment="1">
      <alignment horizontal="center" vertical="center" wrapText="1" readingOrder="1"/>
    </xf>
    <xf numFmtId="0" fontId="19" fillId="5" borderId="20" xfId="0" applyFont="1" applyFill="1" applyBorder="1" applyAlignment="1">
      <alignment horizontal="center" vertical="center" wrapText="1" readingOrder="1"/>
    </xf>
    <xf numFmtId="0" fontId="16" fillId="25" borderId="0" xfId="0" applyFont="1" applyFill="1" applyAlignment="1">
      <alignment horizontal="center" vertical="center" wrapText="1" readingOrder="1"/>
    </xf>
    <xf numFmtId="0" fontId="61" fillId="0" borderId="0" xfId="0" applyFont="1" applyAlignment="1">
      <alignment horizontal="center"/>
    </xf>
    <xf numFmtId="0" fontId="39" fillId="0" borderId="5" xfId="0" applyFont="1" applyBorder="1" applyAlignment="1">
      <alignment horizontal="center" vertical="center" wrapText="1"/>
    </xf>
    <xf numFmtId="0" fontId="39" fillId="0" borderId="12"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0" xfId="0" applyFont="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12" xfId="0" applyFont="1" applyBorder="1" applyAlignment="1">
      <alignment horizontal="center" vertical="center" wrapText="1"/>
    </xf>
    <xf numFmtId="0" fontId="38" fillId="11" borderId="13" xfId="0" applyFont="1" applyFill="1" applyBorder="1" applyAlignment="1">
      <alignment horizontal="center" vertical="center" wrapText="1" readingOrder="1"/>
    </xf>
    <xf numFmtId="0" fontId="38" fillId="11" borderId="14" xfId="0" applyFont="1" applyFill="1" applyBorder="1" applyAlignment="1">
      <alignment horizontal="center" vertical="center" wrapText="1" readingOrder="1"/>
    </xf>
    <xf numFmtId="0" fontId="38" fillId="11" borderId="15" xfId="0" applyFont="1" applyFill="1" applyBorder="1" applyAlignment="1">
      <alignment horizontal="center" vertical="center" wrapText="1" readingOrder="1"/>
    </xf>
    <xf numFmtId="0" fontId="38" fillId="11" borderId="16" xfId="0" applyFont="1" applyFill="1" applyBorder="1" applyAlignment="1">
      <alignment horizontal="center" vertical="center" wrapText="1" readingOrder="1"/>
    </xf>
    <xf numFmtId="0" fontId="38" fillId="11" borderId="0" xfId="0" applyFont="1" applyFill="1" applyAlignment="1">
      <alignment horizontal="center" vertical="center" wrapText="1" readingOrder="1"/>
    </xf>
    <xf numFmtId="0" fontId="38" fillId="11" borderId="17" xfId="0" applyFont="1" applyFill="1" applyBorder="1" applyAlignment="1">
      <alignment horizontal="center" vertical="center" wrapText="1" readingOrder="1"/>
    </xf>
    <xf numFmtId="0" fontId="38" fillId="11" borderId="18" xfId="0" applyFont="1" applyFill="1" applyBorder="1" applyAlignment="1">
      <alignment horizontal="center" vertical="center" wrapText="1" readingOrder="1"/>
    </xf>
    <xf numFmtId="0" fontId="38" fillId="11" borderId="19" xfId="0" applyFont="1" applyFill="1" applyBorder="1" applyAlignment="1">
      <alignment horizontal="center" vertical="center" wrapText="1" readingOrder="1"/>
    </xf>
    <xf numFmtId="0" fontId="38" fillId="11" borderId="20" xfId="0" applyFont="1" applyFill="1" applyBorder="1" applyAlignment="1">
      <alignment horizontal="center" vertical="center" wrapText="1" readingOrder="1"/>
    </xf>
    <xf numFmtId="0" fontId="39" fillId="0" borderId="7" xfId="0" applyFont="1" applyBorder="1" applyAlignment="1">
      <alignment horizontal="center" vertical="center" wrapText="1"/>
    </xf>
    <xf numFmtId="0" fontId="38" fillId="12" borderId="13" xfId="0" applyFont="1" applyFill="1" applyBorder="1" applyAlignment="1">
      <alignment horizontal="center" vertical="center" wrapText="1" readingOrder="1"/>
    </xf>
    <xf numFmtId="0" fontId="38" fillId="12" borderId="14" xfId="0" applyFont="1" applyFill="1" applyBorder="1" applyAlignment="1">
      <alignment horizontal="center" vertical="center" wrapText="1" readingOrder="1"/>
    </xf>
    <xf numFmtId="0" fontId="38" fillId="12" borderId="15" xfId="0" applyFont="1" applyFill="1" applyBorder="1" applyAlignment="1">
      <alignment horizontal="center" vertical="center" wrapText="1" readingOrder="1"/>
    </xf>
    <xf numFmtId="0" fontId="38" fillId="12" borderId="16" xfId="0" applyFont="1" applyFill="1" applyBorder="1" applyAlignment="1">
      <alignment horizontal="center" vertical="center" wrapText="1" readingOrder="1"/>
    </xf>
    <xf numFmtId="0" fontId="38" fillId="12" borderId="0" xfId="0" applyFont="1" applyFill="1" applyAlignment="1">
      <alignment horizontal="center" vertical="center" wrapText="1" readingOrder="1"/>
    </xf>
    <xf numFmtId="0" fontId="38" fillId="12" borderId="17" xfId="0" applyFont="1" applyFill="1" applyBorder="1" applyAlignment="1">
      <alignment horizontal="center" vertical="center" wrapText="1" readingOrder="1"/>
    </xf>
    <xf numFmtId="0" fontId="38" fillId="12" borderId="18" xfId="0" applyFont="1" applyFill="1" applyBorder="1" applyAlignment="1">
      <alignment horizontal="center" vertical="center" wrapText="1" readingOrder="1"/>
    </xf>
    <xf numFmtId="0" fontId="38" fillId="12" borderId="19" xfId="0" applyFont="1" applyFill="1" applyBorder="1" applyAlignment="1">
      <alignment horizontal="center" vertical="center" wrapText="1" readingOrder="1"/>
    </xf>
    <xf numFmtId="0" fontId="38" fillId="12" borderId="20" xfId="0" applyFont="1" applyFill="1" applyBorder="1" applyAlignment="1">
      <alignment horizontal="center" vertical="center" wrapText="1" readingOrder="1"/>
    </xf>
    <xf numFmtId="0" fontId="37" fillId="0" borderId="0" xfId="0" applyFont="1" applyAlignment="1">
      <alignment horizontal="center" vertical="center" wrapText="1"/>
    </xf>
    <xf numFmtId="0" fontId="20" fillId="0" borderId="0" xfId="0" applyFont="1" applyAlignment="1">
      <alignment horizontal="center" vertical="center" wrapText="1"/>
    </xf>
    <xf numFmtId="0" fontId="16" fillId="10" borderId="0" xfId="0" applyFont="1" applyFill="1" applyAlignment="1">
      <alignment horizontal="center" vertical="center" wrapText="1" readingOrder="1"/>
    </xf>
    <xf numFmtId="0" fontId="38" fillId="5" borderId="13" xfId="0" applyFont="1" applyFill="1" applyBorder="1" applyAlignment="1">
      <alignment horizontal="center" vertical="center" wrapText="1" readingOrder="1"/>
    </xf>
    <xf numFmtId="0" fontId="38" fillId="5" borderId="14" xfId="0" applyFont="1" applyFill="1" applyBorder="1" applyAlignment="1">
      <alignment horizontal="center" vertical="center" wrapText="1" readingOrder="1"/>
    </xf>
    <xf numFmtId="0" fontId="38" fillId="5" borderId="15" xfId="0" applyFont="1" applyFill="1" applyBorder="1" applyAlignment="1">
      <alignment horizontal="center" vertical="center" wrapText="1" readingOrder="1"/>
    </xf>
    <xf numFmtId="0" fontId="38" fillId="5" borderId="16" xfId="0" applyFont="1" applyFill="1" applyBorder="1" applyAlignment="1">
      <alignment horizontal="center" vertical="center" wrapText="1" readingOrder="1"/>
    </xf>
    <xf numFmtId="0" fontId="38" fillId="5" borderId="0" xfId="0" applyFont="1" applyFill="1" applyAlignment="1">
      <alignment horizontal="center" vertical="center" wrapText="1" readingOrder="1"/>
    </xf>
    <xf numFmtId="0" fontId="38" fillId="5" borderId="17" xfId="0" applyFont="1" applyFill="1" applyBorder="1" applyAlignment="1">
      <alignment horizontal="center" vertical="center" wrapText="1" readingOrder="1"/>
    </xf>
    <xf numFmtId="0" fontId="38" fillId="5" borderId="18" xfId="0" applyFont="1" applyFill="1" applyBorder="1" applyAlignment="1">
      <alignment horizontal="center" vertical="center" wrapText="1" readingOrder="1"/>
    </xf>
    <xf numFmtId="0" fontId="38" fillId="5" borderId="19" xfId="0" applyFont="1" applyFill="1" applyBorder="1" applyAlignment="1">
      <alignment horizontal="center" vertical="center" wrapText="1" readingOrder="1"/>
    </xf>
    <xf numFmtId="0" fontId="38" fillId="5" borderId="20" xfId="0" applyFont="1" applyFill="1" applyBorder="1" applyAlignment="1">
      <alignment horizontal="center" vertical="center" wrapText="1" readingOrder="1"/>
    </xf>
    <xf numFmtId="0" fontId="38" fillId="13" borderId="13" xfId="0" applyFont="1" applyFill="1" applyBorder="1" applyAlignment="1">
      <alignment horizontal="center" vertical="center" wrapText="1" readingOrder="1"/>
    </xf>
    <xf numFmtId="0" fontId="38" fillId="13" borderId="14" xfId="0" applyFont="1" applyFill="1" applyBorder="1" applyAlignment="1">
      <alignment horizontal="center" vertical="center" wrapText="1" readingOrder="1"/>
    </xf>
    <xf numFmtId="0" fontId="38" fillId="13" borderId="15" xfId="0" applyFont="1" applyFill="1" applyBorder="1" applyAlignment="1">
      <alignment horizontal="center" vertical="center" wrapText="1" readingOrder="1"/>
    </xf>
    <xf numFmtId="0" fontId="38" fillId="13" borderId="16" xfId="0" applyFont="1" applyFill="1" applyBorder="1" applyAlignment="1">
      <alignment horizontal="center" vertical="center" wrapText="1" readingOrder="1"/>
    </xf>
    <xf numFmtId="0" fontId="38" fillId="13" borderId="0" xfId="0" applyFont="1" applyFill="1" applyAlignment="1">
      <alignment horizontal="center" vertical="center" wrapText="1" readingOrder="1"/>
    </xf>
    <xf numFmtId="0" fontId="38" fillId="13" borderId="17" xfId="0" applyFont="1" applyFill="1" applyBorder="1" applyAlignment="1">
      <alignment horizontal="center" vertical="center" wrapText="1" readingOrder="1"/>
    </xf>
    <xf numFmtId="0" fontId="38" fillId="13" borderId="18" xfId="0" applyFont="1" applyFill="1" applyBorder="1" applyAlignment="1">
      <alignment horizontal="center" vertical="center" wrapText="1" readingOrder="1"/>
    </xf>
    <xf numFmtId="0" fontId="38" fillId="13" borderId="19" xfId="0" applyFont="1" applyFill="1" applyBorder="1" applyAlignment="1">
      <alignment horizontal="center" vertical="center" wrapText="1" readingOrder="1"/>
    </xf>
    <xf numFmtId="0" fontId="38" fillId="13" borderId="20" xfId="0" applyFont="1" applyFill="1" applyBorder="1" applyAlignment="1">
      <alignment horizontal="center" vertical="center" wrapText="1" readingOrder="1"/>
    </xf>
    <xf numFmtId="0" fontId="62" fillId="0" borderId="95" xfId="0" applyFont="1" applyBorder="1" applyAlignment="1">
      <alignment horizontal="center" wrapText="1"/>
    </xf>
    <xf numFmtId="0" fontId="66" fillId="0" borderId="86" xfId="0" applyFont="1" applyBorder="1" applyAlignment="1">
      <alignment horizontal="center" wrapText="1"/>
    </xf>
    <xf numFmtId="0" fontId="66" fillId="0" borderId="97" xfId="0" applyFont="1" applyBorder="1" applyAlignment="1">
      <alignment horizontal="center" wrapText="1"/>
    </xf>
    <xf numFmtId="0" fontId="64" fillId="0" borderId="5" xfId="0" applyFont="1" applyBorder="1" applyAlignment="1">
      <alignment horizontal="center" vertical="center" wrapText="1"/>
    </xf>
    <xf numFmtId="0" fontId="64" fillId="0" borderId="7" xfId="0" applyFont="1" applyBorder="1" applyAlignment="1">
      <alignment horizontal="center" vertical="center" wrapText="1"/>
    </xf>
    <xf numFmtId="0" fontId="64" fillId="0" borderId="9" xfId="0" applyFont="1" applyBorder="1" applyAlignment="1">
      <alignment horizontal="center" vertical="center" wrapText="1"/>
    </xf>
    <xf numFmtId="0" fontId="76" fillId="17" borderId="87" xfId="0" applyFont="1" applyFill="1" applyBorder="1" applyAlignment="1">
      <alignment horizontal="center" vertical="center" textRotation="90"/>
    </xf>
    <xf numFmtId="0" fontId="46" fillId="14" borderId="36" xfId="2" applyFont="1" applyFill="1" applyBorder="1" applyAlignment="1">
      <alignment horizontal="center" vertical="center" wrapText="1"/>
    </xf>
    <xf numFmtId="0" fontId="46" fillId="14" borderId="37" xfId="2" applyFont="1" applyFill="1" applyBorder="1" applyAlignment="1">
      <alignment horizontal="center" vertical="center" wrapText="1"/>
    </xf>
    <xf numFmtId="0" fontId="46" fillId="14" borderId="38" xfId="2" applyFont="1" applyFill="1" applyBorder="1" applyAlignment="1">
      <alignment horizontal="center" vertical="center" wrapText="1"/>
    </xf>
    <xf numFmtId="0" fontId="45" fillId="0" borderId="7" xfId="2" quotePrefix="1" applyFont="1" applyBorder="1" applyAlignment="1">
      <alignment horizontal="left" vertical="center" wrapText="1"/>
    </xf>
    <xf numFmtId="0" fontId="45" fillId="0" borderId="0" xfId="2" quotePrefix="1" applyFont="1" applyAlignment="1">
      <alignment horizontal="left" vertical="center" wrapText="1"/>
    </xf>
    <xf numFmtId="0" fontId="45" fillId="0" borderId="8" xfId="2" quotePrefix="1" applyFont="1" applyBorder="1" applyAlignment="1">
      <alignment horizontal="left" vertical="center" wrapText="1"/>
    </xf>
    <xf numFmtId="0" fontId="45" fillId="0" borderId="56" xfId="2" quotePrefix="1" applyFont="1" applyBorder="1" applyAlignment="1">
      <alignment horizontal="left" vertical="center" wrapText="1"/>
    </xf>
    <xf numFmtId="0" fontId="45" fillId="0" borderId="57" xfId="2" quotePrefix="1" applyFont="1" applyBorder="1" applyAlignment="1">
      <alignment horizontal="left" vertical="center" wrapText="1"/>
    </xf>
    <xf numFmtId="0" fontId="45" fillId="0" borderId="58" xfId="2" quotePrefix="1" applyFont="1" applyBorder="1" applyAlignment="1">
      <alignment horizontal="left" vertical="center" wrapText="1"/>
    </xf>
    <xf numFmtId="0" fontId="47" fillId="3" borderId="39" xfId="2" quotePrefix="1" applyFont="1" applyFill="1" applyBorder="1" applyAlignment="1">
      <alignment horizontal="left" vertical="top" wrapText="1"/>
    </xf>
    <xf numFmtId="0" fontId="48" fillId="3" borderId="40" xfId="2" quotePrefix="1" applyFont="1" applyFill="1" applyBorder="1" applyAlignment="1">
      <alignment horizontal="left" vertical="top" wrapText="1"/>
    </xf>
    <xf numFmtId="0" fontId="48" fillId="3" borderId="41" xfId="2" quotePrefix="1" applyFont="1" applyFill="1" applyBorder="1" applyAlignment="1">
      <alignment horizontal="left" vertical="top" wrapText="1"/>
    </xf>
    <xf numFmtId="0" fontId="45" fillId="0" borderId="7" xfId="2" quotePrefix="1" applyFont="1" applyBorder="1" applyAlignment="1">
      <alignment horizontal="left" vertical="top" wrapText="1"/>
    </xf>
    <xf numFmtId="0" fontId="45" fillId="0" borderId="0" xfId="2" quotePrefix="1" applyFont="1" applyAlignment="1">
      <alignment horizontal="left" vertical="top" wrapText="1"/>
    </xf>
    <xf numFmtId="0" fontId="45" fillId="0" borderId="8" xfId="2" quotePrefix="1" applyFont="1" applyBorder="1" applyAlignment="1">
      <alignment horizontal="left" vertical="top" wrapText="1"/>
    </xf>
    <xf numFmtId="0" fontId="50" fillId="14" borderId="42" xfId="3" applyFont="1" applyFill="1" applyBorder="1" applyAlignment="1">
      <alignment horizontal="center" vertical="center" wrapText="1"/>
    </xf>
    <xf numFmtId="0" fontId="50" fillId="14" borderId="43" xfId="3" applyFont="1" applyFill="1" applyBorder="1" applyAlignment="1">
      <alignment horizontal="center" vertical="center" wrapText="1"/>
    </xf>
    <xf numFmtId="0" fontId="50" fillId="14" borderId="44" xfId="2" applyFont="1" applyFill="1" applyBorder="1" applyAlignment="1">
      <alignment horizontal="center" vertical="center"/>
    </xf>
    <xf numFmtId="0" fontId="50" fillId="14" borderId="45" xfId="2" applyFont="1" applyFill="1" applyBorder="1" applyAlignment="1">
      <alignment horizontal="center" vertical="center"/>
    </xf>
    <xf numFmtId="0" fontId="1" fillId="3" borderId="56" xfId="2" quotePrefix="1" applyFont="1" applyFill="1" applyBorder="1" applyAlignment="1">
      <alignment horizontal="justify" vertical="center" wrapText="1"/>
    </xf>
    <xf numFmtId="0" fontId="1" fillId="3" borderId="57" xfId="2" quotePrefix="1" applyFont="1" applyFill="1" applyBorder="1" applyAlignment="1">
      <alignment horizontal="justify" vertical="center" wrapText="1"/>
    </xf>
    <xf numFmtId="0" fontId="1" fillId="3" borderId="58" xfId="2" quotePrefix="1" applyFont="1" applyFill="1" applyBorder="1" applyAlignment="1">
      <alignment horizontal="justify" vertical="center" wrapText="1"/>
    </xf>
    <xf numFmtId="0" fontId="50" fillId="3" borderId="46" xfId="3" applyFont="1" applyFill="1" applyBorder="1" applyAlignment="1">
      <alignment horizontal="left" vertical="top" wrapText="1" readingOrder="1"/>
    </xf>
    <xf numFmtId="0" fontId="50" fillId="3" borderId="47" xfId="3" applyFont="1" applyFill="1" applyBorder="1" applyAlignment="1">
      <alignment horizontal="left" vertical="top" wrapText="1" readingOrder="1"/>
    </xf>
    <xf numFmtId="0" fontId="51" fillId="3" borderId="48" xfId="2" applyFont="1" applyFill="1" applyBorder="1" applyAlignment="1">
      <alignment horizontal="justify" vertical="center" wrapText="1"/>
    </xf>
    <xf numFmtId="0" fontId="51" fillId="3" borderId="49" xfId="2" applyFont="1" applyFill="1" applyBorder="1" applyAlignment="1">
      <alignment horizontal="justify" vertical="center" wrapText="1"/>
    </xf>
    <xf numFmtId="0" fontId="50" fillId="3" borderId="50" xfId="0" applyFont="1" applyFill="1" applyBorder="1" applyAlignment="1">
      <alignment horizontal="left" vertical="center" wrapText="1"/>
    </xf>
    <xf numFmtId="0" fontId="50" fillId="3" borderId="51" xfId="0" applyFont="1" applyFill="1" applyBorder="1" applyAlignment="1">
      <alignment horizontal="left" vertical="center" wrapText="1"/>
    </xf>
    <xf numFmtId="0" fontId="51" fillId="3" borderId="52" xfId="2" applyFont="1" applyFill="1" applyBorder="1" applyAlignment="1">
      <alignment horizontal="justify" vertical="center" wrapText="1"/>
    </xf>
    <xf numFmtId="0" fontId="51" fillId="3" borderId="53" xfId="2" applyFont="1" applyFill="1" applyBorder="1" applyAlignment="1">
      <alignment horizontal="justify" vertical="center" wrapText="1"/>
    </xf>
    <xf numFmtId="0" fontId="45" fillId="3" borderId="7" xfId="2" applyFont="1" applyFill="1" applyBorder="1" applyAlignment="1">
      <alignment horizontal="left" vertical="top" wrapText="1"/>
    </xf>
    <xf numFmtId="0" fontId="45" fillId="3" borderId="0" xfId="2" applyFont="1" applyFill="1" applyAlignment="1">
      <alignment horizontal="left" vertical="top" wrapText="1"/>
    </xf>
    <xf numFmtId="0" fontId="45" fillId="3" borderId="8" xfId="2" applyFont="1" applyFill="1" applyBorder="1" applyAlignment="1">
      <alignment horizontal="left" vertical="top" wrapText="1"/>
    </xf>
    <xf numFmtId="0" fontId="50" fillId="3" borderId="59" xfId="0" applyFont="1" applyFill="1" applyBorder="1" applyAlignment="1">
      <alignment horizontal="left" vertical="center" wrapText="1"/>
    </xf>
    <xf numFmtId="0" fontId="50" fillId="3" borderId="60" xfId="0" applyFont="1" applyFill="1" applyBorder="1" applyAlignment="1">
      <alignment horizontal="left" vertical="center" wrapText="1"/>
    </xf>
    <xf numFmtId="0" fontId="50" fillId="3" borderId="61" xfId="0" applyFont="1" applyFill="1" applyBorder="1" applyAlignment="1">
      <alignment horizontal="left" vertical="center" wrapText="1"/>
    </xf>
    <xf numFmtId="0" fontId="50" fillId="3" borderId="62" xfId="0" applyFont="1" applyFill="1" applyBorder="1" applyAlignment="1">
      <alignment horizontal="left" vertical="center" wrapText="1"/>
    </xf>
    <xf numFmtId="0" fontId="51" fillId="3" borderId="54" xfId="0" applyFont="1" applyFill="1" applyBorder="1" applyAlignment="1">
      <alignment horizontal="justify" vertical="center" wrapText="1"/>
    </xf>
    <xf numFmtId="0" fontId="51" fillId="3" borderId="55" xfId="0" applyFont="1" applyFill="1" applyBorder="1" applyAlignment="1">
      <alignment horizontal="justify" vertical="center" wrapText="1"/>
    </xf>
    <xf numFmtId="0" fontId="67" fillId="0" borderId="69" xfId="0" applyFont="1" applyBorder="1" applyAlignment="1">
      <alignment horizontal="center" wrapText="1"/>
    </xf>
    <xf numFmtId="0" fontId="66" fillId="0" borderId="70" xfId="0" applyFont="1" applyBorder="1" applyAlignment="1">
      <alignment horizontal="center" wrapText="1"/>
    </xf>
    <xf numFmtId="0" fontId="66" fillId="0" borderId="73" xfId="0" applyFont="1" applyBorder="1" applyAlignment="1">
      <alignment horizontal="center" wrapText="1"/>
    </xf>
    <xf numFmtId="0" fontId="69" fillId="0" borderId="5" xfId="0" applyFont="1" applyBorder="1" applyAlignment="1">
      <alignment horizontal="center" vertical="center" wrapText="1"/>
    </xf>
    <xf numFmtId="0" fontId="69" fillId="0" borderId="12" xfId="0" applyFont="1" applyBorder="1" applyAlignment="1">
      <alignment horizontal="center" vertical="center" wrapText="1"/>
    </xf>
    <xf numFmtId="0" fontId="69" fillId="0" borderId="7" xfId="0" applyFont="1" applyBorder="1" applyAlignment="1">
      <alignment horizontal="center" vertical="center" wrapText="1"/>
    </xf>
    <xf numFmtId="0" fontId="69" fillId="0" borderId="0" xfId="0" applyFont="1" applyAlignment="1">
      <alignment horizontal="center" vertical="center" wrapText="1"/>
    </xf>
    <xf numFmtId="0" fontId="69" fillId="0" borderId="9" xfId="0" applyFont="1" applyBorder="1" applyAlignment="1">
      <alignment horizontal="center" vertical="center" wrapText="1"/>
    </xf>
    <xf numFmtId="0" fontId="69" fillId="0" borderId="11" xfId="0" applyFont="1" applyBorder="1" applyAlignment="1">
      <alignment horizontal="center" vertical="center" wrapText="1"/>
    </xf>
    <xf numFmtId="0" fontId="70" fillId="16" borderId="32" xfId="0" applyFont="1" applyFill="1" applyBorder="1" applyAlignment="1">
      <alignment horizontal="center" vertical="center" wrapText="1"/>
    </xf>
    <xf numFmtId="0" fontId="70" fillId="16" borderId="33" xfId="0" applyFont="1" applyFill="1" applyBorder="1" applyAlignment="1">
      <alignment horizontal="center" vertical="center" wrapText="1"/>
    </xf>
    <xf numFmtId="0" fontId="70" fillId="16" borderId="80" xfId="0" applyFont="1" applyFill="1" applyBorder="1" applyAlignment="1">
      <alignment horizontal="center" vertical="center" wrapText="1"/>
    </xf>
    <xf numFmtId="0" fontId="70" fillId="16" borderId="81" xfId="0" applyFont="1" applyFill="1" applyBorder="1" applyAlignment="1">
      <alignment horizontal="center" vertical="center" wrapText="1"/>
    </xf>
    <xf numFmtId="0" fontId="70" fillId="16" borderId="24" xfId="0" applyFont="1" applyFill="1" applyBorder="1" applyAlignment="1">
      <alignment horizontal="center" vertical="center" wrapText="1"/>
    </xf>
    <xf numFmtId="0" fontId="70" fillId="16" borderId="35" xfId="0" applyFont="1" applyFill="1" applyBorder="1" applyAlignment="1">
      <alignment horizontal="center" vertical="center" wrapText="1"/>
    </xf>
    <xf numFmtId="165" fontId="65" fillId="0" borderId="23" xfId="0" applyNumberFormat="1" applyFont="1" applyBorder="1" applyAlignment="1">
      <alignment horizontal="center" vertical="center"/>
    </xf>
    <xf numFmtId="165" fontId="65" fillId="0" borderId="35" xfId="0" applyNumberFormat="1" applyFont="1" applyBorder="1" applyAlignment="1">
      <alignment horizontal="center" vertical="center"/>
    </xf>
    <xf numFmtId="0" fontId="65" fillId="0" borderId="81" xfId="0" applyFont="1" applyBorder="1" applyAlignment="1">
      <alignment horizontal="center" vertical="center" wrapText="1"/>
    </xf>
    <xf numFmtId="0" fontId="65" fillId="0" borderId="33" xfId="0" applyFont="1" applyBorder="1" applyAlignment="1">
      <alignment horizontal="center" vertical="center" wrapText="1"/>
    </xf>
    <xf numFmtId="0" fontId="65" fillId="0" borderId="33" xfId="0" applyFont="1" applyBorder="1" applyAlignment="1">
      <alignment horizontal="left" vertical="center" wrapText="1"/>
    </xf>
    <xf numFmtId="0" fontId="65" fillId="0" borderId="34" xfId="0" applyFont="1" applyBorder="1" applyAlignment="1">
      <alignment horizontal="left" vertical="center" wrapText="1"/>
    </xf>
    <xf numFmtId="0" fontId="71" fillId="0" borderId="0" xfId="0" applyFont="1" applyAlignment="1">
      <alignment horizontal="center" vertical="center"/>
    </xf>
    <xf numFmtId="0" fontId="72" fillId="16" borderId="82" xfId="0" applyFont="1" applyFill="1" applyBorder="1" applyAlignment="1">
      <alignment horizontal="center" vertical="center" wrapText="1"/>
    </xf>
    <xf numFmtId="0" fontId="72" fillId="16" borderId="83" xfId="0" applyFont="1" applyFill="1" applyBorder="1" applyAlignment="1">
      <alignment horizontal="center" vertical="center" wrapText="1"/>
    </xf>
    <xf numFmtId="0" fontId="72" fillId="16" borderId="84" xfId="0" applyFont="1" applyFill="1" applyBorder="1" applyAlignment="1">
      <alignment horizontal="center" vertical="center" wrapText="1"/>
    </xf>
    <xf numFmtId="0" fontId="72" fillId="16" borderId="5" xfId="0" applyFont="1" applyFill="1" applyBorder="1" applyAlignment="1">
      <alignment horizontal="center" vertical="center" wrapText="1"/>
    </xf>
    <xf numFmtId="0" fontId="72" fillId="16" borderId="12" xfId="0" applyFont="1" applyFill="1" applyBorder="1" applyAlignment="1">
      <alignment horizontal="center" vertical="center" wrapText="1"/>
    </xf>
    <xf numFmtId="0" fontId="72" fillId="16" borderId="6" xfId="0" applyFont="1" applyFill="1" applyBorder="1" applyAlignment="1">
      <alignment horizontal="center" vertical="center" wrapText="1"/>
    </xf>
    <xf numFmtId="0" fontId="72" fillId="16" borderId="75" xfId="0" applyFont="1" applyFill="1" applyBorder="1" applyAlignment="1">
      <alignment horizontal="center" vertical="center" wrapText="1"/>
    </xf>
    <xf numFmtId="0" fontId="72" fillId="16" borderId="76" xfId="0"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12" xfId="0" applyFont="1" applyBorder="1" applyAlignment="1">
      <alignment horizontal="center" vertical="center" wrapText="1"/>
    </xf>
    <xf numFmtId="0" fontId="65" fillId="0" borderId="12" xfId="0" applyFont="1" applyBorder="1" applyAlignment="1">
      <alignment horizontal="center"/>
    </xf>
    <xf numFmtId="0" fontId="65" fillId="0" borderId="6" xfId="0" applyFont="1" applyBorder="1" applyAlignment="1">
      <alignment horizontal="center"/>
    </xf>
    <xf numFmtId="0" fontId="75" fillId="0" borderId="0" xfId="0" applyFont="1" applyAlignment="1">
      <alignment horizontal="left" wrapText="1"/>
    </xf>
    <xf numFmtId="0" fontId="73" fillId="0" borderId="7" xfId="0" applyFont="1" applyBorder="1" applyAlignment="1">
      <alignment horizontal="center" vertical="center" wrapText="1"/>
    </xf>
    <xf numFmtId="0" fontId="74" fillId="0" borderId="0" xfId="0" applyFont="1" applyAlignment="1">
      <alignment horizontal="center" vertical="center" wrapText="1"/>
    </xf>
    <xf numFmtId="0" fontId="73" fillId="0" borderId="0" xfId="0" applyFont="1" applyAlignment="1">
      <alignment horizontal="center" vertical="center" wrapText="1"/>
    </xf>
    <xf numFmtId="0" fontId="73" fillId="0" borderId="8" xfId="0" applyFont="1" applyBorder="1" applyAlignment="1">
      <alignment horizontal="center" vertical="center" wrapText="1"/>
    </xf>
    <xf numFmtId="0" fontId="65" fillId="0" borderId="9" xfId="0" applyFont="1" applyBorder="1" applyAlignment="1">
      <alignment horizontal="center" vertical="center" wrapText="1"/>
    </xf>
    <xf numFmtId="0" fontId="65" fillId="0" borderId="11"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11" xfId="0" applyFont="1" applyBorder="1" applyAlignment="1">
      <alignment horizontal="center"/>
    </xf>
    <xf numFmtId="0" fontId="66" fillId="0" borderId="23"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21" fillId="0" borderId="0" xfId="0" applyFont="1" applyAlignment="1">
      <alignment horizontal="center" vertical="center"/>
    </xf>
    <xf numFmtId="0" fontId="41" fillId="0" borderId="0" xfId="0" applyFont="1" applyAlignment="1">
      <alignment horizontal="center" vertical="center"/>
    </xf>
    <xf numFmtId="0" fontId="36" fillId="15" borderId="23" xfId="0" applyFont="1" applyFill="1" applyBorder="1" applyAlignment="1">
      <alignment horizontal="center" vertical="center" wrapText="1" readingOrder="1"/>
    </xf>
    <xf numFmtId="0" fontId="36" fillId="15" borderId="24" xfId="0" applyFont="1" applyFill="1" applyBorder="1" applyAlignment="1">
      <alignment horizontal="center" vertical="center" wrapText="1" readingOrder="1"/>
    </xf>
    <xf numFmtId="0" fontId="36" fillId="15" borderId="35" xfId="0" applyFont="1" applyFill="1" applyBorder="1" applyAlignment="1">
      <alignment horizontal="center" vertical="center" wrapText="1" readingOrder="1"/>
    </xf>
    <xf numFmtId="0" fontId="31" fillId="3" borderId="0" xfId="0" applyFont="1" applyFill="1" applyAlignment="1">
      <alignment horizontal="justify" vertical="center" wrapText="1"/>
    </xf>
    <xf numFmtId="0" fontId="33" fillId="15" borderId="32" xfId="0" applyFont="1" applyFill="1" applyBorder="1" applyAlignment="1">
      <alignment horizontal="center" vertical="center" wrapText="1" readingOrder="1"/>
    </xf>
    <xf numFmtId="0" fontId="33" fillId="15" borderId="33" xfId="0" applyFont="1" applyFill="1" applyBorder="1" applyAlignment="1">
      <alignment horizontal="center" vertical="center" wrapText="1" readingOrder="1"/>
    </xf>
    <xf numFmtId="0" fontId="33" fillId="3" borderId="30" xfId="0" applyFont="1" applyFill="1" applyBorder="1" applyAlignment="1">
      <alignment horizontal="center" vertical="center" wrapText="1" readingOrder="1"/>
    </xf>
    <xf numFmtId="0" fontId="33" fillId="3" borderId="25"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7"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0" fontId="90" fillId="0" borderId="0" xfId="0" applyFont="1" applyFill="1" applyAlignment="1">
      <alignment horizontal="center" vertical="center" wrapText="1"/>
    </xf>
    <xf numFmtId="0" fontId="95" fillId="0" borderId="101" xfId="0" applyFont="1" applyFill="1" applyBorder="1" applyAlignment="1">
      <alignment horizontal="center" vertical="center" wrapText="1"/>
    </xf>
    <xf numFmtId="0" fontId="90" fillId="0" borderId="101" xfId="0" applyFont="1" applyFill="1" applyBorder="1" applyAlignment="1">
      <alignment horizontal="center" vertical="center" wrapText="1"/>
    </xf>
    <xf numFmtId="0" fontId="1" fillId="0" borderId="101" xfId="0" applyFont="1" applyFill="1" applyBorder="1" applyAlignment="1" applyProtection="1">
      <alignment horizontal="center" vertical="center" wrapText="1"/>
      <protection locked="0"/>
    </xf>
    <xf numFmtId="0" fontId="1" fillId="0" borderId="21" xfId="0" applyFont="1" applyFill="1" applyBorder="1" applyAlignment="1" applyProtection="1">
      <alignment horizontal="center" vertical="center" wrapText="1"/>
      <protection locked="0"/>
    </xf>
    <xf numFmtId="0" fontId="95" fillId="0" borderId="22" xfId="0" applyFont="1" applyFill="1" applyBorder="1" applyAlignment="1">
      <alignment horizontal="center" vertical="center" wrapText="1"/>
    </xf>
    <xf numFmtId="0" fontId="90" fillId="0" borderId="22" xfId="0" applyFont="1" applyFill="1" applyBorder="1" applyAlignment="1">
      <alignment horizontal="center" vertical="center" wrapText="1"/>
    </xf>
    <xf numFmtId="0" fontId="1" fillId="0" borderId="22" xfId="0" applyFont="1" applyFill="1" applyBorder="1" applyAlignment="1" applyProtection="1">
      <alignment horizontal="center" vertical="center" wrapText="1"/>
      <protection locked="0"/>
    </xf>
    <xf numFmtId="0" fontId="65" fillId="0" borderId="0" xfId="0" applyFont="1" applyFill="1" applyAlignment="1">
      <alignment horizontal="center" vertical="center" wrapText="1"/>
    </xf>
    <xf numFmtId="0" fontId="76" fillId="0" borderId="101" xfId="0" applyFont="1" applyFill="1" applyBorder="1" applyAlignment="1">
      <alignment horizontal="center" vertical="center" wrapText="1"/>
    </xf>
    <xf numFmtId="0" fontId="76" fillId="0" borderId="22" xfId="0" applyFont="1" applyFill="1" applyBorder="1" applyAlignment="1">
      <alignment horizontal="center" vertical="center" wrapText="1"/>
    </xf>
  </cellXfs>
  <cellStyles count="6">
    <cellStyle name="Hipervínculo" xfId="5" builtinId="8"/>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26">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theme="1"/>
      </font>
      <fill>
        <patternFill>
          <bgColor rgb="FF92D050"/>
        </patternFill>
      </fill>
    </dxf>
    <dxf>
      <font>
        <color auto="1"/>
      </font>
      <fill>
        <patternFill>
          <bgColor rgb="FFFFFF0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FF00"/>
        </patternFill>
      </fill>
    </dxf>
    <dxf>
      <fill>
        <patternFill>
          <bgColor rgb="FF00B050"/>
        </patternFill>
      </fill>
    </dxf>
    <dxf>
      <fill>
        <patternFill>
          <bgColor rgb="FFFF0000"/>
        </patternFill>
      </fill>
    </dxf>
  </dxfs>
  <tableStyles count="0" defaultTableStyle="TableStyleMedium2" defaultPivotStyle="PivotStyleLight16"/>
  <colors>
    <mruColors>
      <color rgb="FF00CC66"/>
      <color rgb="FFB4B3B6"/>
      <color rgb="FF287840"/>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Mapa final'!A1"/><Relationship Id="rId7" Type="http://schemas.openxmlformats.org/officeDocument/2006/relationships/image" Target="../media/image2.svg"/><Relationship Id="rId2" Type="http://schemas.openxmlformats.org/officeDocument/2006/relationships/hyperlink" Target="#'Matriz Calor Residual'!A1"/><Relationship Id="rId1" Type="http://schemas.openxmlformats.org/officeDocument/2006/relationships/hyperlink" Target="#'CAMBIOS REGISTRO'!A1"/><Relationship Id="rId6" Type="http://schemas.openxmlformats.org/officeDocument/2006/relationships/image" Target="../media/image1.png"/><Relationship Id="rId5" Type="http://schemas.openxmlformats.org/officeDocument/2006/relationships/hyperlink" Target="#'CRITERIOS R CORRUPCION'!A1"/><Relationship Id="rId4" Type="http://schemas.openxmlformats.org/officeDocument/2006/relationships/hyperlink" Target="#'Matriz Calor Inherente'!A1"/></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PORTADA '!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ORTADA '!A1"/></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80211</xdr:colOff>
      <xdr:row>31</xdr:row>
      <xdr:rowOff>50132</xdr:rowOff>
    </xdr:from>
    <xdr:to>
      <xdr:col>13</xdr:col>
      <xdr:colOff>604086</xdr:colOff>
      <xdr:row>37</xdr:row>
      <xdr:rowOff>50132</xdr:rowOff>
    </xdr:to>
    <xdr:sp macro="" textlink="">
      <xdr:nvSpPr>
        <xdr:cNvPr id="3" name="Diagrama de flujo: multidocumento 2">
          <a:hlinkClick xmlns:r="http://schemas.openxmlformats.org/officeDocument/2006/relationships" r:id="rId1"/>
          <a:extLst>
            <a:ext uri="{FF2B5EF4-FFF2-40B4-BE49-F238E27FC236}">
              <a16:creationId xmlns:a16="http://schemas.microsoft.com/office/drawing/2014/main" id="{561EEA2B-EE45-474B-B261-C2F77FE53BED}"/>
            </a:ext>
            <a:ext uri="{147F2762-F138-4A5C-976F-8EAC2B608ADB}">
              <a16:predDERef xmlns:a16="http://schemas.microsoft.com/office/drawing/2014/main" pred="{A0CA84D1-D22B-4210-8FA4-F089CFE3202B}"/>
            </a:ext>
          </a:extLst>
        </xdr:cNvPr>
        <xdr:cNvSpPr/>
      </xdr:nvSpPr>
      <xdr:spPr>
        <a:xfrm>
          <a:off x="9314448" y="6035843"/>
          <a:ext cx="1285875" cy="1143000"/>
        </a:xfrm>
        <a:prstGeom prst="flowChartMultidocument">
          <a:avLst/>
        </a:prstGeom>
        <a:solidFill>
          <a:srgbClr val="28784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ctr"/>
          <a:r>
            <a:rPr lang="en-US" sz="1100" b="1" i="0" u="none" strike="noStrike">
              <a:solidFill>
                <a:schemeClr val="lt1"/>
              </a:solidFill>
              <a:latin typeface="Calibri" panose="020F0502020204030204" pitchFamily="34" charset="0"/>
              <a:cs typeface="Calibri" panose="020F0502020204030204" pitchFamily="34" charset="0"/>
            </a:rPr>
            <a:t>CONTROL DE CAMBIOS </a:t>
          </a:r>
        </a:p>
      </xdr:txBody>
    </xdr:sp>
    <xdr:clientData/>
  </xdr:twoCellAnchor>
  <xdr:twoCellAnchor>
    <xdr:from>
      <xdr:col>2</xdr:col>
      <xdr:colOff>280736</xdr:colOff>
      <xdr:row>8</xdr:row>
      <xdr:rowOff>130342</xdr:rowOff>
    </xdr:from>
    <xdr:to>
      <xdr:col>12</xdr:col>
      <xdr:colOff>601579</xdr:colOff>
      <xdr:row>28</xdr:row>
      <xdr:rowOff>40105</xdr:rowOff>
    </xdr:to>
    <xdr:grpSp>
      <xdr:nvGrpSpPr>
        <xdr:cNvPr id="4" name="Google Shape;6040;p62">
          <a:extLst>
            <a:ext uri="{FF2B5EF4-FFF2-40B4-BE49-F238E27FC236}">
              <a16:creationId xmlns:a16="http://schemas.microsoft.com/office/drawing/2014/main" id="{B3F5F72E-E959-4301-B587-7E1224BDEF5E}"/>
            </a:ext>
          </a:extLst>
        </xdr:cNvPr>
        <xdr:cNvGrpSpPr/>
      </xdr:nvGrpSpPr>
      <xdr:grpSpPr>
        <a:xfrm>
          <a:off x="1642811" y="1797217"/>
          <a:ext cx="8417093" cy="3853113"/>
          <a:chOff x="238125" y="1188750"/>
          <a:chExt cx="7140450" cy="3335550"/>
        </a:xfrm>
      </xdr:grpSpPr>
      <xdr:sp macro="" textlink="">
        <xdr:nvSpPr>
          <xdr:cNvPr id="5" name="Google Shape;6041;p62">
            <a:extLst>
              <a:ext uri="{FF2B5EF4-FFF2-40B4-BE49-F238E27FC236}">
                <a16:creationId xmlns:a16="http://schemas.microsoft.com/office/drawing/2014/main" id="{18AB30EA-3692-4E95-AC57-A61DDC3B62D6}"/>
              </a:ext>
            </a:extLst>
          </xdr:cNvPr>
          <xdr:cNvSpPr/>
        </xdr:nvSpPr>
        <xdr:spPr>
          <a:xfrm>
            <a:off x="238125" y="1188750"/>
            <a:ext cx="3507025" cy="1584000"/>
          </a:xfrm>
          <a:custGeom>
            <a:avLst/>
            <a:gdLst/>
            <a:ahLst/>
            <a:cxnLst/>
            <a:rect l="l" t="t" r="r" b="b"/>
            <a:pathLst>
              <a:path w="140281" h="63360" extrusionOk="0">
                <a:moveTo>
                  <a:pt x="4021" y="0"/>
                </a:moveTo>
                <a:cubicBezTo>
                  <a:pt x="1801" y="6"/>
                  <a:pt x="6" y="1801"/>
                  <a:pt x="0" y="4021"/>
                </a:cubicBezTo>
                <a:lnTo>
                  <a:pt x="0" y="59338"/>
                </a:lnTo>
                <a:cubicBezTo>
                  <a:pt x="6" y="61552"/>
                  <a:pt x="1801" y="63354"/>
                  <a:pt x="4021" y="63359"/>
                </a:cubicBezTo>
                <a:lnTo>
                  <a:pt x="98272" y="63359"/>
                </a:lnTo>
                <a:cubicBezTo>
                  <a:pt x="99963" y="41512"/>
                  <a:pt x="118098" y="24204"/>
                  <a:pt x="140280" y="23813"/>
                </a:cubicBezTo>
                <a:lnTo>
                  <a:pt x="140280" y="4021"/>
                </a:lnTo>
                <a:cubicBezTo>
                  <a:pt x="140275" y="1801"/>
                  <a:pt x="138474" y="6"/>
                  <a:pt x="136259"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CONTEXTO -</a:t>
            </a:r>
            <a:r>
              <a:rPr lang="es-MX" b="1" baseline="0">
                <a:solidFill>
                  <a:schemeClr val="bg1"/>
                </a:solidFill>
              </a:rPr>
              <a:t> DOFA</a:t>
            </a:r>
          </a:p>
          <a:p>
            <a:pPr marL="0" lvl="0" indent="0" algn="ctr" rtl="0">
              <a:spcBef>
                <a:spcPts val="0"/>
              </a:spcBef>
              <a:spcAft>
                <a:spcPts val="0"/>
              </a:spcAft>
              <a:buNone/>
            </a:pPr>
            <a:r>
              <a:rPr lang="es-MX" b="1" baseline="0">
                <a:solidFill>
                  <a:schemeClr val="bg1"/>
                </a:solidFill>
              </a:rPr>
              <a:t>(KAWAK)</a:t>
            </a:r>
            <a:endParaRPr b="1">
              <a:solidFill>
                <a:schemeClr val="bg1"/>
              </a:solidFill>
            </a:endParaRPr>
          </a:p>
        </xdr:txBody>
      </xdr:sp>
      <xdr:sp macro="" textlink="">
        <xdr:nvSpPr>
          <xdr:cNvPr id="6" name="Google Shape;6042;p62">
            <a:hlinkClick xmlns:r="http://schemas.openxmlformats.org/officeDocument/2006/relationships" r:id="rId2"/>
            <a:extLst>
              <a:ext uri="{FF2B5EF4-FFF2-40B4-BE49-F238E27FC236}">
                <a16:creationId xmlns:a16="http://schemas.microsoft.com/office/drawing/2014/main" id="{BD507546-1AC8-44E1-93E6-7187A5D8A960}"/>
              </a:ext>
            </a:extLst>
          </xdr:cNvPr>
          <xdr:cNvSpPr/>
        </xdr:nvSpPr>
        <xdr:spPr>
          <a:xfrm>
            <a:off x="238125" y="2940300"/>
            <a:ext cx="3507025" cy="1584000"/>
          </a:xfrm>
          <a:custGeom>
            <a:avLst/>
            <a:gdLst/>
            <a:ahLst/>
            <a:cxnLst/>
            <a:rect l="l" t="t" r="r" b="b"/>
            <a:pathLst>
              <a:path w="140281" h="63360" extrusionOk="0">
                <a:moveTo>
                  <a:pt x="4021" y="1"/>
                </a:moveTo>
                <a:cubicBezTo>
                  <a:pt x="1801" y="6"/>
                  <a:pt x="6" y="1808"/>
                  <a:pt x="0" y="4022"/>
                </a:cubicBezTo>
                <a:lnTo>
                  <a:pt x="0" y="59339"/>
                </a:lnTo>
                <a:cubicBezTo>
                  <a:pt x="6" y="61559"/>
                  <a:pt x="1801" y="63354"/>
                  <a:pt x="4021" y="63360"/>
                </a:cubicBezTo>
                <a:lnTo>
                  <a:pt x="136259" y="63360"/>
                </a:lnTo>
                <a:cubicBezTo>
                  <a:pt x="138474" y="63354"/>
                  <a:pt x="140275" y="61559"/>
                  <a:pt x="140280" y="59339"/>
                </a:cubicBezTo>
                <a:lnTo>
                  <a:pt x="140280" y="39547"/>
                </a:lnTo>
                <a:cubicBezTo>
                  <a:pt x="118098" y="39155"/>
                  <a:pt x="99963" y="21848"/>
                  <a:pt x="98272" y="1"/>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a:t>
            </a:r>
          </a:p>
          <a:p>
            <a:pPr algn="ctr"/>
            <a:r>
              <a:rPr lang="es-CO" sz="1400" b="1" i="0" u="none" strike="noStrike" cap="none">
                <a:solidFill>
                  <a:schemeClr val="bg1"/>
                </a:solidFill>
                <a:effectLst/>
                <a:latin typeface="Arial"/>
                <a:ea typeface="Arial"/>
                <a:cs typeface="Arial"/>
                <a:sym typeface="Arial"/>
              </a:rPr>
              <a:t> RESIDUAL</a:t>
            </a:r>
          </a:p>
          <a:p>
            <a:pPr marL="0" lvl="0" indent="0" algn="ctr" rtl="0">
              <a:spcBef>
                <a:spcPts val="0"/>
              </a:spcBef>
              <a:spcAft>
                <a:spcPts val="0"/>
              </a:spcAft>
              <a:buNone/>
            </a:pPr>
            <a:endParaRPr/>
          </a:p>
        </xdr:txBody>
      </xdr:sp>
      <xdr:sp macro="" textlink="">
        <xdr:nvSpPr>
          <xdr:cNvPr id="7" name="Google Shape;6043;p62">
            <a:hlinkClick xmlns:r="http://schemas.openxmlformats.org/officeDocument/2006/relationships" r:id="rId3"/>
            <a:extLst>
              <a:ext uri="{FF2B5EF4-FFF2-40B4-BE49-F238E27FC236}">
                <a16:creationId xmlns:a16="http://schemas.microsoft.com/office/drawing/2014/main" id="{B42689E8-C2D2-49B1-8850-0208BA377BE1}"/>
              </a:ext>
            </a:extLst>
          </xdr:cNvPr>
          <xdr:cNvSpPr/>
        </xdr:nvSpPr>
        <xdr:spPr>
          <a:xfrm>
            <a:off x="3871550" y="1188750"/>
            <a:ext cx="3507025" cy="1584000"/>
          </a:xfrm>
          <a:custGeom>
            <a:avLst/>
            <a:gdLst/>
            <a:ahLst/>
            <a:cxnLst/>
            <a:rect l="l" t="t" r="r" b="b"/>
            <a:pathLst>
              <a:path w="140281" h="63360" extrusionOk="0">
                <a:moveTo>
                  <a:pt x="4022" y="0"/>
                </a:moveTo>
                <a:cubicBezTo>
                  <a:pt x="1807" y="6"/>
                  <a:pt x="6" y="1801"/>
                  <a:pt x="0" y="4021"/>
                </a:cubicBezTo>
                <a:lnTo>
                  <a:pt x="0" y="24017"/>
                </a:lnTo>
                <a:cubicBezTo>
                  <a:pt x="20553" y="26066"/>
                  <a:pt x="36886" y="42675"/>
                  <a:pt x="38494" y="63359"/>
                </a:cubicBezTo>
                <a:lnTo>
                  <a:pt x="136260" y="63359"/>
                </a:lnTo>
                <a:cubicBezTo>
                  <a:pt x="138480" y="63354"/>
                  <a:pt x="140275" y="61552"/>
                  <a:pt x="140281" y="59338"/>
                </a:cubicBezTo>
                <a:lnTo>
                  <a:pt x="140281" y="4021"/>
                </a:lnTo>
                <a:cubicBezTo>
                  <a:pt x="140275" y="1801"/>
                  <a:pt x="138480" y="6"/>
                  <a:pt x="136260" y="0"/>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MAPA DE</a:t>
            </a:r>
            <a:r>
              <a:rPr lang="es-MX" b="1" baseline="0">
                <a:solidFill>
                  <a:schemeClr val="bg1"/>
                </a:solidFill>
              </a:rPr>
              <a:t> </a:t>
            </a:r>
            <a:r>
              <a:rPr lang="es-MX" b="1">
                <a:solidFill>
                  <a:schemeClr val="bg1"/>
                </a:solidFill>
              </a:rPr>
              <a:t>RIESGOS</a:t>
            </a:r>
            <a:r>
              <a:rPr lang="es-MX" b="1" baseline="0">
                <a:solidFill>
                  <a:schemeClr val="bg1"/>
                </a:solidFill>
              </a:rPr>
              <a:t>  </a:t>
            </a:r>
          </a:p>
          <a:p>
            <a:pPr marL="0" lvl="0" indent="0" algn="ctr" rtl="0">
              <a:spcBef>
                <a:spcPts val="0"/>
              </a:spcBef>
              <a:spcAft>
                <a:spcPts val="0"/>
              </a:spcAft>
              <a:buNone/>
            </a:pPr>
            <a:r>
              <a:rPr lang="es-MX" b="1" baseline="0">
                <a:solidFill>
                  <a:schemeClr val="bg1"/>
                </a:solidFill>
              </a:rPr>
              <a:t>DE PROCESO</a:t>
            </a:r>
            <a:endParaRPr b="1">
              <a:solidFill>
                <a:schemeClr val="bg1"/>
              </a:solidFill>
            </a:endParaRPr>
          </a:p>
        </xdr:txBody>
      </xdr:sp>
      <xdr:sp macro="" textlink="">
        <xdr:nvSpPr>
          <xdr:cNvPr id="8" name="Google Shape;6044;p62">
            <a:hlinkClick xmlns:r="http://schemas.openxmlformats.org/officeDocument/2006/relationships" r:id="rId4"/>
            <a:extLst>
              <a:ext uri="{FF2B5EF4-FFF2-40B4-BE49-F238E27FC236}">
                <a16:creationId xmlns:a16="http://schemas.microsoft.com/office/drawing/2014/main" id="{CDE12DC8-5FFF-4D49-BD61-EB6409C00729}"/>
              </a:ext>
            </a:extLst>
          </xdr:cNvPr>
          <xdr:cNvSpPr/>
        </xdr:nvSpPr>
        <xdr:spPr>
          <a:xfrm>
            <a:off x="3871550" y="2940300"/>
            <a:ext cx="3507025" cy="1584000"/>
          </a:xfrm>
          <a:custGeom>
            <a:avLst/>
            <a:gdLst/>
            <a:ahLst/>
            <a:cxnLst/>
            <a:rect l="l" t="t" r="r" b="b"/>
            <a:pathLst>
              <a:path w="140281" h="63360" extrusionOk="0">
                <a:moveTo>
                  <a:pt x="38494" y="1"/>
                </a:moveTo>
                <a:cubicBezTo>
                  <a:pt x="36886" y="20680"/>
                  <a:pt x="20553" y="37294"/>
                  <a:pt x="0" y="39343"/>
                </a:cubicBezTo>
                <a:lnTo>
                  <a:pt x="0" y="59339"/>
                </a:lnTo>
                <a:cubicBezTo>
                  <a:pt x="6" y="61559"/>
                  <a:pt x="1807" y="63354"/>
                  <a:pt x="4022" y="63360"/>
                </a:cubicBezTo>
                <a:lnTo>
                  <a:pt x="136260" y="63360"/>
                </a:lnTo>
                <a:cubicBezTo>
                  <a:pt x="138480" y="63354"/>
                  <a:pt x="140275" y="61559"/>
                  <a:pt x="140281" y="59339"/>
                </a:cubicBezTo>
                <a:lnTo>
                  <a:pt x="140281" y="4022"/>
                </a:lnTo>
                <a:cubicBezTo>
                  <a:pt x="140275" y="1808"/>
                  <a:pt x="138480" y="6"/>
                  <a:pt x="136260" y="1"/>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 </a:t>
            </a:r>
          </a:p>
          <a:p>
            <a:pPr algn="ctr"/>
            <a:r>
              <a:rPr lang="es-CO" sz="1400" b="1" i="0" u="none" strike="noStrike" cap="none">
                <a:solidFill>
                  <a:schemeClr val="bg1"/>
                </a:solidFill>
                <a:effectLst/>
                <a:latin typeface="Arial"/>
                <a:ea typeface="Arial"/>
                <a:cs typeface="Arial"/>
                <a:sym typeface="Arial"/>
              </a:rPr>
              <a:t>INHERENTE</a:t>
            </a:r>
          </a:p>
        </xdr:txBody>
      </xdr:sp>
      <xdr:sp macro="" textlink="">
        <xdr:nvSpPr>
          <xdr:cNvPr id="9" name="Google Shape;6045;p62">
            <a:extLst>
              <a:ext uri="{FF2B5EF4-FFF2-40B4-BE49-F238E27FC236}">
                <a16:creationId xmlns:a16="http://schemas.microsoft.com/office/drawing/2014/main" id="{4F08F53C-068E-4448-BD7A-AC4DC9C52EAA}"/>
              </a:ext>
            </a:extLst>
          </xdr:cNvPr>
          <xdr:cNvSpPr/>
        </xdr:nvSpPr>
        <xdr:spPr>
          <a:xfrm>
            <a:off x="2842425" y="1934600"/>
            <a:ext cx="1843850" cy="1843850"/>
          </a:xfrm>
          <a:custGeom>
            <a:avLst/>
            <a:gdLst/>
            <a:ahLst/>
            <a:cxnLst/>
            <a:rect l="l" t="t" r="r" b="b"/>
            <a:pathLst>
              <a:path w="73754" h="73754" extrusionOk="0">
                <a:moveTo>
                  <a:pt x="36880" y="0"/>
                </a:moveTo>
                <a:cubicBezTo>
                  <a:pt x="36621" y="0"/>
                  <a:pt x="36362" y="6"/>
                  <a:pt x="36108" y="11"/>
                </a:cubicBezTo>
                <a:cubicBezTo>
                  <a:pt x="17253" y="397"/>
                  <a:pt x="1834" y="15011"/>
                  <a:pt x="154" y="33525"/>
                </a:cubicBezTo>
                <a:cubicBezTo>
                  <a:pt x="55" y="34627"/>
                  <a:pt x="0" y="35745"/>
                  <a:pt x="0" y="36874"/>
                </a:cubicBezTo>
                <a:cubicBezTo>
                  <a:pt x="0" y="38009"/>
                  <a:pt x="55" y="39122"/>
                  <a:pt x="154" y="40229"/>
                </a:cubicBezTo>
                <a:cubicBezTo>
                  <a:pt x="1834" y="58749"/>
                  <a:pt x="17253" y="73357"/>
                  <a:pt x="36108" y="73743"/>
                </a:cubicBezTo>
                <a:cubicBezTo>
                  <a:pt x="36362" y="73748"/>
                  <a:pt x="36621" y="73754"/>
                  <a:pt x="36880" y="73754"/>
                </a:cubicBezTo>
                <a:cubicBezTo>
                  <a:pt x="38312" y="73754"/>
                  <a:pt x="39744" y="73666"/>
                  <a:pt x="41165" y="73500"/>
                </a:cubicBezTo>
                <a:cubicBezTo>
                  <a:pt x="58391" y="71495"/>
                  <a:pt x="72030" y="57581"/>
                  <a:pt x="73600" y="40229"/>
                </a:cubicBezTo>
                <a:cubicBezTo>
                  <a:pt x="73699" y="39127"/>
                  <a:pt x="73754" y="38009"/>
                  <a:pt x="73754" y="36874"/>
                </a:cubicBezTo>
                <a:cubicBezTo>
                  <a:pt x="73754" y="35745"/>
                  <a:pt x="73699" y="34632"/>
                  <a:pt x="73600" y="33525"/>
                </a:cubicBezTo>
                <a:cubicBezTo>
                  <a:pt x="72024" y="16173"/>
                  <a:pt x="58391" y="2259"/>
                  <a:pt x="41165" y="254"/>
                </a:cubicBezTo>
                <a:cubicBezTo>
                  <a:pt x="39744" y="88"/>
                  <a:pt x="38312" y="0"/>
                  <a:pt x="36880"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SISTEMA DE GESTION INTEGRADO</a:t>
            </a:r>
            <a:r>
              <a:rPr lang="es-MX" b="1" baseline="0">
                <a:solidFill>
                  <a:schemeClr val="bg1"/>
                </a:solidFill>
              </a:rPr>
              <a:t> ETITC</a:t>
            </a:r>
            <a:endParaRPr b="1">
              <a:solidFill>
                <a:schemeClr val="bg1"/>
              </a:solidFill>
            </a:endParaRPr>
          </a:p>
        </xdr:txBody>
      </xdr:sp>
    </xdr:grpSp>
    <xdr:clientData/>
  </xdr:twoCellAnchor>
  <xdr:twoCellAnchor editAs="oneCell">
    <xdr:from>
      <xdr:col>3</xdr:col>
      <xdr:colOff>180473</xdr:colOff>
      <xdr:row>31</xdr:row>
      <xdr:rowOff>82217</xdr:rowOff>
    </xdr:from>
    <xdr:to>
      <xdr:col>5</xdr:col>
      <xdr:colOff>10027</xdr:colOff>
      <xdr:row>38</xdr:row>
      <xdr:rowOff>92244</xdr:rowOff>
    </xdr:to>
    <xdr:pic>
      <xdr:nvPicPr>
        <xdr:cNvPr id="11" name="Gráfico 10" descr="Lista de comprobación">
          <a:hlinkClick xmlns:r="http://schemas.openxmlformats.org/officeDocument/2006/relationships" r:id="rId5"/>
          <a:extLst>
            <a:ext uri="{FF2B5EF4-FFF2-40B4-BE49-F238E27FC236}">
              <a16:creationId xmlns:a16="http://schemas.microsoft.com/office/drawing/2014/main" id="{B2681AEC-BB6E-40BC-9B5F-2C3C98ED353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168315" y="6458954"/>
          <a:ext cx="1353553" cy="1353553"/>
        </a:xfrm>
        <a:prstGeom prst="rect">
          <a:avLst/>
        </a:prstGeom>
      </xdr:spPr>
    </xdr:pic>
    <xdr:clientData/>
  </xdr:twoCellAnchor>
  <xdr:twoCellAnchor editAs="oneCell">
    <xdr:from>
      <xdr:col>1</xdr:col>
      <xdr:colOff>1112920</xdr:colOff>
      <xdr:row>1</xdr:row>
      <xdr:rowOff>120316</xdr:rowOff>
    </xdr:from>
    <xdr:to>
      <xdr:col>2</xdr:col>
      <xdr:colOff>533399</xdr:colOff>
      <xdr:row>4</xdr:row>
      <xdr:rowOff>391</xdr:rowOff>
    </xdr:to>
    <xdr:pic>
      <xdr:nvPicPr>
        <xdr:cNvPr id="2" name="Imagen 4">
          <a:extLst>
            <a:ext uri="{FF2B5EF4-FFF2-40B4-BE49-F238E27FC236}">
              <a16:creationId xmlns:a16="http://schemas.microsoft.com/office/drawing/2014/main" id="{57AE46B9-8CF0-4183-B042-FA91EA9C8AC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63578" y="280737"/>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458788</xdr:colOff>
      <xdr:row>1</xdr:row>
      <xdr:rowOff>38100</xdr:rowOff>
    </xdr:from>
    <xdr:to>
      <xdr:col>2</xdr:col>
      <xdr:colOff>342899</xdr:colOff>
      <xdr:row>3</xdr:row>
      <xdr:rowOff>87829</xdr:rowOff>
    </xdr:to>
    <xdr:pic>
      <xdr:nvPicPr>
        <xdr:cNvPr id="2" name="Imagen 4">
          <a:extLst>
            <a:ext uri="{FF2B5EF4-FFF2-40B4-BE49-F238E27FC236}">
              <a16:creationId xmlns:a16="http://schemas.microsoft.com/office/drawing/2014/main" id="{3C1CD76F-FE75-4CE9-BCB2-B45BD421A5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788" y="238125"/>
          <a:ext cx="531811" cy="545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952500</xdr:colOff>
      <xdr:row>4</xdr:row>
      <xdr:rowOff>85725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2EC4FEF1-A890-48AB-8460-EBD7D26D13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8100" y="114300"/>
          <a:ext cx="914400"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62593</xdr:colOff>
      <xdr:row>7</xdr:row>
      <xdr:rowOff>21771</xdr:rowOff>
    </xdr:from>
    <xdr:to>
      <xdr:col>3</xdr:col>
      <xdr:colOff>189235</xdr:colOff>
      <xdr:row>9</xdr:row>
      <xdr:rowOff>287110</xdr:rowOff>
    </xdr:to>
    <xdr:pic>
      <xdr:nvPicPr>
        <xdr:cNvPr id="6" name="Gráfico 5" descr="Escena suburbana">
          <a:hlinkClick xmlns:r="http://schemas.openxmlformats.org/officeDocument/2006/relationships" r:id="rId1"/>
          <a:extLst>
            <a:ext uri="{FF2B5EF4-FFF2-40B4-BE49-F238E27FC236}">
              <a16:creationId xmlns:a16="http://schemas.microsoft.com/office/drawing/2014/main" id="{2A21950B-AED9-4C7D-A227-4B209EC561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93" y="2174421"/>
          <a:ext cx="923925" cy="930728"/>
        </a:xfrm>
        <a:prstGeom prst="rect">
          <a:avLst/>
        </a:prstGeom>
      </xdr:spPr>
    </xdr:pic>
    <xdr:clientData/>
  </xdr:twoCellAnchor>
  <xdr:twoCellAnchor editAs="oneCell">
    <xdr:from>
      <xdr:col>5</xdr:col>
      <xdr:colOff>372071</xdr:colOff>
      <xdr:row>1</xdr:row>
      <xdr:rowOff>193477</xdr:rowOff>
    </xdr:from>
    <xdr:to>
      <xdr:col>5</xdr:col>
      <xdr:colOff>1145977</xdr:colOff>
      <xdr:row>3</xdr:row>
      <xdr:rowOff>286860</xdr:rowOff>
    </xdr:to>
    <xdr:pic>
      <xdr:nvPicPr>
        <xdr:cNvPr id="2" name="Imagen 4">
          <a:extLst>
            <a:ext uri="{FF2B5EF4-FFF2-40B4-BE49-F238E27FC236}">
              <a16:creationId xmlns:a16="http://schemas.microsoft.com/office/drawing/2014/main" id="{982481E6-8388-4A39-BA8D-5F1279B28E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7969" y="386954"/>
          <a:ext cx="773906" cy="811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44450</xdr:colOff>
      <xdr:row>0</xdr:row>
      <xdr:rowOff>0</xdr:rowOff>
    </xdr:from>
    <xdr:to>
      <xdr:col>11</xdr:col>
      <xdr:colOff>495300</xdr:colOff>
      <xdr:row>26</xdr:row>
      <xdr:rowOff>155042</xdr:rowOff>
    </xdr:to>
    <xdr:pic>
      <xdr:nvPicPr>
        <xdr:cNvPr id="2" name="Imagen 1">
          <a:extLst>
            <a:ext uri="{FF2B5EF4-FFF2-40B4-BE49-F238E27FC236}">
              <a16:creationId xmlns:a16="http://schemas.microsoft.com/office/drawing/2014/main" id="{05936C09-E2DB-C52B-4972-F52956DF6CB7}"/>
            </a:ext>
          </a:extLst>
        </xdr:cNvPr>
        <xdr:cNvPicPr>
          <a:picLocks noChangeAspect="1"/>
        </xdr:cNvPicPr>
      </xdr:nvPicPr>
      <xdr:blipFill>
        <a:blip xmlns:r="http://schemas.openxmlformats.org/officeDocument/2006/relationships" r:embed="rId1"/>
        <a:stretch>
          <a:fillRect/>
        </a:stretch>
      </xdr:blipFill>
      <xdr:spPr>
        <a:xfrm>
          <a:off x="3092450" y="0"/>
          <a:ext cx="5784850" cy="5108042"/>
        </a:xfrm>
        <a:prstGeom prst="rect">
          <a:avLst/>
        </a:prstGeom>
      </xdr:spPr>
    </xdr:pic>
    <xdr:clientData/>
  </xdr:twoCellAnchor>
  <xdr:twoCellAnchor editAs="oneCell">
    <xdr:from>
      <xdr:col>4</xdr:col>
      <xdr:colOff>76200</xdr:colOff>
      <xdr:row>27</xdr:row>
      <xdr:rowOff>47624</xdr:rowOff>
    </xdr:from>
    <xdr:to>
      <xdr:col>11</xdr:col>
      <xdr:colOff>485775</xdr:colOff>
      <xdr:row>43</xdr:row>
      <xdr:rowOff>0</xdr:rowOff>
    </xdr:to>
    <xdr:pic>
      <xdr:nvPicPr>
        <xdr:cNvPr id="3" name="Imagen 2">
          <a:extLst>
            <a:ext uri="{FF2B5EF4-FFF2-40B4-BE49-F238E27FC236}">
              <a16:creationId xmlns:a16="http://schemas.microsoft.com/office/drawing/2014/main" id="{C26438EB-DE44-1D10-37E8-2751E58C62E8}"/>
            </a:ext>
          </a:extLst>
        </xdr:cNvPr>
        <xdr:cNvPicPr>
          <a:picLocks noChangeAspect="1"/>
        </xdr:cNvPicPr>
      </xdr:nvPicPr>
      <xdr:blipFill>
        <a:blip xmlns:r="http://schemas.openxmlformats.org/officeDocument/2006/relationships" r:embed="rId2"/>
        <a:stretch>
          <a:fillRect/>
        </a:stretch>
      </xdr:blipFill>
      <xdr:spPr>
        <a:xfrm>
          <a:off x="3124200" y="5191124"/>
          <a:ext cx="5743575" cy="29908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87313</xdr:colOff>
      <xdr:row>1</xdr:row>
      <xdr:rowOff>19050</xdr:rowOff>
    </xdr:from>
    <xdr:to>
      <xdr:col>7</xdr:col>
      <xdr:colOff>239713</xdr:colOff>
      <xdr:row>4</xdr:row>
      <xdr:rowOff>6908</xdr:rowOff>
    </xdr:to>
    <xdr:pic>
      <xdr:nvPicPr>
        <xdr:cNvPr id="2" name="Imagen 4">
          <a:extLst>
            <a:ext uri="{FF2B5EF4-FFF2-40B4-BE49-F238E27FC236}">
              <a16:creationId xmlns:a16="http://schemas.microsoft.com/office/drawing/2014/main" id="{C9EC256A-DB6F-4832-A5C7-920A72533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16313" y="22542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476250</xdr:colOff>
      <xdr:row>2</xdr:row>
      <xdr:rowOff>31750</xdr:rowOff>
    </xdr:from>
    <xdr:to>
      <xdr:col>2</xdr:col>
      <xdr:colOff>330200</xdr:colOff>
      <xdr:row>6</xdr:row>
      <xdr:rowOff>168275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AC2E177A-875D-4A57-A129-BCFB879CD9A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76250" y="428625"/>
          <a:ext cx="914400" cy="914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100013</xdr:colOff>
      <xdr:row>1</xdr:row>
      <xdr:rowOff>19050</xdr:rowOff>
    </xdr:from>
    <xdr:to>
      <xdr:col>6</xdr:col>
      <xdr:colOff>252413</xdr:colOff>
      <xdr:row>4</xdr:row>
      <xdr:rowOff>6908</xdr:rowOff>
    </xdr:to>
    <xdr:pic>
      <xdr:nvPicPr>
        <xdr:cNvPr id="2" name="Imagen 4">
          <a:extLst>
            <a:ext uri="{FF2B5EF4-FFF2-40B4-BE49-F238E27FC236}">
              <a16:creationId xmlns:a16="http://schemas.microsoft.com/office/drawing/2014/main" id="{7FBAA5E0-89AF-4E19-B8BD-77A8F16D9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7013" y="228600"/>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269875</xdr:colOff>
      <xdr:row>1</xdr:row>
      <xdr:rowOff>127000</xdr:rowOff>
    </xdr:from>
    <xdr:to>
      <xdr:col>1</xdr:col>
      <xdr:colOff>422275</xdr:colOff>
      <xdr:row>6</xdr:row>
      <xdr:rowOff>66675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B215EECA-2602-46E7-BD53-16D06B6CA5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69875" y="333375"/>
          <a:ext cx="914400" cy="908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95250</xdr:rowOff>
    </xdr:from>
    <xdr:to>
      <xdr:col>0</xdr:col>
      <xdr:colOff>676275</xdr:colOff>
      <xdr:row>5</xdr:row>
      <xdr:rowOff>66675</xdr:rowOff>
    </xdr:to>
    <xdr:grpSp>
      <xdr:nvGrpSpPr>
        <xdr:cNvPr id="3" name="Google Shape;6703;p64">
          <a:hlinkClick xmlns:r="http://schemas.openxmlformats.org/officeDocument/2006/relationships" r:id="rId1"/>
          <a:extLst>
            <a:ext uri="{FF2B5EF4-FFF2-40B4-BE49-F238E27FC236}">
              <a16:creationId xmlns:a16="http://schemas.microsoft.com/office/drawing/2014/main" id="{A9FAA5E6-A202-4E28-876A-E71E3D293F7D}"/>
            </a:ext>
          </a:extLst>
        </xdr:cNvPr>
        <xdr:cNvGrpSpPr/>
      </xdr:nvGrpSpPr>
      <xdr:grpSpPr>
        <a:xfrm>
          <a:off x="0" y="190500"/>
          <a:ext cx="676275" cy="771525"/>
          <a:chOff x="2508373" y="2779889"/>
          <a:chExt cx="337523" cy="337680"/>
        </a:xfrm>
      </xdr:grpSpPr>
      <xdr:sp macro="" textlink="">
        <xdr:nvSpPr>
          <xdr:cNvPr id="4" name="Google Shape;6704;p64">
            <a:extLst>
              <a:ext uri="{FF2B5EF4-FFF2-40B4-BE49-F238E27FC236}">
                <a16:creationId xmlns:a16="http://schemas.microsoft.com/office/drawing/2014/main" id="{38E993DD-8DD4-4BB8-BFD1-6897219496B3}"/>
              </a:ext>
            </a:extLst>
          </xdr:cNvPr>
          <xdr:cNvSpPr/>
        </xdr:nvSpPr>
        <xdr:spPr>
          <a:xfrm>
            <a:off x="2508373" y="2779889"/>
            <a:ext cx="256971" cy="256971"/>
          </a:xfrm>
          <a:custGeom>
            <a:avLst/>
            <a:gdLst/>
            <a:ahLst/>
            <a:cxnLst/>
            <a:rect l="l" t="t" r="r" b="b"/>
            <a:pathLst>
              <a:path w="9781" h="9781" extrusionOk="0">
                <a:moveTo>
                  <a:pt x="4585" y="0"/>
                </a:moveTo>
                <a:cubicBezTo>
                  <a:pt x="4377" y="0"/>
                  <a:pt x="4190" y="153"/>
                  <a:pt x="4155" y="354"/>
                </a:cubicBezTo>
                <a:lnTo>
                  <a:pt x="3933" y="1464"/>
                </a:lnTo>
                <a:cubicBezTo>
                  <a:pt x="3656" y="1540"/>
                  <a:pt x="3392" y="1651"/>
                  <a:pt x="3149" y="1790"/>
                </a:cubicBezTo>
                <a:lnTo>
                  <a:pt x="2213" y="1165"/>
                </a:lnTo>
                <a:cubicBezTo>
                  <a:pt x="2138" y="1116"/>
                  <a:pt x="2053" y="1092"/>
                  <a:pt x="1969" y="1092"/>
                </a:cubicBezTo>
                <a:cubicBezTo>
                  <a:pt x="1852" y="1092"/>
                  <a:pt x="1736" y="1139"/>
                  <a:pt x="1651" y="1228"/>
                </a:cubicBezTo>
                <a:lnTo>
                  <a:pt x="1221" y="1658"/>
                </a:lnTo>
                <a:cubicBezTo>
                  <a:pt x="1068" y="1803"/>
                  <a:pt x="1048" y="2039"/>
                  <a:pt x="1166" y="2220"/>
                </a:cubicBezTo>
                <a:lnTo>
                  <a:pt x="1790" y="3156"/>
                </a:lnTo>
                <a:cubicBezTo>
                  <a:pt x="1651" y="3399"/>
                  <a:pt x="1547" y="3662"/>
                  <a:pt x="1471" y="3940"/>
                </a:cubicBezTo>
                <a:lnTo>
                  <a:pt x="361" y="4162"/>
                </a:lnTo>
                <a:cubicBezTo>
                  <a:pt x="153" y="4196"/>
                  <a:pt x="7" y="4384"/>
                  <a:pt x="0" y="4592"/>
                </a:cubicBezTo>
                <a:lnTo>
                  <a:pt x="0" y="5202"/>
                </a:lnTo>
                <a:cubicBezTo>
                  <a:pt x="7" y="5410"/>
                  <a:pt x="153" y="5591"/>
                  <a:pt x="361" y="5632"/>
                </a:cubicBezTo>
                <a:lnTo>
                  <a:pt x="1471" y="5854"/>
                </a:lnTo>
                <a:cubicBezTo>
                  <a:pt x="1547" y="6125"/>
                  <a:pt x="1651" y="6388"/>
                  <a:pt x="1790" y="6638"/>
                </a:cubicBezTo>
                <a:lnTo>
                  <a:pt x="1166" y="7574"/>
                </a:lnTo>
                <a:cubicBezTo>
                  <a:pt x="1048" y="7748"/>
                  <a:pt x="1068" y="7984"/>
                  <a:pt x="1221" y="8136"/>
                </a:cubicBezTo>
                <a:lnTo>
                  <a:pt x="1651" y="8566"/>
                </a:lnTo>
                <a:cubicBezTo>
                  <a:pt x="1735" y="8650"/>
                  <a:pt x="1848" y="8692"/>
                  <a:pt x="1964" y="8692"/>
                </a:cubicBezTo>
                <a:cubicBezTo>
                  <a:pt x="2049" y="8692"/>
                  <a:pt x="2136" y="8669"/>
                  <a:pt x="2213" y="8622"/>
                </a:cubicBezTo>
                <a:lnTo>
                  <a:pt x="3156" y="7990"/>
                </a:lnTo>
                <a:cubicBezTo>
                  <a:pt x="3399" y="8129"/>
                  <a:pt x="3663" y="8233"/>
                  <a:pt x="3933" y="8310"/>
                </a:cubicBezTo>
                <a:lnTo>
                  <a:pt x="4155" y="9419"/>
                </a:lnTo>
                <a:cubicBezTo>
                  <a:pt x="4197" y="9627"/>
                  <a:pt x="4377" y="9773"/>
                  <a:pt x="4592" y="9780"/>
                </a:cubicBezTo>
                <a:lnTo>
                  <a:pt x="5195" y="9780"/>
                </a:lnTo>
                <a:cubicBezTo>
                  <a:pt x="5404" y="9773"/>
                  <a:pt x="5591" y="9627"/>
                  <a:pt x="5632" y="9419"/>
                </a:cubicBezTo>
                <a:lnTo>
                  <a:pt x="5854" y="8310"/>
                </a:lnTo>
                <a:cubicBezTo>
                  <a:pt x="6125" y="8233"/>
                  <a:pt x="6389" y="8129"/>
                  <a:pt x="6631" y="7990"/>
                </a:cubicBezTo>
                <a:lnTo>
                  <a:pt x="7568" y="8615"/>
                </a:lnTo>
                <a:cubicBezTo>
                  <a:pt x="7644" y="8664"/>
                  <a:pt x="7730" y="8688"/>
                  <a:pt x="7814" y="8688"/>
                </a:cubicBezTo>
                <a:cubicBezTo>
                  <a:pt x="7931" y="8688"/>
                  <a:pt x="8045" y="8643"/>
                  <a:pt x="8129" y="8559"/>
                </a:cubicBezTo>
                <a:lnTo>
                  <a:pt x="8560" y="8129"/>
                </a:lnTo>
                <a:cubicBezTo>
                  <a:pt x="8712" y="7984"/>
                  <a:pt x="8733" y="7748"/>
                  <a:pt x="8615" y="7567"/>
                </a:cubicBezTo>
                <a:lnTo>
                  <a:pt x="7991" y="6631"/>
                </a:lnTo>
                <a:cubicBezTo>
                  <a:pt x="8129" y="6381"/>
                  <a:pt x="8234" y="6118"/>
                  <a:pt x="8310" y="5847"/>
                </a:cubicBezTo>
                <a:lnTo>
                  <a:pt x="9420" y="5625"/>
                </a:lnTo>
                <a:cubicBezTo>
                  <a:pt x="9628" y="5584"/>
                  <a:pt x="9773" y="5403"/>
                  <a:pt x="9780" y="5195"/>
                </a:cubicBezTo>
                <a:lnTo>
                  <a:pt x="9780" y="4585"/>
                </a:lnTo>
                <a:cubicBezTo>
                  <a:pt x="9780" y="4377"/>
                  <a:pt x="9628" y="4189"/>
                  <a:pt x="9420" y="4148"/>
                </a:cubicBezTo>
                <a:lnTo>
                  <a:pt x="8310" y="3926"/>
                </a:lnTo>
                <a:cubicBezTo>
                  <a:pt x="8234" y="3655"/>
                  <a:pt x="8129" y="3392"/>
                  <a:pt x="7991" y="3149"/>
                </a:cubicBezTo>
                <a:lnTo>
                  <a:pt x="8615" y="2206"/>
                </a:lnTo>
                <a:cubicBezTo>
                  <a:pt x="8733" y="2032"/>
                  <a:pt x="8712" y="1796"/>
                  <a:pt x="8560" y="1644"/>
                </a:cubicBezTo>
                <a:lnTo>
                  <a:pt x="8129" y="1221"/>
                </a:lnTo>
                <a:cubicBezTo>
                  <a:pt x="8046" y="1134"/>
                  <a:pt x="7934" y="1090"/>
                  <a:pt x="7821" y="1090"/>
                </a:cubicBezTo>
                <a:cubicBezTo>
                  <a:pt x="7735" y="1090"/>
                  <a:pt x="7649" y="1115"/>
                  <a:pt x="7575" y="1165"/>
                </a:cubicBezTo>
                <a:lnTo>
                  <a:pt x="6631" y="1790"/>
                </a:lnTo>
                <a:cubicBezTo>
                  <a:pt x="6389" y="1651"/>
                  <a:pt x="6125" y="1540"/>
                  <a:pt x="5854" y="1464"/>
                </a:cubicBezTo>
                <a:lnTo>
                  <a:pt x="5626" y="354"/>
                </a:lnTo>
                <a:cubicBezTo>
                  <a:pt x="5584" y="153"/>
                  <a:pt x="5404" y="0"/>
                  <a:pt x="5195" y="0"/>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 name="Google Shape;6705;p64">
            <a:extLst>
              <a:ext uri="{FF2B5EF4-FFF2-40B4-BE49-F238E27FC236}">
                <a16:creationId xmlns:a16="http://schemas.microsoft.com/office/drawing/2014/main" id="{7CE847CD-5FCA-4405-BB52-E6893161F724}"/>
              </a:ext>
            </a:extLst>
          </xdr:cNvPr>
          <xdr:cNvSpPr/>
        </xdr:nvSpPr>
        <xdr:spPr>
          <a:xfrm>
            <a:off x="2561391" y="2852034"/>
            <a:ext cx="131783" cy="112814"/>
          </a:xfrm>
          <a:custGeom>
            <a:avLst/>
            <a:gdLst/>
            <a:ahLst/>
            <a:cxnLst/>
            <a:rect l="l" t="t" r="r" b="b"/>
            <a:pathLst>
              <a:path w="5016" h="4294" extrusionOk="0">
                <a:moveTo>
                  <a:pt x="2872" y="1"/>
                </a:moveTo>
                <a:cubicBezTo>
                  <a:pt x="958" y="1"/>
                  <a:pt x="1" y="2310"/>
                  <a:pt x="1353" y="3663"/>
                </a:cubicBezTo>
                <a:cubicBezTo>
                  <a:pt x="1791" y="4098"/>
                  <a:pt x="2328" y="4293"/>
                  <a:pt x="2855" y="4293"/>
                </a:cubicBezTo>
                <a:cubicBezTo>
                  <a:pt x="3958" y="4293"/>
                  <a:pt x="5016" y="3439"/>
                  <a:pt x="5016" y="2144"/>
                </a:cubicBezTo>
                <a:cubicBezTo>
                  <a:pt x="5016" y="958"/>
                  <a:pt x="4058" y="1"/>
                  <a:pt x="2872" y="1"/>
                </a:cubicBezTo>
                <a:close/>
              </a:path>
            </a:pathLst>
          </a:custGeom>
          <a:solidFill>
            <a:srgbClr val="DEE5EB"/>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6" name="Google Shape;6706;p64">
            <a:extLst>
              <a:ext uri="{FF2B5EF4-FFF2-40B4-BE49-F238E27FC236}">
                <a16:creationId xmlns:a16="http://schemas.microsoft.com/office/drawing/2014/main" id="{1947E24B-2236-4B10-B0A4-19ABD26BF976}"/>
              </a:ext>
            </a:extLst>
          </xdr:cNvPr>
          <xdr:cNvSpPr/>
        </xdr:nvSpPr>
        <xdr:spPr>
          <a:xfrm>
            <a:off x="2599302" y="2880277"/>
            <a:ext cx="65629" cy="56223"/>
          </a:xfrm>
          <a:custGeom>
            <a:avLst/>
            <a:gdLst/>
            <a:ahLst/>
            <a:cxnLst/>
            <a:rect l="l" t="t" r="r" b="b"/>
            <a:pathLst>
              <a:path w="2498" h="2140" extrusionOk="0">
                <a:moveTo>
                  <a:pt x="1429" y="1"/>
                </a:moveTo>
                <a:cubicBezTo>
                  <a:pt x="479" y="1"/>
                  <a:pt x="0" y="1152"/>
                  <a:pt x="673" y="1825"/>
                </a:cubicBezTo>
                <a:cubicBezTo>
                  <a:pt x="891" y="2042"/>
                  <a:pt x="1158" y="2140"/>
                  <a:pt x="1420" y="2140"/>
                </a:cubicBezTo>
                <a:cubicBezTo>
                  <a:pt x="1970" y="2140"/>
                  <a:pt x="2497" y="1712"/>
                  <a:pt x="2497" y="1069"/>
                </a:cubicBezTo>
                <a:cubicBezTo>
                  <a:pt x="2497" y="479"/>
                  <a:pt x="2019" y="1"/>
                  <a:pt x="1429" y="1"/>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 name="Google Shape;6707;p64">
            <a:extLst>
              <a:ext uri="{FF2B5EF4-FFF2-40B4-BE49-F238E27FC236}">
                <a16:creationId xmlns:a16="http://schemas.microsoft.com/office/drawing/2014/main" id="{DD835CD5-BE0C-4FE1-976F-DD597D594F0C}"/>
              </a:ext>
            </a:extLst>
          </xdr:cNvPr>
          <xdr:cNvSpPr/>
        </xdr:nvSpPr>
        <xdr:spPr>
          <a:xfrm>
            <a:off x="2677121" y="2948611"/>
            <a:ext cx="168775" cy="168958"/>
          </a:xfrm>
          <a:custGeom>
            <a:avLst/>
            <a:gdLst/>
            <a:ahLst/>
            <a:cxnLst/>
            <a:rect l="l" t="t" r="r" b="b"/>
            <a:pathLst>
              <a:path w="6424" h="6431" extrusionOk="0">
                <a:moveTo>
                  <a:pt x="3017" y="1"/>
                </a:moveTo>
                <a:cubicBezTo>
                  <a:pt x="2879" y="1"/>
                  <a:pt x="2754" y="98"/>
                  <a:pt x="2733" y="237"/>
                </a:cubicBezTo>
                <a:lnTo>
                  <a:pt x="2587" y="965"/>
                </a:lnTo>
                <a:cubicBezTo>
                  <a:pt x="2407" y="1014"/>
                  <a:pt x="2234" y="1090"/>
                  <a:pt x="2067" y="1180"/>
                </a:cubicBezTo>
                <a:lnTo>
                  <a:pt x="1450" y="764"/>
                </a:lnTo>
                <a:cubicBezTo>
                  <a:pt x="1404" y="733"/>
                  <a:pt x="1350" y="718"/>
                  <a:pt x="1296" y="718"/>
                </a:cubicBezTo>
                <a:cubicBezTo>
                  <a:pt x="1218" y="718"/>
                  <a:pt x="1139" y="748"/>
                  <a:pt x="1082" y="805"/>
                </a:cubicBezTo>
                <a:lnTo>
                  <a:pt x="805" y="1083"/>
                </a:lnTo>
                <a:cubicBezTo>
                  <a:pt x="701" y="1180"/>
                  <a:pt x="687" y="1340"/>
                  <a:pt x="763" y="1451"/>
                </a:cubicBezTo>
                <a:lnTo>
                  <a:pt x="1179" y="2068"/>
                </a:lnTo>
                <a:cubicBezTo>
                  <a:pt x="1089" y="2234"/>
                  <a:pt x="1013" y="2408"/>
                  <a:pt x="964" y="2588"/>
                </a:cubicBezTo>
                <a:lnTo>
                  <a:pt x="236" y="2734"/>
                </a:lnTo>
                <a:cubicBezTo>
                  <a:pt x="97" y="2761"/>
                  <a:pt x="0" y="2879"/>
                  <a:pt x="0" y="3018"/>
                </a:cubicBezTo>
                <a:lnTo>
                  <a:pt x="0" y="3413"/>
                </a:lnTo>
                <a:cubicBezTo>
                  <a:pt x="0" y="3552"/>
                  <a:pt x="97" y="3670"/>
                  <a:pt x="236" y="3698"/>
                </a:cubicBezTo>
                <a:lnTo>
                  <a:pt x="964" y="3844"/>
                </a:lnTo>
                <a:cubicBezTo>
                  <a:pt x="1013" y="4024"/>
                  <a:pt x="1089" y="4197"/>
                  <a:pt x="1179" y="4364"/>
                </a:cubicBezTo>
                <a:lnTo>
                  <a:pt x="763" y="4981"/>
                </a:lnTo>
                <a:cubicBezTo>
                  <a:pt x="687" y="5092"/>
                  <a:pt x="701" y="5252"/>
                  <a:pt x="805" y="5349"/>
                </a:cubicBezTo>
                <a:lnTo>
                  <a:pt x="1082" y="5626"/>
                </a:lnTo>
                <a:cubicBezTo>
                  <a:pt x="1139" y="5683"/>
                  <a:pt x="1218" y="5714"/>
                  <a:pt x="1296" y="5714"/>
                </a:cubicBezTo>
                <a:cubicBezTo>
                  <a:pt x="1350" y="5714"/>
                  <a:pt x="1404" y="5699"/>
                  <a:pt x="1450" y="5668"/>
                </a:cubicBezTo>
                <a:lnTo>
                  <a:pt x="2067" y="5252"/>
                </a:lnTo>
                <a:cubicBezTo>
                  <a:pt x="2234" y="5342"/>
                  <a:pt x="2407" y="5418"/>
                  <a:pt x="2587" y="5467"/>
                </a:cubicBezTo>
                <a:lnTo>
                  <a:pt x="2733" y="6195"/>
                </a:lnTo>
                <a:cubicBezTo>
                  <a:pt x="2754" y="6334"/>
                  <a:pt x="2879" y="6431"/>
                  <a:pt x="3017" y="6431"/>
                </a:cubicBezTo>
                <a:lnTo>
                  <a:pt x="3413" y="6431"/>
                </a:lnTo>
                <a:cubicBezTo>
                  <a:pt x="3552" y="6431"/>
                  <a:pt x="3669" y="6334"/>
                  <a:pt x="3697" y="6195"/>
                </a:cubicBezTo>
                <a:lnTo>
                  <a:pt x="3843" y="5467"/>
                </a:lnTo>
                <a:cubicBezTo>
                  <a:pt x="4023" y="5418"/>
                  <a:pt x="4197" y="5342"/>
                  <a:pt x="4356" y="5252"/>
                </a:cubicBezTo>
                <a:lnTo>
                  <a:pt x="4980" y="5668"/>
                </a:lnTo>
                <a:cubicBezTo>
                  <a:pt x="5027" y="5697"/>
                  <a:pt x="5080" y="5711"/>
                  <a:pt x="5134" y="5711"/>
                </a:cubicBezTo>
                <a:cubicBezTo>
                  <a:pt x="5209" y="5711"/>
                  <a:pt x="5284" y="5683"/>
                  <a:pt x="5341" y="5626"/>
                </a:cubicBezTo>
                <a:lnTo>
                  <a:pt x="5625" y="5342"/>
                </a:lnTo>
                <a:cubicBezTo>
                  <a:pt x="5723" y="5245"/>
                  <a:pt x="5736" y="5092"/>
                  <a:pt x="5660" y="4974"/>
                </a:cubicBezTo>
                <a:lnTo>
                  <a:pt x="5251" y="4357"/>
                </a:lnTo>
                <a:cubicBezTo>
                  <a:pt x="5341" y="4190"/>
                  <a:pt x="5410" y="4024"/>
                  <a:pt x="5466" y="3844"/>
                </a:cubicBezTo>
                <a:lnTo>
                  <a:pt x="6194" y="3698"/>
                </a:lnTo>
                <a:cubicBezTo>
                  <a:pt x="6326" y="3670"/>
                  <a:pt x="6423" y="3552"/>
                  <a:pt x="6423" y="3413"/>
                </a:cubicBezTo>
                <a:lnTo>
                  <a:pt x="6423" y="3018"/>
                </a:lnTo>
                <a:cubicBezTo>
                  <a:pt x="6423" y="2879"/>
                  <a:pt x="6333" y="2761"/>
                  <a:pt x="6194" y="2734"/>
                </a:cubicBezTo>
                <a:lnTo>
                  <a:pt x="5466" y="2588"/>
                </a:lnTo>
                <a:cubicBezTo>
                  <a:pt x="5417" y="2408"/>
                  <a:pt x="5348" y="2234"/>
                  <a:pt x="5251" y="2068"/>
                </a:cubicBezTo>
                <a:lnTo>
                  <a:pt x="5667" y="1451"/>
                </a:lnTo>
                <a:cubicBezTo>
                  <a:pt x="5743" y="1340"/>
                  <a:pt x="5729" y="1180"/>
                  <a:pt x="5632" y="1083"/>
                </a:cubicBezTo>
                <a:lnTo>
                  <a:pt x="5348" y="805"/>
                </a:lnTo>
                <a:cubicBezTo>
                  <a:pt x="5291" y="748"/>
                  <a:pt x="5214" y="718"/>
                  <a:pt x="5137" y="718"/>
                </a:cubicBezTo>
                <a:cubicBezTo>
                  <a:pt x="5083" y="718"/>
                  <a:pt x="5029" y="733"/>
                  <a:pt x="4980" y="764"/>
                </a:cubicBezTo>
                <a:lnTo>
                  <a:pt x="4363" y="1180"/>
                </a:lnTo>
                <a:cubicBezTo>
                  <a:pt x="4197" y="1090"/>
                  <a:pt x="4030" y="1014"/>
                  <a:pt x="3850" y="965"/>
                </a:cubicBezTo>
                <a:lnTo>
                  <a:pt x="3704" y="237"/>
                </a:lnTo>
                <a:cubicBezTo>
                  <a:pt x="3676" y="98"/>
                  <a:pt x="3558" y="1"/>
                  <a:pt x="3420" y="1"/>
                </a:cubicBezTo>
                <a:close/>
              </a:path>
            </a:pathLst>
          </a:custGeom>
          <a:solidFill>
            <a:srgbClr val="445D73"/>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 name="Google Shape;6708;p64">
            <a:extLst>
              <a:ext uri="{FF2B5EF4-FFF2-40B4-BE49-F238E27FC236}">
                <a16:creationId xmlns:a16="http://schemas.microsoft.com/office/drawing/2014/main" id="{E6B00809-D949-41E4-9F22-19E36042DF88}"/>
              </a:ext>
            </a:extLst>
          </xdr:cNvPr>
          <xdr:cNvSpPr/>
        </xdr:nvSpPr>
        <xdr:spPr>
          <a:xfrm>
            <a:off x="2705180" y="2990910"/>
            <a:ext cx="98601" cy="84466"/>
          </a:xfrm>
          <a:custGeom>
            <a:avLst/>
            <a:gdLst/>
            <a:ahLst/>
            <a:cxnLst/>
            <a:rect l="l" t="t" r="r" b="b"/>
            <a:pathLst>
              <a:path w="3753" h="3215" extrusionOk="0">
                <a:moveTo>
                  <a:pt x="2144" y="0"/>
                </a:moveTo>
                <a:cubicBezTo>
                  <a:pt x="715" y="0"/>
                  <a:pt x="0" y="1727"/>
                  <a:pt x="1013" y="2740"/>
                </a:cubicBezTo>
                <a:cubicBezTo>
                  <a:pt x="1341" y="3068"/>
                  <a:pt x="1743" y="3215"/>
                  <a:pt x="2138" y="3215"/>
                </a:cubicBezTo>
                <a:cubicBezTo>
                  <a:pt x="2963" y="3215"/>
                  <a:pt x="3753" y="2573"/>
                  <a:pt x="3753" y="1602"/>
                </a:cubicBezTo>
                <a:cubicBezTo>
                  <a:pt x="3753" y="721"/>
                  <a:pt x="3031" y="0"/>
                  <a:pt x="2144" y="0"/>
                </a:cubicBezTo>
                <a:close/>
              </a:path>
            </a:pathLst>
          </a:custGeom>
          <a:solidFill>
            <a:srgbClr val="BAC2CA"/>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 name="Google Shape;6709;p64">
            <a:extLst>
              <a:ext uri="{FF2B5EF4-FFF2-40B4-BE49-F238E27FC236}">
                <a16:creationId xmlns:a16="http://schemas.microsoft.com/office/drawing/2014/main" id="{FE1B5E96-0894-4403-A969-355EA50B80B2}"/>
              </a:ext>
            </a:extLst>
          </xdr:cNvPr>
          <xdr:cNvSpPr/>
        </xdr:nvSpPr>
        <xdr:spPr>
          <a:xfrm>
            <a:off x="2727774" y="3007856"/>
            <a:ext cx="59061" cy="50601"/>
          </a:xfrm>
          <a:custGeom>
            <a:avLst/>
            <a:gdLst/>
            <a:ahLst/>
            <a:cxnLst/>
            <a:rect l="l" t="t" r="r" b="b"/>
            <a:pathLst>
              <a:path w="2248" h="1926" extrusionOk="0">
                <a:moveTo>
                  <a:pt x="1284" y="0"/>
                </a:moveTo>
                <a:cubicBezTo>
                  <a:pt x="430" y="0"/>
                  <a:pt x="0" y="1034"/>
                  <a:pt x="604" y="1644"/>
                </a:cubicBezTo>
                <a:cubicBezTo>
                  <a:pt x="801" y="1839"/>
                  <a:pt x="1041" y="1926"/>
                  <a:pt x="1277" y="1926"/>
                </a:cubicBezTo>
                <a:cubicBezTo>
                  <a:pt x="1773" y="1926"/>
                  <a:pt x="2248" y="1540"/>
                  <a:pt x="2248" y="957"/>
                </a:cubicBezTo>
                <a:cubicBezTo>
                  <a:pt x="2248" y="430"/>
                  <a:pt x="1818" y="0"/>
                  <a:pt x="1284" y="0"/>
                </a:cubicBezTo>
                <a:close/>
              </a:path>
            </a:pathLst>
          </a:custGeom>
          <a:solidFill>
            <a:schemeClr val="bg1">
              <a:lumMod val="50000"/>
            </a:schemeClr>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twoCellAnchor editAs="oneCell">
    <xdr:from>
      <xdr:col>1</xdr:col>
      <xdr:colOff>657225</xdr:colOff>
      <xdr:row>1</xdr:row>
      <xdr:rowOff>0</xdr:rowOff>
    </xdr:from>
    <xdr:to>
      <xdr:col>1</xdr:col>
      <xdr:colOff>1190625</xdr:colOff>
      <xdr:row>3</xdr:row>
      <xdr:rowOff>159308</xdr:rowOff>
    </xdr:to>
    <xdr:pic>
      <xdr:nvPicPr>
        <xdr:cNvPr id="2" name="Imagen 4">
          <a:extLst>
            <a:ext uri="{FF2B5EF4-FFF2-40B4-BE49-F238E27FC236}">
              <a16:creationId xmlns:a16="http://schemas.microsoft.com/office/drawing/2014/main" id="{A717D3CA-0607-4F20-B71A-3AE6DB9E2F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3025" y="95250"/>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866775</xdr:colOff>
      <xdr:row>0</xdr:row>
      <xdr:rowOff>66675</xdr:rowOff>
    </xdr:from>
    <xdr:to>
      <xdr:col>1</xdr:col>
      <xdr:colOff>1400175</xdr:colOff>
      <xdr:row>3</xdr:row>
      <xdr:rowOff>156133</xdr:rowOff>
    </xdr:to>
    <xdr:pic>
      <xdr:nvPicPr>
        <xdr:cNvPr id="2" name="Imagen 4">
          <a:extLst>
            <a:ext uri="{FF2B5EF4-FFF2-40B4-BE49-F238E27FC236}">
              <a16:creationId xmlns:a16="http://schemas.microsoft.com/office/drawing/2014/main" id="{D0C39065-34D1-428B-8040-82A4986F52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5" y="6667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alidad ETITC" id="{0CC1AFD7-F2B4-4C19-A5FE-A0839748E464}" userId="S::calidad@itc.edu.co::5f6678ce-6f95-4cba-9a3f-7a65f87216f7"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TablaDinámica1" cacheId="53"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2AF4852-25AA-4EC0-BA9A-D8EC1A651492}" name="Criterios" displayName="Criterios" ref="A1:B14" totalsRowShown="0">
  <autoFilter ref="A1:B14" xr:uid="{B2AF4852-25AA-4EC0-BA9A-D8EC1A651492}"/>
  <tableColumns count="2">
    <tableColumn id="1" xr3:uid="{DD89DC2E-2661-45C2-B689-DCF22974CBDC}" name="Criterios_Impacto"/>
    <tableColumn id="2" xr3:uid="{43AE9E82-3F6B-4945-A788-0E0C2F144D59}" name="Calificació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3" dataDxfId="2">
  <autoFilter ref="B209:C219" xr:uid="{00000000-0009-0000-0100-000001000000}"/>
  <tableColumns count="2">
    <tableColumn id="1" xr3:uid="{00000000-0010-0000-0000-000001000000}" name="Criterios" dataDxfId="1"/>
    <tableColumn id="2" xr3:uid="{00000000-0010-0000-0000-000002000000}" name="Subcriterios"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3" dT="2026-05-05T18:23:33.08" personId="{0CC1AFD7-F2B4-4C19-A5FE-A0839748E464}" id="{31DE014E-1502-4058-AF14-D12B122223C2}">
    <text>Para el riesgo Fiscal, solo aplica IMPACTO ECONÓMICO</text>
  </threadedComment>
  <threadedComment ref="G13" dT="2026-05-05T16:05:30.86" personId="{0CC1AFD7-F2B4-4C19-A5FE-A0839748E464}" id="{7319F458-F751-4993-B913-0ED035E30CF3}">
    <text>Aplica para Riesgo FISCAL</text>
  </threadedComment>
  <threadedComment ref="AU13" dT="2026-05-04T15:28:03.86" personId="{0CC1AFD7-F2B4-4C19-A5FE-A0839748E464}" id="{1816B48D-01BB-448B-AFCC-2FEDB756BA42}">
    <text xml:space="preserve">Se realiza una descripción breve de lo ejecutado en el periodo. Así como las desviaciones presentadas en la aplicación del control. </text>
  </threadedComment>
  <threadedComment ref="AV13" dT="2026-05-04T15:29:01.83" personId="{0CC1AFD7-F2B4-4C19-A5FE-A0839748E464}" id="{8ADAA9EE-5890-4480-85AE-C33717331CF8}">
    <text>Se debe describir los soportes de la ejecución del control y punto de uso de la información. Ejemplo (enlaces de carpetas)</text>
  </threadedComment>
  <threadedComment ref="AW13" dT="2026-05-04T15:28:03.86" personId="{0CC1AFD7-F2B4-4C19-A5FE-A0839748E464}" id="{975DE72D-945A-4BAE-A64E-E42069A0D1CB}">
    <text>Se realiza una descripción breve de lo ejecutado en el periodo</text>
  </threadedComment>
  <threadedComment ref="AX13" dT="2026-05-04T15:29:01.83" personId="{0CC1AFD7-F2B4-4C19-A5FE-A0839748E464}" id="{837D0758-B511-4B9B-885F-44B15625A2B0}">
    <text>Se debe describir los soportes de la ejecución del control y punto de uso de la información. Ejemplo (enlaces de carpetas)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N38"/>
  <sheetViews>
    <sheetView showGridLines="0" topLeftCell="A15" zoomScale="95" zoomScaleNormal="95" workbookViewId="0">
      <selection activeCell="P13" sqref="P13"/>
    </sheetView>
  </sheetViews>
  <sheetFormatPr defaultColWidth="11.42578125" defaultRowHeight="14.45"/>
  <cols>
    <col min="1" max="1" width="3.7109375" style="68" customWidth="1"/>
    <col min="2" max="2" width="16.7109375" customWidth="1"/>
    <col min="3" max="3" width="25" customWidth="1"/>
    <col min="4" max="12" width="10.7109375" customWidth="1"/>
    <col min="13" max="13" width="13.28515625" customWidth="1"/>
    <col min="14" max="14" width="15.5703125" customWidth="1"/>
    <col min="15" max="16384" width="11.42578125" style="68"/>
  </cols>
  <sheetData>
    <row r="1" spans="2:14" ht="12.75" customHeight="1" thickBot="1">
      <c r="B1" s="68"/>
      <c r="C1" s="68"/>
      <c r="D1" s="68"/>
      <c r="E1" s="68"/>
      <c r="F1" s="68"/>
      <c r="G1" s="68"/>
      <c r="H1" s="68"/>
      <c r="I1" s="68"/>
      <c r="J1" s="68"/>
      <c r="K1" s="68"/>
      <c r="L1" s="68"/>
      <c r="M1" s="68"/>
      <c r="N1" s="68"/>
    </row>
    <row r="2" spans="2:14" ht="18.75" customHeight="1">
      <c r="B2" s="336" t="s">
        <v>0</v>
      </c>
      <c r="C2" s="337"/>
      <c r="D2" s="327" t="s">
        <v>1</v>
      </c>
      <c r="E2" s="328"/>
      <c r="F2" s="328"/>
      <c r="G2" s="328"/>
      <c r="H2" s="328"/>
      <c r="I2" s="328"/>
      <c r="J2" s="328"/>
      <c r="K2" s="328"/>
      <c r="L2" s="329"/>
      <c r="M2" s="342" t="s">
        <v>2</v>
      </c>
      <c r="N2" s="343"/>
    </row>
    <row r="3" spans="2:14" ht="15.75" customHeight="1">
      <c r="B3" s="338"/>
      <c r="C3" s="339"/>
      <c r="D3" s="330"/>
      <c r="E3" s="331"/>
      <c r="F3" s="331"/>
      <c r="G3" s="331"/>
      <c r="H3" s="331"/>
      <c r="I3" s="331"/>
      <c r="J3" s="331"/>
      <c r="K3" s="331"/>
      <c r="L3" s="332"/>
      <c r="M3" s="344" t="s">
        <v>3</v>
      </c>
      <c r="N3" s="345"/>
    </row>
    <row r="4" spans="2:14" ht="18.75" customHeight="1">
      <c r="B4" s="338"/>
      <c r="C4" s="339"/>
      <c r="D4" s="330"/>
      <c r="E4" s="331"/>
      <c r="F4" s="331"/>
      <c r="G4" s="331"/>
      <c r="H4" s="331"/>
      <c r="I4" s="331"/>
      <c r="J4" s="331"/>
      <c r="K4" s="331"/>
      <c r="L4" s="332"/>
      <c r="M4" s="344" t="s">
        <v>4</v>
      </c>
      <c r="N4" s="345"/>
    </row>
    <row r="5" spans="2:14" ht="29.25" customHeight="1" thickBot="1">
      <c r="B5" s="340"/>
      <c r="C5" s="341"/>
      <c r="D5" s="333"/>
      <c r="E5" s="334"/>
      <c r="F5" s="334"/>
      <c r="G5" s="334"/>
      <c r="H5" s="334"/>
      <c r="I5" s="334"/>
      <c r="J5" s="334"/>
      <c r="K5" s="334"/>
      <c r="L5" s="335"/>
      <c r="M5" s="346" t="s">
        <v>5</v>
      </c>
      <c r="N5" s="347"/>
    </row>
    <row r="6" spans="2:14" ht="7.5" customHeight="1" thickBot="1"/>
    <row r="7" spans="2:14">
      <c r="B7" s="126"/>
      <c r="C7" s="127"/>
      <c r="D7" s="127"/>
      <c r="E7" s="127"/>
      <c r="F7" s="127"/>
      <c r="G7" s="127"/>
      <c r="H7" s="127"/>
      <c r="I7" s="127"/>
      <c r="J7" s="127"/>
      <c r="K7" s="127"/>
      <c r="L7" s="127"/>
      <c r="M7" s="127"/>
      <c r="N7" s="128"/>
    </row>
    <row r="8" spans="2:14">
      <c r="B8" s="129"/>
      <c r="N8" s="130"/>
    </row>
    <row r="9" spans="2:14">
      <c r="B9" s="129"/>
      <c r="N9" s="130"/>
    </row>
    <row r="10" spans="2:14">
      <c r="B10" s="129"/>
      <c r="N10" s="130"/>
    </row>
    <row r="11" spans="2:14">
      <c r="B11" s="129"/>
      <c r="N11" s="130"/>
    </row>
    <row r="12" spans="2:14">
      <c r="B12" s="129"/>
      <c r="N12" s="130"/>
    </row>
    <row r="13" spans="2:14">
      <c r="B13" s="129"/>
      <c r="N13" s="130"/>
    </row>
    <row r="14" spans="2:14">
      <c r="B14" s="129"/>
      <c r="N14" s="130"/>
    </row>
    <row r="15" spans="2:14">
      <c r="B15" s="129"/>
      <c r="N15" s="130"/>
    </row>
    <row r="16" spans="2:14" ht="21" customHeight="1">
      <c r="B16" s="129"/>
      <c r="N16" s="130"/>
    </row>
    <row r="17" spans="2:14" ht="18.75" customHeight="1">
      <c r="B17" s="129"/>
      <c r="N17" s="130"/>
    </row>
    <row r="18" spans="2:14" ht="17.25" customHeight="1">
      <c r="B18" s="129"/>
      <c r="N18" s="130"/>
    </row>
    <row r="19" spans="2:14" ht="18.75" customHeight="1">
      <c r="B19" s="129"/>
      <c r="N19" s="130"/>
    </row>
    <row r="20" spans="2:14" ht="21" customHeight="1">
      <c r="B20" s="129"/>
      <c r="N20" s="130"/>
    </row>
    <row r="21" spans="2:14">
      <c r="B21" s="129"/>
      <c r="N21" s="130"/>
    </row>
    <row r="22" spans="2:14">
      <c r="B22" s="129"/>
      <c r="N22" s="130"/>
    </row>
    <row r="23" spans="2:14">
      <c r="B23" s="129"/>
      <c r="N23" s="130"/>
    </row>
    <row r="24" spans="2:14">
      <c r="B24" s="129"/>
      <c r="N24" s="130"/>
    </row>
    <row r="25" spans="2:14">
      <c r="B25" s="129"/>
      <c r="N25" s="130"/>
    </row>
    <row r="26" spans="2:14">
      <c r="B26" s="129"/>
      <c r="N26" s="130"/>
    </row>
    <row r="27" spans="2:14">
      <c r="B27" s="129"/>
      <c r="N27" s="130"/>
    </row>
    <row r="28" spans="2:14">
      <c r="B28" s="129"/>
      <c r="N28" s="130"/>
    </row>
    <row r="29" spans="2:14">
      <c r="B29" s="129"/>
      <c r="N29" s="130"/>
    </row>
    <row r="30" spans="2:14">
      <c r="B30" s="129"/>
      <c r="N30" s="130"/>
    </row>
    <row r="31" spans="2:14">
      <c r="B31" s="129"/>
      <c r="D31" s="326" t="s">
        <v>6</v>
      </c>
      <c r="E31" s="326"/>
      <c r="N31" s="130"/>
    </row>
    <row r="32" spans="2:14">
      <c r="B32" s="129"/>
      <c r="D32" s="326"/>
      <c r="E32" s="326"/>
      <c r="N32" s="130"/>
    </row>
    <row r="33" spans="2:14">
      <c r="B33" s="129"/>
      <c r="N33" s="130"/>
    </row>
    <row r="34" spans="2:14">
      <c r="B34" s="129"/>
      <c r="N34" s="130"/>
    </row>
    <row r="35" spans="2:14">
      <c r="B35" s="129"/>
      <c r="N35" s="130"/>
    </row>
    <row r="36" spans="2:14">
      <c r="B36" s="129"/>
      <c r="N36" s="130"/>
    </row>
    <row r="37" spans="2:14">
      <c r="B37" s="129"/>
      <c r="N37" s="130"/>
    </row>
    <row r="38" spans="2:14" ht="15" thickBot="1">
      <c r="B38" s="131"/>
      <c r="C38" s="132"/>
      <c r="D38" s="132"/>
      <c r="E38" s="132"/>
      <c r="F38" s="132"/>
      <c r="G38" s="132"/>
      <c r="H38" s="132"/>
      <c r="I38" s="132"/>
      <c r="J38" s="132"/>
      <c r="K38" s="132"/>
      <c r="L38" s="132"/>
      <c r="M38" s="132"/>
      <c r="N38" s="133"/>
    </row>
  </sheetData>
  <mergeCells count="7">
    <mergeCell ref="D31:E32"/>
    <mergeCell ref="D2:L5"/>
    <mergeCell ref="B2:C5"/>
    <mergeCell ref="M2:N2"/>
    <mergeCell ref="M3:N3"/>
    <mergeCell ref="M4:N4"/>
    <mergeCell ref="M5:N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26783C"/>
    <pageSetUpPr fitToPage="1"/>
  </sheetPr>
  <dimension ref="A1:F25"/>
  <sheetViews>
    <sheetView workbookViewId="0">
      <selection activeCell="G7" sqref="G7"/>
    </sheetView>
  </sheetViews>
  <sheetFormatPr defaultColWidth="11.42578125" defaultRowHeight="14.45"/>
  <cols>
    <col min="1" max="1" width="10.28515625" style="116" customWidth="1"/>
    <col min="2" max="2" width="32.42578125" style="116" customWidth="1"/>
    <col min="3" max="3" width="77" style="116" customWidth="1"/>
    <col min="4" max="4" width="21" style="116" customWidth="1"/>
    <col min="5" max="5" width="23.7109375" style="116" customWidth="1"/>
    <col min="6" max="16384" width="11.42578125" style="116"/>
  </cols>
  <sheetData>
    <row r="1" spans="1:6" ht="7.9" customHeight="1"/>
    <row r="2" spans="1:6" ht="15.75" customHeight="1">
      <c r="B2" s="536" t="s">
        <v>346</v>
      </c>
      <c r="C2" s="539" t="s">
        <v>1</v>
      </c>
      <c r="D2" s="328"/>
      <c r="E2" s="206" t="s">
        <v>2</v>
      </c>
      <c r="F2" s="117"/>
    </row>
    <row r="3" spans="1:6" ht="15.75" customHeight="1">
      <c r="B3" s="537"/>
      <c r="C3" s="540"/>
      <c r="D3" s="331"/>
      <c r="E3" s="207" t="s">
        <v>3</v>
      </c>
      <c r="F3" s="117"/>
    </row>
    <row r="4" spans="1:6" ht="16.5" customHeight="1">
      <c r="B4" s="537"/>
      <c r="C4" s="540"/>
      <c r="D4" s="331"/>
      <c r="E4" s="207" t="s">
        <v>4</v>
      </c>
      <c r="F4" s="117"/>
    </row>
    <row r="5" spans="1:6" ht="15" customHeight="1">
      <c r="B5" s="538"/>
      <c r="C5" s="541"/>
      <c r="D5" s="334"/>
      <c r="E5" s="208" t="s">
        <v>5</v>
      </c>
      <c r="F5" s="117"/>
    </row>
    <row r="7" spans="1:6">
      <c r="A7" s="542" t="s">
        <v>9</v>
      </c>
      <c r="B7" s="134" t="s">
        <v>347</v>
      </c>
      <c r="C7" s="135" t="s">
        <v>348</v>
      </c>
      <c r="D7" s="135" t="s">
        <v>349</v>
      </c>
      <c r="E7" s="135" t="s">
        <v>350</v>
      </c>
    </row>
    <row r="8" spans="1:6" ht="27.95">
      <c r="A8" s="542"/>
      <c r="B8" s="118">
        <v>45687</v>
      </c>
      <c r="C8" s="203" t="s">
        <v>351</v>
      </c>
      <c r="D8" s="120" t="s">
        <v>352</v>
      </c>
      <c r="E8" s="120" t="s">
        <v>353</v>
      </c>
    </row>
    <row r="9" spans="1:6" ht="161.44999999999999" customHeight="1">
      <c r="A9" s="542"/>
      <c r="B9" s="118">
        <v>45777</v>
      </c>
      <c r="C9" s="203" t="s">
        <v>354</v>
      </c>
      <c r="D9" s="120" t="s">
        <v>352</v>
      </c>
      <c r="E9" s="120" t="s">
        <v>353</v>
      </c>
    </row>
    <row r="10" spans="1:6">
      <c r="A10" s="542"/>
      <c r="B10" s="118"/>
      <c r="C10" s="119"/>
      <c r="D10" s="120"/>
      <c r="E10" s="120"/>
    </row>
    <row r="11" spans="1:6">
      <c r="A11" s="542"/>
      <c r="B11" s="118"/>
      <c r="C11" s="119"/>
      <c r="D11" s="120"/>
      <c r="E11" s="120"/>
    </row>
    <row r="12" spans="1:6">
      <c r="A12" s="542"/>
      <c r="B12" s="118"/>
      <c r="C12" s="119"/>
      <c r="D12" s="120"/>
      <c r="E12" s="120"/>
    </row>
    <row r="13" spans="1:6">
      <c r="A13" s="136"/>
      <c r="B13" s="118"/>
      <c r="C13" s="119"/>
      <c r="D13" s="120"/>
      <c r="E13" s="120"/>
    </row>
    <row r="14" spans="1:6">
      <c r="A14" s="136"/>
      <c r="B14" s="118"/>
      <c r="C14" s="119"/>
      <c r="D14" s="120"/>
      <c r="E14" s="120"/>
    </row>
    <row r="15" spans="1:6">
      <c r="A15" s="136"/>
      <c r="B15" s="118"/>
      <c r="C15" s="119"/>
      <c r="D15" s="120"/>
      <c r="E15" s="120"/>
    </row>
    <row r="16" spans="1:6">
      <c r="A16" s="136"/>
      <c r="B16" s="118"/>
      <c r="C16" s="119"/>
      <c r="D16" s="120"/>
      <c r="E16" s="120"/>
    </row>
    <row r="17" spans="1:5">
      <c r="A17" s="136"/>
      <c r="B17" s="118"/>
      <c r="C17" s="119"/>
      <c r="D17" s="120"/>
      <c r="E17" s="120"/>
    </row>
    <row r="18" spans="1:5">
      <c r="A18" s="136"/>
      <c r="B18" s="118"/>
      <c r="C18" s="119"/>
      <c r="D18" s="120"/>
      <c r="E18" s="120"/>
    </row>
    <row r="19" spans="1:5">
      <c r="B19" s="118"/>
      <c r="C19" s="121"/>
      <c r="D19" s="120"/>
      <c r="E19" s="120"/>
    </row>
    <row r="20" spans="1:5">
      <c r="B20" s="118"/>
      <c r="C20" s="119"/>
      <c r="D20" s="120"/>
      <c r="E20" s="120"/>
    </row>
    <row r="25" spans="1:5">
      <c r="C25" s="122"/>
    </row>
  </sheetData>
  <mergeCells count="3">
    <mergeCell ref="B2:B5"/>
    <mergeCell ref="C2:D5"/>
    <mergeCell ref="A7:A12"/>
  </mergeCells>
  <pageMargins left="0.7" right="0.7" top="0.75" bottom="0.75" header="0.3" footer="0.3"/>
  <pageSetup scale="6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
  <sheetViews>
    <sheetView workbookViewId="0">
      <selection activeCell="C28" sqref="C28"/>
    </sheetView>
  </sheetViews>
  <sheetFormatPr defaultColWidth="11.42578125" defaultRowHeight="14.4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1:J45"/>
  <sheetViews>
    <sheetView topLeftCell="C11" zoomScale="115" zoomScaleNormal="115" workbookViewId="0">
      <selection activeCell="E22" sqref="E22:F22"/>
    </sheetView>
  </sheetViews>
  <sheetFormatPr defaultColWidth="11.42578125" defaultRowHeight="14.45"/>
  <cols>
    <col min="1" max="1" width="2.7109375" style="68" customWidth="1"/>
    <col min="2" max="3" width="24.7109375" style="68" customWidth="1"/>
    <col min="4" max="4" width="16" style="68" customWidth="1"/>
    <col min="5" max="5" width="24.7109375" style="68" customWidth="1"/>
    <col min="6" max="6" width="27.7109375" style="68" customWidth="1"/>
    <col min="7" max="8" width="24.7109375" style="68" customWidth="1"/>
    <col min="9" max="10" width="11.42578125" style="142"/>
    <col min="11" max="16384" width="11.42578125" style="68"/>
  </cols>
  <sheetData>
    <row r="1" spans="2:10" ht="15" thickBot="1"/>
    <row r="2" spans="2:10" ht="18" customHeight="1">
      <c r="B2" s="543" t="s">
        <v>355</v>
      </c>
      <c r="C2" s="544"/>
      <c r="D2" s="544"/>
      <c r="E2" s="544"/>
      <c r="F2" s="544"/>
      <c r="G2" s="544"/>
      <c r="H2" s="545"/>
      <c r="J2" s="143" t="s">
        <v>17</v>
      </c>
    </row>
    <row r="3" spans="2:10" ht="20.100000000000001">
      <c r="B3" s="69"/>
      <c r="C3" s="70"/>
      <c r="D3" s="70"/>
      <c r="E3" s="70"/>
      <c r="F3" s="70"/>
      <c r="G3" s="70"/>
      <c r="H3" s="71"/>
      <c r="J3" s="143"/>
    </row>
    <row r="4" spans="2:10" ht="63" customHeight="1">
      <c r="B4" s="546" t="s">
        <v>356</v>
      </c>
      <c r="C4" s="547"/>
      <c r="D4" s="547"/>
      <c r="E4" s="547"/>
      <c r="F4" s="547"/>
      <c r="G4" s="547"/>
      <c r="H4" s="548"/>
    </row>
    <row r="5" spans="2:10" ht="63" customHeight="1">
      <c r="B5" s="549"/>
      <c r="C5" s="550"/>
      <c r="D5" s="550"/>
      <c r="E5" s="550"/>
      <c r="F5" s="550"/>
      <c r="G5" s="550"/>
      <c r="H5" s="551"/>
    </row>
    <row r="6" spans="2:10">
      <c r="B6" s="552" t="s">
        <v>357</v>
      </c>
      <c r="C6" s="553"/>
      <c r="D6" s="553"/>
      <c r="E6" s="553"/>
      <c r="F6" s="553"/>
      <c r="G6" s="553"/>
      <c r="H6" s="554"/>
    </row>
    <row r="7" spans="2:10" ht="95.25" customHeight="1">
      <c r="B7" s="562" t="s">
        <v>358</v>
      </c>
      <c r="C7" s="563"/>
      <c r="D7" s="563"/>
      <c r="E7" s="563"/>
      <c r="F7" s="563"/>
      <c r="G7" s="563"/>
      <c r="H7" s="564"/>
    </row>
    <row r="8" spans="2:10">
      <c r="B8" s="101"/>
      <c r="C8" s="102"/>
      <c r="D8" s="102"/>
      <c r="E8" s="102"/>
      <c r="F8" s="102"/>
      <c r="G8" s="102"/>
      <c r="H8" s="103"/>
    </row>
    <row r="9" spans="2:10" ht="16.5" customHeight="1">
      <c r="B9" s="555" t="s">
        <v>359</v>
      </c>
      <c r="C9" s="556"/>
      <c r="D9" s="556"/>
      <c r="E9" s="556"/>
      <c r="F9" s="556"/>
      <c r="G9" s="556"/>
      <c r="H9" s="557"/>
    </row>
    <row r="10" spans="2:10" ht="74.099999999999994" customHeight="1">
      <c r="B10" s="555"/>
      <c r="C10" s="556"/>
      <c r="D10" s="556"/>
      <c r="E10" s="556"/>
      <c r="F10" s="556"/>
      <c r="G10" s="556"/>
      <c r="H10" s="557"/>
    </row>
    <row r="11" spans="2:10" ht="15" thickBot="1">
      <c r="B11" s="90"/>
      <c r="C11" s="93"/>
      <c r="D11" s="98"/>
      <c r="E11" s="99"/>
      <c r="F11" s="99"/>
      <c r="G11" s="100"/>
      <c r="H11" s="94"/>
    </row>
    <row r="12" spans="2:10" ht="15" thickTop="1">
      <c r="B12" s="90"/>
      <c r="C12" s="558" t="s">
        <v>360</v>
      </c>
      <c r="D12" s="559"/>
      <c r="E12" s="560" t="s">
        <v>361</v>
      </c>
      <c r="F12" s="561"/>
      <c r="G12" s="93"/>
      <c r="H12" s="94"/>
    </row>
    <row r="13" spans="2:10" ht="35.25" customHeight="1">
      <c r="B13" s="90"/>
      <c r="C13" s="565" t="s">
        <v>362</v>
      </c>
      <c r="D13" s="566"/>
      <c r="E13" s="567" t="s">
        <v>363</v>
      </c>
      <c r="F13" s="568"/>
      <c r="G13" s="93"/>
      <c r="H13" s="94"/>
    </row>
    <row r="14" spans="2:10" ht="17.25" customHeight="1">
      <c r="B14" s="90"/>
      <c r="C14" s="565" t="s">
        <v>364</v>
      </c>
      <c r="D14" s="566"/>
      <c r="E14" s="567" t="s">
        <v>365</v>
      </c>
      <c r="F14" s="568"/>
      <c r="G14" s="93"/>
      <c r="H14" s="94"/>
    </row>
    <row r="15" spans="2:10" ht="19.5" customHeight="1">
      <c r="B15" s="90"/>
      <c r="C15" s="565" t="s">
        <v>366</v>
      </c>
      <c r="D15" s="566"/>
      <c r="E15" s="567" t="s">
        <v>367</v>
      </c>
      <c r="F15" s="568"/>
      <c r="G15" s="93"/>
      <c r="H15" s="94"/>
    </row>
    <row r="16" spans="2:10" ht="69.75" customHeight="1">
      <c r="B16" s="90"/>
      <c r="C16" s="565" t="s">
        <v>368</v>
      </c>
      <c r="D16" s="566"/>
      <c r="E16" s="567" t="s">
        <v>369</v>
      </c>
      <c r="F16" s="568"/>
      <c r="G16" s="93"/>
      <c r="H16" s="94"/>
    </row>
    <row r="17" spans="2:8" ht="34.5" customHeight="1">
      <c r="B17" s="90"/>
      <c r="C17" s="569" t="s">
        <v>60</v>
      </c>
      <c r="D17" s="570"/>
      <c r="E17" s="571" t="s">
        <v>370</v>
      </c>
      <c r="F17" s="572"/>
      <c r="G17" s="93"/>
      <c r="H17" s="94"/>
    </row>
    <row r="18" spans="2:8" ht="27.75" customHeight="1">
      <c r="B18" s="90"/>
      <c r="C18" s="569" t="s">
        <v>371</v>
      </c>
      <c r="D18" s="570"/>
      <c r="E18" s="571" t="s">
        <v>372</v>
      </c>
      <c r="F18" s="572"/>
      <c r="G18" s="93"/>
      <c r="H18" s="94"/>
    </row>
    <row r="19" spans="2:8" ht="28.5" customHeight="1">
      <c r="B19" s="90"/>
      <c r="C19" s="569" t="s">
        <v>373</v>
      </c>
      <c r="D19" s="570"/>
      <c r="E19" s="571" t="s">
        <v>374</v>
      </c>
      <c r="F19" s="572"/>
      <c r="G19" s="93"/>
      <c r="H19" s="94"/>
    </row>
    <row r="20" spans="2:8" ht="72.75" customHeight="1">
      <c r="B20" s="90"/>
      <c r="C20" s="569" t="s">
        <v>375</v>
      </c>
      <c r="D20" s="570"/>
      <c r="E20" s="571" t="s">
        <v>376</v>
      </c>
      <c r="F20" s="572"/>
      <c r="G20" s="93"/>
      <c r="H20" s="94"/>
    </row>
    <row r="21" spans="2:8" ht="64.5" customHeight="1">
      <c r="B21" s="90"/>
      <c r="C21" s="569" t="s">
        <v>66</v>
      </c>
      <c r="D21" s="570"/>
      <c r="E21" s="571" t="s">
        <v>377</v>
      </c>
      <c r="F21" s="572"/>
      <c r="G21" s="93"/>
      <c r="H21" s="94"/>
    </row>
    <row r="22" spans="2:8" ht="71.25" customHeight="1">
      <c r="B22" s="90"/>
      <c r="C22" s="569" t="s">
        <v>378</v>
      </c>
      <c r="D22" s="570"/>
      <c r="E22" s="571" t="s">
        <v>379</v>
      </c>
      <c r="F22" s="572"/>
      <c r="G22" s="93"/>
      <c r="H22" s="94"/>
    </row>
    <row r="23" spans="2:8" ht="55.5" customHeight="1">
      <c r="B23" s="90"/>
      <c r="C23" s="576" t="s">
        <v>380</v>
      </c>
      <c r="D23" s="577"/>
      <c r="E23" s="571" t="s">
        <v>381</v>
      </c>
      <c r="F23" s="572"/>
      <c r="G23" s="93"/>
      <c r="H23" s="94"/>
    </row>
    <row r="24" spans="2:8" ht="42" customHeight="1">
      <c r="B24" s="90"/>
      <c r="C24" s="576" t="s">
        <v>73</v>
      </c>
      <c r="D24" s="577"/>
      <c r="E24" s="571" t="s">
        <v>382</v>
      </c>
      <c r="F24" s="572"/>
      <c r="G24" s="93"/>
      <c r="H24" s="94"/>
    </row>
    <row r="25" spans="2:8" ht="59.25" customHeight="1">
      <c r="B25" s="90"/>
      <c r="C25" s="576" t="s">
        <v>383</v>
      </c>
      <c r="D25" s="577"/>
      <c r="E25" s="571" t="s">
        <v>384</v>
      </c>
      <c r="F25" s="572"/>
      <c r="G25" s="93"/>
      <c r="H25" s="94"/>
    </row>
    <row r="26" spans="2:8" ht="23.25" customHeight="1">
      <c r="B26" s="90"/>
      <c r="C26" s="576" t="s">
        <v>77</v>
      </c>
      <c r="D26" s="577"/>
      <c r="E26" s="571" t="s">
        <v>385</v>
      </c>
      <c r="F26" s="572"/>
      <c r="G26" s="93"/>
      <c r="H26" s="94"/>
    </row>
    <row r="27" spans="2:8" ht="30.75" customHeight="1">
      <c r="B27" s="90"/>
      <c r="C27" s="576" t="s">
        <v>386</v>
      </c>
      <c r="D27" s="577"/>
      <c r="E27" s="571" t="s">
        <v>387</v>
      </c>
      <c r="F27" s="572"/>
      <c r="G27" s="93"/>
      <c r="H27" s="94"/>
    </row>
    <row r="28" spans="2:8" ht="35.25" customHeight="1">
      <c r="B28" s="90"/>
      <c r="C28" s="576" t="s">
        <v>388</v>
      </c>
      <c r="D28" s="577"/>
      <c r="E28" s="571" t="s">
        <v>389</v>
      </c>
      <c r="F28" s="572"/>
      <c r="G28" s="93"/>
      <c r="H28" s="94"/>
    </row>
    <row r="29" spans="2:8" ht="33" customHeight="1">
      <c r="B29" s="90"/>
      <c r="C29" s="576" t="s">
        <v>388</v>
      </c>
      <c r="D29" s="577"/>
      <c r="E29" s="571" t="s">
        <v>389</v>
      </c>
      <c r="F29" s="572"/>
      <c r="G29" s="93"/>
      <c r="H29" s="94"/>
    </row>
    <row r="30" spans="2:8" ht="30" customHeight="1">
      <c r="B30" s="90"/>
      <c r="C30" s="576" t="s">
        <v>390</v>
      </c>
      <c r="D30" s="577"/>
      <c r="E30" s="571" t="s">
        <v>391</v>
      </c>
      <c r="F30" s="572"/>
      <c r="G30" s="93"/>
      <c r="H30" s="94"/>
    </row>
    <row r="31" spans="2:8" ht="35.25" customHeight="1">
      <c r="B31" s="90"/>
      <c r="C31" s="576" t="s">
        <v>392</v>
      </c>
      <c r="D31" s="577"/>
      <c r="E31" s="571" t="s">
        <v>393</v>
      </c>
      <c r="F31" s="572"/>
      <c r="G31" s="93"/>
      <c r="H31" s="94"/>
    </row>
    <row r="32" spans="2:8" ht="31.5" customHeight="1">
      <c r="B32" s="90"/>
      <c r="C32" s="576" t="s">
        <v>394</v>
      </c>
      <c r="D32" s="577"/>
      <c r="E32" s="571" t="s">
        <v>395</v>
      </c>
      <c r="F32" s="572"/>
      <c r="G32" s="93"/>
      <c r="H32" s="94"/>
    </row>
    <row r="33" spans="2:8" ht="35.25" customHeight="1">
      <c r="B33" s="90"/>
      <c r="C33" s="576" t="s">
        <v>396</v>
      </c>
      <c r="D33" s="577"/>
      <c r="E33" s="571" t="s">
        <v>397</v>
      </c>
      <c r="F33" s="572"/>
      <c r="G33" s="93"/>
      <c r="H33" s="94"/>
    </row>
    <row r="34" spans="2:8" ht="59.25" customHeight="1">
      <c r="B34" s="90"/>
      <c r="C34" s="576" t="s">
        <v>398</v>
      </c>
      <c r="D34" s="577"/>
      <c r="E34" s="571" t="s">
        <v>399</v>
      </c>
      <c r="F34" s="572"/>
      <c r="G34" s="93"/>
      <c r="H34" s="94"/>
    </row>
    <row r="35" spans="2:8" ht="29.25" customHeight="1">
      <c r="B35" s="90"/>
      <c r="C35" s="576" t="s">
        <v>83</v>
      </c>
      <c r="D35" s="577"/>
      <c r="E35" s="571" t="s">
        <v>400</v>
      </c>
      <c r="F35" s="572"/>
      <c r="G35" s="93"/>
      <c r="H35" s="94"/>
    </row>
    <row r="36" spans="2:8" ht="82.5" customHeight="1">
      <c r="B36" s="90"/>
      <c r="C36" s="576" t="s">
        <v>401</v>
      </c>
      <c r="D36" s="577"/>
      <c r="E36" s="571" t="s">
        <v>402</v>
      </c>
      <c r="F36" s="572"/>
      <c r="G36" s="93"/>
      <c r="H36" s="94"/>
    </row>
    <row r="37" spans="2:8" ht="46.5" customHeight="1">
      <c r="B37" s="90"/>
      <c r="C37" s="576" t="s">
        <v>403</v>
      </c>
      <c r="D37" s="577"/>
      <c r="E37" s="571" t="s">
        <v>404</v>
      </c>
      <c r="F37" s="572"/>
      <c r="G37" s="93"/>
      <c r="H37" s="94"/>
    </row>
    <row r="38" spans="2:8" ht="6.75" customHeight="1" thickBot="1">
      <c r="B38" s="90"/>
      <c r="C38" s="578"/>
      <c r="D38" s="579"/>
      <c r="E38" s="580"/>
      <c r="F38" s="581"/>
      <c r="G38" s="93"/>
      <c r="H38" s="94"/>
    </row>
    <row r="39" spans="2:8" ht="15" thickTop="1">
      <c r="B39" s="90"/>
      <c r="C39" s="91"/>
      <c r="D39" s="91"/>
      <c r="E39" s="92"/>
      <c r="F39" s="92"/>
      <c r="G39" s="93"/>
      <c r="H39" s="94"/>
    </row>
    <row r="40" spans="2:8" ht="21" customHeight="1">
      <c r="B40" s="573" t="s">
        <v>405</v>
      </c>
      <c r="C40" s="574"/>
      <c r="D40" s="574"/>
      <c r="E40" s="574"/>
      <c r="F40" s="574"/>
      <c r="G40" s="574"/>
      <c r="H40" s="575"/>
    </row>
    <row r="41" spans="2:8" ht="20.25" customHeight="1">
      <c r="B41" s="573" t="s">
        <v>406</v>
      </c>
      <c r="C41" s="574"/>
      <c r="D41" s="574"/>
      <c r="E41" s="574"/>
      <c r="F41" s="574"/>
      <c r="G41" s="574"/>
      <c r="H41" s="575"/>
    </row>
    <row r="42" spans="2:8" ht="20.25" customHeight="1">
      <c r="B42" s="573" t="s">
        <v>407</v>
      </c>
      <c r="C42" s="574"/>
      <c r="D42" s="574"/>
      <c r="E42" s="574"/>
      <c r="F42" s="574"/>
      <c r="G42" s="574"/>
      <c r="H42" s="575"/>
    </row>
    <row r="43" spans="2:8" ht="20.25" customHeight="1">
      <c r="B43" s="573" t="s">
        <v>408</v>
      </c>
      <c r="C43" s="574"/>
      <c r="D43" s="574"/>
      <c r="E43" s="574"/>
      <c r="F43" s="574"/>
      <c r="G43" s="574"/>
      <c r="H43" s="575"/>
    </row>
    <row r="44" spans="2:8" ht="15" customHeight="1">
      <c r="B44" s="573" t="s">
        <v>409</v>
      </c>
      <c r="C44" s="574"/>
      <c r="D44" s="574"/>
      <c r="E44" s="574"/>
      <c r="F44" s="574"/>
      <c r="G44" s="574"/>
      <c r="H44" s="575"/>
    </row>
    <row r="45" spans="2:8" ht="15" thickBot="1">
      <c r="B45" s="95"/>
      <c r="C45" s="96"/>
      <c r="D45" s="96"/>
      <c r="E45" s="96"/>
      <c r="F45" s="96"/>
      <c r="G45" s="96"/>
      <c r="H45" s="97"/>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
  <sheetViews>
    <sheetView workbookViewId="0">
      <selection activeCell="A2" sqref="A2"/>
    </sheetView>
  </sheetViews>
  <sheetFormatPr defaultColWidth="11.42578125" defaultRowHeight="14.4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D9"/>
  <sheetViews>
    <sheetView workbookViewId="0">
      <selection activeCell="K15" sqref="K15"/>
    </sheetView>
  </sheetViews>
  <sheetFormatPr defaultColWidth="11.42578125" defaultRowHeight="14.45"/>
  <sheetData>
    <row r="1" spans="1:4">
      <c r="A1" t="s">
        <v>410</v>
      </c>
      <c r="B1" t="s">
        <v>62</v>
      </c>
      <c r="C1" t="s">
        <v>236</v>
      </c>
      <c r="D1" t="s">
        <v>237</v>
      </c>
    </row>
    <row r="2" spans="1:4">
      <c r="A2" t="s">
        <v>411</v>
      </c>
      <c r="B2" t="s">
        <v>240</v>
      </c>
      <c r="C2" t="s">
        <v>114</v>
      </c>
      <c r="D2" t="s">
        <v>138</v>
      </c>
    </row>
    <row r="3" spans="1:4">
      <c r="A3" t="s">
        <v>186</v>
      </c>
      <c r="B3" t="s">
        <v>248</v>
      </c>
      <c r="C3" t="s">
        <v>137</v>
      </c>
      <c r="D3" t="s">
        <v>115</v>
      </c>
    </row>
    <row r="4" spans="1:4">
      <c r="A4" t="s">
        <v>412</v>
      </c>
      <c r="B4" t="s">
        <v>259</v>
      </c>
      <c r="C4" t="s">
        <v>155</v>
      </c>
      <c r="D4" t="s">
        <v>260</v>
      </c>
    </row>
    <row r="5" spans="1:4">
      <c r="A5" t="s">
        <v>248</v>
      </c>
      <c r="B5" t="s">
        <v>187</v>
      </c>
      <c r="C5" t="s">
        <v>413</v>
      </c>
      <c r="D5" t="s">
        <v>163</v>
      </c>
    </row>
    <row r="6" spans="1:4">
      <c r="A6" t="s">
        <v>107</v>
      </c>
      <c r="B6" t="s">
        <v>268</v>
      </c>
      <c r="C6" t="s">
        <v>163</v>
      </c>
    </row>
    <row r="7" spans="1:4">
      <c r="A7" t="s">
        <v>414</v>
      </c>
      <c r="B7" t="s">
        <v>109</v>
      </c>
    </row>
    <row r="8" spans="1:4">
      <c r="A8" t="s">
        <v>415</v>
      </c>
    </row>
    <row r="9" spans="1:4">
      <c r="A9" t="s">
        <v>416</v>
      </c>
    </row>
  </sheetData>
  <sheetProtection algorithmName="SHA-512" hashValue="v7i/xahZG2C7t5BslLITKnVU2aeqZ2qUUc7D3ggQN7269OWOf4ZVULOvpishKqJW79vwiv5Gp2BFg470cY4dqQ==" saltValue="yCXLobWCYjK/kLc7JEpQfQ=="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
  <sheetViews>
    <sheetView workbookViewId="0"/>
  </sheetViews>
  <sheetFormatPr defaultColWidth="11.42578125" defaultRowHeight="14.4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1:L27"/>
  <sheetViews>
    <sheetView showGridLines="0" view="pageBreakPreview" zoomScaleNormal="100" zoomScaleSheetLayoutView="100" workbookViewId="0">
      <selection activeCell="M16" sqref="M16"/>
    </sheetView>
  </sheetViews>
  <sheetFormatPr defaultColWidth="11.42578125" defaultRowHeight="14.45"/>
  <cols>
    <col min="1" max="1" width="2.5703125" style="68" customWidth="1"/>
    <col min="2" max="2" width="33.28515625" style="68" customWidth="1"/>
    <col min="3" max="4" width="11.42578125" style="68"/>
    <col min="5" max="5" width="5.7109375" style="68" customWidth="1"/>
    <col min="6" max="6" width="16.28515625" style="68" customWidth="1"/>
    <col min="7" max="7" width="11.42578125" style="68"/>
    <col min="8" max="8" width="13.7109375" style="68" customWidth="1"/>
    <col min="9" max="9" width="14.28515625" style="68" customWidth="1"/>
    <col min="10" max="10" width="14.7109375" style="68" customWidth="1"/>
    <col min="11" max="11" width="7.5703125" style="68" customWidth="1"/>
    <col min="12" max="12" width="2.28515625" style="68" customWidth="1"/>
    <col min="13" max="16384" width="11.42578125" style="68"/>
  </cols>
  <sheetData>
    <row r="1" spans="2:11" ht="6" customHeight="1" thickBot="1"/>
    <row r="2" spans="2:11" ht="15" customHeight="1">
      <c r="B2" s="582" t="s">
        <v>326</v>
      </c>
      <c r="C2" s="585" t="s">
        <v>1</v>
      </c>
      <c r="D2" s="586"/>
      <c r="E2" s="586"/>
      <c r="F2" s="586"/>
      <c r="G2" s="586"/>
      <c r="H2" s="586"/>
      <c r="I2" s="586"/>
      <c r="J2" s="369" t="s">
        <v>327</v>
      </c>
      <c r="K2" s="343"/>
    </row>
    <row r="3" spans="2:11" ht="15" customHeight="1">
      <c r="B3" s="583"/>
      <c r="C3" s="587"/>
      <c r="D3" s="588"/>
      <c r="E3" s="588"/>
      <c r="F3" s="588"/>
      <c r="G3" s="588"/>
      <c r="H3" s="588"/>
      <c r="I3" s="588"/>
      <c r="J3" s="370" t="s">
        <v>417</v>
      </c>
      <c r="K3" s="345"/>
    </row>
    <row r="4" spans="2:11" ht="15" customHeight="1">
      <c r="B4" s="583"/>
      <c r="C4" s="587"/>
      <c r="D4" s="588"/>
      <c r="E4" s="588"/>
      <c r="F4" s="588"/>
      <c r="G4" s="588"/>
      <c r="H4" s="588"/>
      <c r="I4" s="588"/>
      <c r="J4" s="370" t="s">
        <v>328</v>
      </c>
      <c r="K4" s="345" t="s">
        <v>328</v>
      </c>
    </row>
    <row r="5" spans="2:11" ht="15" customHeight="1" thickBot="1">
      <c r="B5" s="584"/>
      <c r="C5" s="589"/>
      <c r="D5" s="590"/>
      <c r="E5" s="590"/>
      <c r="F5" s="590"/>
      <c r="G5" s="590"/>
      <c r="H5" s="590"/>
      <c r="I5" s="590"/>
      <c r="J5" s="371" t="s">
        <v>5</v>
      </c>
      <c r="K5" s="347" t="s">
        <v>5</v>
      </c>
    </row>
    <row r="6" spans="2:11" ht="15" thickBot="1"/>
    <row r="7" spans="2:11" customFormat="1" ht="15" thickBot="1">
      <c r="B7" s="591" t="s">
        <v>347</v>
      </c>
      <c r="C7" s="592"/>
      <c r="D7" s="593" t="s">
        <v>418</v>
      </c>
      <c r="E7" s="594"/>
      <c r="F7" s="593" t="s">
        <v>419</v>
      </c>
      <c r="G7" s="595"/>
      <c r="H7" s="595"/>
      <c r="I7" s="595"/>
      <c r="J7" s="595"/>
      <c r="K7" s="596"/>
    </row>
    <row r="8" spans="2:11" customFormat="1" ht="18" customHeight="1" thickBot="1">
      <c r="B8" s="597"/>
      <c r="C8" s="598"/>
      <c r="D8" s="599">
        <v>1</v>
      </c>
      <c r="E8" s="600"/>
      <c r="F8" s="601"/>
      <c r="G8" s="601"/>
      <c r="H8" s="601"/>
      <c r="I8" s="601"/>
      <c r="J8" s="601"/>
      <c r="K8" s="602"/>
    </row>
    <row r="9" spans="2:11" customFormat="1" ht="18" customHeight="1" thickBot="1">
      <c r="B9" s="597"/>
      <c r="C9" s="598"/>
      <c r="D9" s="599">
        <v>2</v>
      </c>
      <c r="E9" s="600"/>
      <c r="F9" s="601"/>
      <c r="G9" s="601"/>
      <c r="H9" s="601"/>
      <c r="I9" s="601"/>
      <c r="J9" s="601"/>
      <c r="K9" s="602"/>
    </row>
    <row r="10" spans="2:11" customFormat="1" ht="18" customHeight="1" thickBot="1">
      <c r="B10" s="597"/>
      <c r="C10" s="598"/>
      <c r="D10" s="599">
        <v>3</v>
      </c>
      <c r="E10" s="600"/>
      <c r="F10" s="601"/>
      <c r="G10" s="601"/>
      <c r="H10" s="601"/>
      <c r="I10" s="601"/>
      <c r="J10" s="601"/>
      <c r="K10" s="602"/>
    </row>
    <row r="11" spans="2:11" customFormat="1" ht="18" customHeight="1" thickBot="1">
      <c r="B11" s="597"/>
      <c r="C11" s="598"/>
      <c r="D11" s="599">
        <v>4</v>
      </c>
      <c r="E11" s="600"/>
      <c r="F11" s="601"/>
      <c r="G11" s="601"/>
      <c r="H11" s="601"/>
      <c r="I11" s="601"/>
      <c r="J11" s="601"/>
      <c r="K11" s="602"/>
    </row>
    <row r="12" spans="2:11" customFormat="1" ht="18" customHeight="1" thickBot="1">
      <c r="B12" s="597"/>
      <c r="C12" s="598"/>
      <c r="D12" s="599">
        <v>5</v>
      </c>
      <c r="E12" s="600"/>
      <c r="F12" s="601"/>
      <c r="G12" s="601"/>
      <c r="H12" s="601"/>
      <c r="I12" s="601"/>
      <c r="J12" s="601"/>
      <c r="K12" s="602"/>
    </row>
    <row r="13" spans="2:11" customFormat="1" ht="18" customHeight="1" thickBot="1">
      <c r="B13" s="597"/>
      <c r="C13" s="598"/>
      <c r="D13" s="599">
        <v>6</v>
      </c>
      <c r="E13" s="600"/>
      <c r="F13" s="601"/>
      <c r="G13" s="601"/>
      <c r="H13" s="601"/>
      <c r="I13" s="601"/>
      <c r="J13" s="601"/>
      <c r="K13" s="602"/>
    </row>
    <row r="14" spans="2:11" customFormat="1" ht="18" customHeight="1" thickBot="1">
      <c r="B14" s="597"/>
      <c r="C14" s="598"/>
      <c r="D14" s="599">
        <v>7</v>
      </c>
      <c r="E14" s="600"/>
      <c r="F14" s="601"/>
      <c r="G14" s="601"/>
      <c r="H14" s="601"/>
      <c r="I14" s="601"/>
      <c r="J14" s="601"/>
      <c r="K14" s="602"/>
    </row>
    <row r="15" spans="2:11" customFormat="1" ht="18" customHeight="1">
      <c r="B15" s="597">
        <v>45352</v>
      </c>
      <c r="C15" s="598"/>
      <c r="D15" s="599">
        <v>8</v>
      </c>
      <c r="E15" s="600"/>
      <c r="F15" s="601" t="s">
        <v>420</v>
      </c>
      <c r="G15" s="601"/>
      <c r="H15" s="601"/>
      <c r="I15" s="601"/>
      <c r="J15" s="601"/>
      <c r="K15" s="602"/>
    </row>
    <row r="16" spans="2:11" customFormat="1" ht="150.75" customHeight="1">
      <c r="B16" s="597" t="s">
        <v>421</v>
      </c>
      <c r="C16" s="598"/>
      <c r="D16" s="599">
        <v>9</v>
      </c>
      <c r="E16" s="600"/>
      <c r="F16" s="601" t="s">
        <v>422</v>
      </c>
      <c r="G16" s="601"/>
      <c r="H16" s="601"/>
      <c r="I16" s="601"/>
      <c r="J16" s="601"/>
      <c r="K16" s="602"/>
    </row>
    <row r="17" spans="2:12" customFormat="1" ht="15.75" customHeight="1">
      <c r="B17" s="603"/>
      <c r="C17" s="603"/>
      <c r="D17" s="603"/>
      <c r="E17" s="603"/>
      <c r="F17" s="603"/>
      <c r="G17" s="603"/>
      <c r="H17" s="603"/>
      <c r="I17" s="603"/>
      <c r="J17" s="603"/>
      <c r="K17" s="603"/>
    </row>
    <row r="18" spans="2:12" customFormat="1" ht="15.75" customHeight="1" thickBot="1">
      <c r="B18" s="604" t="s">
        <v>423</v>
      </c>
      <c r="C18" s="605"/>
      <c r="D18" s="605"/>
      <c r="E18" s="606"/>
      <c r="F18" s="607" t="s">
        <v>424</v>
      </c>
      <c r="G18" s="608"/>
      <c r="H18" s="609"/>
      <c r="I18" s="610" t="s">
        <v>425</v>
      </c>
      <c r="J18" s="611"/>
      <c r="K18" s="606"/>
    </row>
    <row r="19" spans="2:12" customFormat="1" ht="27" customHeight="1">
      <c r="B19" s="612"/>
      <c r="C19" s="613"/>
      <c r="D19" s="613"/>
      <c r="E19" s="613"/>
      <c r="F19" s="613"/>
      <c r="G19" s="613"/>
      <c r="H19" s="613"/>
      <c r="I19" s="614"/>
      <c r="J19" s="614"/>
      <c r="K19" s="615"/>
    </row>
    <row r="20" spans="2:12" customFormat="1" ht="15" customHeight="1">
      <c r="B20" s="617" t="s">
        <v>426</v>
      </c>
      <c r="C20" s="618"/>
      <c r="D20" s="618"/>
      <c r="E20" s="618"/>
      <c r="F20" s="619" t="s">
        <v>427</v>
      </c>
      <c r="G20" s="619"/>
      <c r="H20" s="620"/>
      <c r="I20" s="619" t="s">
        <v>427</v>
      </c>
      <c r="J20" s="619"/>
      <c r="K20" s="620"/>
    </row>
    <row r="21" spans="2:12" customFormat="1" ht="22.5" customHeight="1" thickBot="1">
      <c r="B21" s="621" t="s">
        <v>428</v>
      </c>
      <c r="C21" s="622"/>
      <c r="D21" s="622"/>
      <c r="E21" s="622"/>
      <c r="F21" s="622" t="s">
        <v>429</v>
      </c>
      <c r="G21" s="622"/>
      <c r="H21" s="623"/>
      <c r="I21" s="622" t="s">
        <v>429</v>
      </c>
      <c r="J21" s="622"/>
      <c r="K21" s="623"/>
    </row>
    <row r="22" spans="2:12" customFormat="1" ht="9" customHeight="1" thickBot="1">
      <c r="B22" s="624"/>
      <c r="C22" s="624"/>
      <c r="D22" s="624"/>
      <c r="E22" s="624"/>
      <c r="F22" s="624"/>
      <c r="G22" s="624"/>
      <c r="H22" s="624"/>
      <c r="I22" s="624"/>
      <c r="J22" s="624"/>
      <c r="K22" s="624"/>
    </row>
    <row r="23" spans="2:12" customFormat="1" ht="15" thickBot="1">
      <c r="B23" s="625" t="s">
        <v>205</v>
      </c>
      <c r="C23" s="626"/>
      <c r="D23" s="627"/>
      <c r="E23" s="123" t="s">
        <v>206</v>
      </c>
      <c r="F23" s="625" t="s">
        <v>207</v>
      </c>
      <c r="G23" s="627"/>
      <c r="H23" s="124" t="s">
        <v>208</v>
      </c>
      <c r="I23" s="625" t="s">
        <v>209</v>
      </c>
      <c r="J23" s="627"/>
      <c r="K23" s="125">
        <v>1</v>
      </c>
    </row>
    <row r="24" spans="2:12" ht="8.25" customHeight="1"/>
    <row r="25" spans="2:12">
      <c r="B25" s="616" t="s">
        <v>430</v>
      </c>
      <c r="C25" s="616"/>
      <c r="D25" s="616"/>
      <c r="E25" s="616"/>
      <c r="F25" s="616"/>
      <c r="G25" s="616"/>
      <c r="H25" s="616"/>
      <c r="I25" s="616"/>
      <c r="J25" s="616"/>
      <c r="K25" s="616"/>
      <c r="L25" s="616"/>
    </row>
    <row r="26" spans="2:12">
      <c r="B26" s="616" t="s">
        <v>431</v>
      </c>
      <c r="C26" s="616"/>
      <c r="D26" s="616"/>
      <c r="E26" s="616"/>
      <c r="F26" s="616"/>
      <c r="G26" s="616"/>
      <c r="H26" s="616"/>
      <c r="I26" s="616"/>
      <c r="J26" s="616"/>
      <c r="K26" s="616"/>
      <c r="L26" s="616"/>
    </row>
    <row r="27" spans="2:12" ht="9" customHeight="1"/>
  </sheetData>
  <mergeCells count="55">
    <mergeCell ref="B16:C16"/>
    <mergeCell ref="D16:E16"/>
    <mergeCell ref="F16:K16"/>
    <mergeCell ref="F11:K11"/>
    <mergeCell ref="B12:C12"/>
    <mergeCell ref="D12:E12"/>
    <mergeCell ref="F12:K12"/>
    <mergeCell ref="B14:C14"/>
    <mergeCell ref="D14:E14"/>
    <mergeCell ref="F14:K14"/>
    <mergeCell ref="D13:E13"/>
    <mergeCell ref="F13:K13"/>
    <mergeCell ref="B11:C11"/>
    <mergeCell ref="D11:E11"/>
    <mergeCell ref="B26:L26"/>
    <mergeCell ref="B20:E20"/>
    <mergeCell ref="F20:H20"/>
    <mergeCell ref="I20:K20"/>
    <mergeCell ref="B21:E21"/>
    <mergeCell ref="F21:H21"/>
    <mergeCell ref="I21:K21"/>
    <mergeCell ref="B22:K22"/>
    <mergeCell ref="B23:D23"/>
    <mergeCell ref="F23:G23"/>
    <mergeCell ref="I23:J23"/>
    <mergeCell ref="B25:L25"/>
    <mergeCell ref="B17:K17"/>
    <mergeCell ref="B18:E18"/>
    <mergeCell ref="F18:H18"/>
    <mergeCell ref="I18:K18"/>
    <mergeCell ref="B19:E19"/>
    <mergeCell ref="F19:H19"/>
    <mergeCell ref="I19:K19"/>
    <mergeCell ref="B7:C7"/>
    <mergeCell ref="D7:E7"/>
    <mergeCell ref="F7:K7"/>
    <mergeCell ref="B15:C15"/>
    <mergeCell ref="D15:E15"/>
    <mergeCell ref="F15:K15"/>
    <mergeCell ref="B8:C8"/>
    <mergeCell ref="D8:E8"/>
    <mergeCell ref="F8:K8"/>
    <mergeCell ref="B13:C13"/>
    <mergeCell ref="B9:C9"/>
    <mergeCell ref="D9:E9"/>
    <mergeCell ref="F9:K9"/>
    <mergeCell ref="B10:C10"/>
    <mergeCell ref="D10:E10"/>
    <mergeCell ref="F10:K10"/>
    <mergeCell ref="B2:B5"/>
    <mergeCell ref="C2:I5"/>
    <mergeCell ref="J2:K2"/>
    <mergeCell ref="J3:K3"/>
    <mergeCell ref="J4:K4"/>
    <mergeCell ref="J5:K5"/>
  </mergeCells>
  <pageMargins left="0.7" right="0.7" top="0.75" bottom="0.75" header="0.3" footer="0.3"/>
  <pageSetup paperSize="9" scale="60"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00B0F0"/>
  </sheetPr>
  <dimension ref="A1:AK55"/>
  <sheetViews>
    <sheetView zoomScale="90" zoomScaleNormal="90" workbookViewId="0">
      <selection activeCell="B8" sqref="B8"/>
    </sheetView>
  </sheetViews>
  <sheetFormatPr defaultColWidth="11.42578125" defaultRowHeight="14.45"/>
  <cols>
    <col min="2" max="2" width="24.28515625" customWidth="1"/>
    <col min="3" max="3" width="70.28515625" customWidth="1"/>
    <col min="4" max="4" width="29.7109375" customWidth="1"/>
  </cols>
  <sheetData>
    <row r="1" spans="1:37" ht="22.5">
      <c r="A1" s="68"/>
      <c r="B1" s="628" t="s">
        <v>432</v>
      </c>
      <c r="C1" s="628"/>
      <c r="D1" s="628"/>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7">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row>
    <row r="3" spans="1:37" ht="24.95">
      <c r="A3" s="68"/>
      <c r="B3" s="3"/>
      <c r="C3" s="4" t="s">
        <v>433</v>
      </c>
      <c r="D3" s="4" t="s">
        <v>330</v>
      </c>
      <c r="E3" s="68"/>
      <c r="F3" s="68"/>
      <c r="G3" s="68"/>
      <c r="H3" s="68"/>
      <c r="I3" s="68"/>
      <c r="J3" s="68"/>
      <c r="K3" s="68"/>
      <c r="L3" s="68"/>
      <c r="M3" s="68"/>
      <c r="N3" s="68"/>
      <c r="O3" s="68"/>
      <c r="P3" s="68"/>
      <c r="Q3" s="68"/>
      <c r="R3" s="68"/>
      <c r="S3" s="68"/>
      <c r="T3" s="68"/>
      <c r="U3" s="68"/>
      <c r="V3" s="68"/>
      <c r="W3" s="68"/>
      <c r="X3" s="68"/>
      <c r="Y3" s="68"/>
      <c r="Z3" s="68"/>
      <c r="AA3" s="68"/>
      <c r="AB3" s="68"/>
      <c r="AC3" s="68"/>
      <c r="AD3" s="68"/>
      <c r="AE3" s="68"/>
    </row>
    <row r="4" spans="1:37" ht="50.1">
      <c r="A4" s="68"/>
      <c r="B4" s="5" t="s">
        <v>434</v>
      </c>
      <c r="C4" s="6" t="s">
        <v>435</v>
      </c>
      <c r="D4" s="7">
        <v>0.2</v>
      </c>
      <c r="E4" s="68"/>
      <c r="F4" s="68"/>
      <c r="G4" s="68"/>
      <c r="H4" s="68"/>
      <c r="I4" s="68"/>
      <c r="J4" s="68"/>
      <c r="K4" s="68"/>
      <c r="L4" s="68"/>
      <c r="M4" s="68"/>
      <c r="N4" s="68"/>
      <c r="O4" s="68"/>
      <c r="P4" s="68"/>
      <c r="Q4" s="68"/>
      <c r="R4" s="68"/>
      <c r="S4" s="68"/>
      <c r="T4" s="68"/>
      <c r="U4" s="68"/>
      <c r="V4" s="68"/>
      <c r="W4" s="68"/>
      <c r="X4" s="68"/>
      <c r="Y4" s="68"/>
      <c r="Z4" s="68"/>
      <c r="AA4" s="68"/>
      <c r="AB4" s="68"/>
      <c r="AC4" s="68"/>
      <c r="AD4" s="68"/>
      <c r="AE4" s="68"/>
    </row>
    <row r="5" spans="1:37" ht="50.1">
      <c r="A5" s="68"/>
      <c r="B5" s="8" t="s">
        <v>436</v>
      </c>
      <c r="C5" s="9" t="s">
        <v>437</v>
      </c>
      <c r="D5" s="10">
        <v>0.4</v>
      </c>
      <c r="E5" s="68"/>
      <c r="F5" s="68"/>
      <c r="G5" s="68"/>
      <c r="H5" s="68"/>
      <c r="I5" s="68"/>
      <c r="J5" s="68"/>
      <c r="K5" s="68"/>
      <c r="L5" s="68"/>
      <c r="M5" s="68"/>
      <c r="N5" s="68"/>
      <c r="O5" s="68"/>
      <c r="P5" s="68"/>
      <c r="Q5" s="68"/>
      <c r="R5" s="68"/>
      <c r="S5" s="68"/>
      <c r="T5" s="68"/>
      <c r="U5" s="68"/>
      <c r="V5" s="68"/>
      <c r="W5" s="68"/>
      <c r="X5" s="68"/>
      <c r="Y5" s="68"/>
      <c r="Z5" s="68"/>
      <c r="AA5" s="68"/>
      <c r="AB5" s="68"/>
      <c r="AC5" s="68"/>
      <c r="AD5" s="68"/>
      <c r="AE5" s="68"/>
    </row>
    <row r="6" spans="1:37" ht="50.1">
      <c r="A6" s="68"/>
      <c r="B6" s="11" t="s">
        <v>438</v>
      </c>
      <c r="C6" s="9" t="s">
        <v>439</v>
      </c>
      <c r="D6" s="10">
        <v>0.6</v>
      </c>
      <c r="E6" s="68"/>
      <c r="F6" s="68"/>
      <c r="G6" s="68"/>
      <c r="H6" s="68"/>
      <c r="I6" s="68"/>
      <c r="J6" s="68"/>
      <c r="K6" s="68"/>
      <c r="L6" s="68"/>
      <c r="M6" s="68"/>
      <c r="N6" s="68"/>
      <c r="O6" s="68"/>
      <c r="P6" s="68"/>
      <c r="Q6" s="68"/>
      <c r="R6" s="68"/>
      <c r="S6" s="68"/>
      <c r="T6" s="68"/>
      <c r="U6" s="68"/>
      <c r="V6" s="68"/>
      <c r="W6" s="68"/>
      <c r="X6" s="68"/>
      <c r="Y6" s="68"/>
      <c r="Z6" s="68"/>
      <c r="AA6" s="68"/>
      <c r="AB6" s="68"/>
      <c r="AC6" s="68"/>
      <c r="AD6" s="68"/>
      <c r="AE6" s="68"/>
    </row>
    <row r="7" spans="1:37" ht="75">
      <c r="A7" s="68"/>
      <c r="B7" s="12" t="s">
        <v>440</v>
      </c>
      <c r="C7" s="9" t="s">
        <v>441</v>
      </c>
      <c r="D7" s="10">
        <v>0.8</v>
      </c>
      <c r="E7" s="68"/>
      <c r="F7" s="68"/>
      <c r="G7" s="68"/>
      <c r="H7" s="68"/>
      <c r="I7" s="68"/>
      <c r="J7" s="68"/>
      <c r="K7" s="68"/>
      <c r="L7" s="68"/>
      <c r="M7" s="68"/>
      <c r="N7" s="68"/>
      <c r="O7" s="68"/>
      <c r="P7" s="68"/>
      <c r="Q7" s="68"/>
      <c r="R7" s="68"/>
      <c r="S7" s="68"/>
      <c r="T7" s="68"/>
      <c r="U7" s="68"/>
      <c r="V7" s="68"/>
      <c r="W7" s="68"/>
      <c r="X7" s="68"/>
      <c r="Y7" s="68"/>
      <c r="Z7" s="68"/>
      <c r="AA7" s="68"/>
      <c r="AB7" s="68"/>
      <c r="AC7" s="68"/>
      <c r="AD7" s="68"/>
      <c r="AE7" s="68"/>
    </row>
    <row r="8" spans="1:37" ht="50.1">
      <c r="A8" s="68"/>
      <c r="B8" s="13" t="s">
        <v>442</v>
      </c>
      <c r="C8" s="9" t="s">
        <v>443</v>
      </c>
      <c r="D8" s="10">
        <v>1</v>
      </c>
      <c r="E8" s="68"/>
      <c r="F8" s="68"/>
      <c r="G8" s="68"/>
      <c r="H8" s="68"/>
      <c r="I8" s="68"/>
      <c r="J8" s="68"/>
      <c r="K8" s="68"/>
      <c r="L8" s="68"/>
      <c r="M8" s="68"/>
      <c r="N8" s="68"/>
      <c r="O8" s="68"/>
      <c r="P8" s="68"/>
      <c r="Q8" s="68"/>
      <c r="R8" s="68"/>
      <c r="S8" s="68"/>
      <c r="T8" s="68"/>
      <c r="U8" s="68"/>
      <c r="V8" s="68"/>
      <c r="W8" s="68"/>
      <c r="X8" s="68"/>
      <c r="Y8" s="68"/>
      <c r="Z8" s="68"/>
      <c r="AA8" s="68"/>
      <c r="AB8" s="68"/>
      <c r="AC8" s="68"/>
      <c r="AD8" s="68"/>
      <c r="AE8" s="68"/>
    </row>
    <row r="9" spans="1:37">
      <c r="A9" s="68"/>
      <c r="B9" s="88"/>
      <c r="C9" s="88"/>
      <c r="D9" s="8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1:37">
      <c r="A10" s="68"/>
      <c r="B10" s="89"/>
      <c r="C10" s="88"/>
      <c r="D10" s="8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row>
    <row r="11" spans="1:37">
      <c r="A11" s="68"/>
      <c r="B11" s="88"/>
      <c r="C11" s="88"/>
      <c r="D11" s="8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row>
    <row r="12" spans="1:37">
      <c r="A12" s="68"/>
      <c r="B12" s="88"/>
      <c r="C12" s="88"/>
      <c r="D12" s="8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row>
    <row r="13" spans="1:37">
      <c r="A13" s="68"/>
      <c r="B13" s="88"/>
      <c r="C13" s="88"/>
      <c r="D13" s="8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row>
    <row r="14" spans="1:37">
      <c r="A14" s="68"/>
      <c r="B14" s="88"/>
      <c r="C14" s="88"/>
      <c r="D14" s="8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row>
    <row r="15" spans="1:37">
      <c r="A15" s="68"/>
      <c r="B15" s="88"/>
      <c r="C15" s="88"/>
      <c r="D15" s="8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row>
    <row r="16" spans="1:37">
      <c r="A16" s="68"/>
      <c r="B16" s="88"/>
      <c r="C16" s="88"/>
      <c r="D16" s="8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row>
    <row r="17" spans="1:37">
      <c r="A17" s="68"/>
      <c r="B17" s="88"/>
      <c r="C17" s="88"/>
      <c r="D17" s="8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row>
    <row r="18" spans="1:37">
      <c r="A18" s="68"/>
      <c r="B18" s="88"/>
      <c r="C18" s="88"/>
      <c r="D18" s="8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row>
    <row r="19" spans="1:37">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row>
    <row r="20" spans="1:37">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row>
    <row r="21" spans="1:37">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row>
    <row r="22" spans="1:37">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row>
    <row r="23" spans="1:37">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row>
    <row r="24" spans="1:37">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row>
    <row r="25" spans="1:37">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row>
    <row r="26" spans="1:37">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row>
    <row r="27" spans="1:37">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row>
    <row r="28" spans="1:37">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row>
    <row r="29" spans="1:37">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row>
    <row r="30" spans="1:37">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row>
    <row r="31" spans="1:37">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row>
    <row r="32" spans="1:37">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row>
    <row r="33" spans="1:31">
      <c r="A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row>
    <row r="34" spans="1:31">
      <c r="A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row>
    <row r="35" spans="1:31">
      <c r="A35" s="68"/>
    </row>
    <row r="36" spans="1:31">
      <c r="A36" s="68"/>
    </row>
    <row r="37" spans="1:31">
      <c r="A37" s="68"/>
    </row>
    <row r="38" spans="1:31">
      <c r="A38" s="68"/>
    </row>
    <row r="39" spans="1:31">
      <c r="A39" s="68"/>
    </row>
    <row r="40" spans="1:31">
      <c r="A40" s="68"/>
    </row>
    <row r="41" spans="1:31">
      <c r="A41" s="68"/>
    </row>
    <row r="42" spans="1:31">
      <c r="A42" s="68"/>
    </row>
    <row r="43" spans="1:31">
      <c r="A43" s="68"/>
    </row>
    <row r="44" spans="1:31">
      <c r="A44" s="68"/>
    </row>
    <row r="45" spans="1:31">
      <c r="A45" s="68"/>
    </row>
    <row r="46" spans="1:31">
      <c r="A46" s="68"/>
    </row>
    <row r="47" spans="1:31">
      <c r="A47" s="68"/>
    </row>
    <row r="48" spans="1:31">
      <c r="A48" s="68"/>
    </row>
    <row r="49" spans="1:1">
      <c r="A49" s="68"/>
    </row>
    <row r="50" spans="1:1">
      <c r="A50" s="68"/>
    </row>
    <row r="51" spans="1:1">
      <c r="A51" s="68"/>
    </row>
    <row r="52" spans="1:1">
      <c r="A52" s="68"/>
    </row>
    <row r="53" spans="1:1">
      <c r="A53" s="68"/>
    </row>
    <row r="54" spans="1:1">
      <c r="A54" s="68"/>
    </row>
    <row r="55" spans="1:1">
      <c r="A55" s="68"/>
    </row>
  </sheetData>
  <mergeCells count="1">
    <mergeCell ref="B1:D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6" tint="-0.249977111117893"/>
  </sheetPr>
  <dimension ref="A1:U232"/>
  <sheetViews>
    <sheetView topLeftCell="A205" zoomScale="70" zoomScaleNormal="70" workbookViewId="0">
      <selection activeCell="G1" sqref="G1"/>
    </sheetView>
  </sheetViews>
  <sheetFormatPr defaultColWidth="11.42578125" defaultRowHeight="14.45"/>
  <cols>
    <col min="2" max="2" width="40.42578125" customWidth="1"/>
    <col min="3" max="3" width="74.7109375" customWidth="1"/>
    <col min="4" max="4" width="135" bestFit="1" customWidth="1"/>
    <col min="5" max="5" width="144.7109375" bestFit="1" customWidth="1"/>
    <col min="6" max="6" width="136.5703125" bestFit="1" customWidth="1"/>
  </cols>
  <sheetData>
    <row r="1" spans="1:21" ht="32.450000000000003">
      <c r="A1" s="68"/>
      <c r="B1" s="629" t="s">
        <v>444</v>
      </c>
      <c r="C1" s="629"/>
      <c r="D1" s="629"/>
      <c r="E1" s="68"/>
      <c r="F1" s="68"/>
      <c r="G1" s="68"/>
      <c r="H1" s="68"/>
      <c r="I1" s="68"/>
      <c r="J1" s="68"/>
      <c r="K1" s="68"/>
      <c r="L1" s="68"/>
      <c r="M1" s="68"/>
      <c r="N1" s="68"/>
      <c r="O1" s="68"/>
      <c r="P1" s="68"/>
      <c r="Q1" s="68"/>
      <c r="R1" s="68"/>
      <c r="S1" s="68"/>
      <c r="T1" s="68"/>
      <c r="U1" s="68"/>
    </row>
    <row r="2" spans="1:21">
      <c r="A2" s="68"/>
      <c r="B2" s="68"/>
      <c r="C2" s="68"/>
      <c r="D2" s="68"/>
      <c r="E2" s="68"/>
      <c r="F2" s="68"/>
      <c r="G2" s="68"/>
      <c r="H2" s="68"/>
      <c r="I2" s="68"/>
      <c r="J2" s="68"/>
      <c r="K2" s="68"/>
      <c r="L2" s="68"/>
      <c r="M2" s="68"/>
      <c r="N2" s="68"/>
      <c r="O2" s="68"/>
      <c r="P2" s="68"/>
      <c r="Q2" s="68"/>
      <c r="R2" s="68"/>
      <c r="S2" s="68"/>
      <c r="T2" s="68"/>
      <c r="U2" s="68"/>
    </row>
    <row r="3" spans="1:21" ht="30.6">
      <c r="A3" s="68"/>
      <c r="B3" s="85"/>
      <c r="C3" s="22" t="s">
        <v>445</v>
      </c>
      <c r="D3" s="22" t="s">
        <v>446</v>
      </c>
      <c r="E3" s="68"/>
      <c r="F3" s="68"/>
      <c r="G3" s="68"/>
      <c r="H3" s="68"/>
      <c r="I3" s="68"/>
      <c r="J3" s="68"/>
      <c r="K3" s="68"/>
      <c r="L3" s="68"/>
      <c r="M3" s="68"/>
      <c r="N3" s="68"/>
      <c r="O3" s="68"/>
      <c r="P3" s="68"/>
      <c r="Q3" s="68"/>
      <c r="R3" s="68"/>
      <c r="S3" s="68"/>
      <c r="T3" s="68"/>
      <c r="U3" s="68"/>
    </row>
    <row r="4" spans="1:21" ht="32.450000000000003">
      <c r="A4" s="84" t="s">
        <v>447</v>
      </c>
      <c r="B4" s="25" t="s">
        <v>448</v>
      </c>
      <c r="C4" s="30" t="s">
        <v>449</v>
      </c>
      <c r="D4" s="23" t="s">
        <v>450</v>
      </c>
      <c r="E4" s="68"/>
      <c r="F4" s="68"/>
      <c r="G4" s="68"/>
      <c r="H4" s="68"/>
      <c r="I4" s="68"/>
      <c r="J4" s="68"/>
      <c r="K4" s="68"/>
      <c r="L4" s="68"/>
      <c r="M4" s="68"/>
      <c r="N4" s="68"/>
      <c r="O4" s="68"/>
      <c r="P4" s="68"/>
      <c r="Q4" s="68"/>
      <c r="R4" s="68"/>
      <c r="S4" s="68"/>
      <c r="T4" s="68"/>
      <c r="U4" s="68"/>
    </row>
    <row r="5" spans="1:21" ht="65.099999999999994">
      <c r="A5" s="84" t="s">
        <v>217</v>
      </c>
      <c r="B5" s="26" t="s">
        <v>451</v>
      </c>
      <c r="C5" s="31" t="s">
        <v>452</v>
      </c>
      <c r="D5" s="24" t="s">
        <v>453</v>
      </c>
      <c r="E5" s="68"/>
      <c r="F5" s="68"/>
      <c r="G5" s="68"/>
      <c r="H5" s="68"/>
      <c r="I5" s="68"/>
      <c r="J5" s="68"/>
      <c r="K5" s="68"/>
      <c r="L5" s="68"/>
      <c r="M5" s="68"/>
      <c r="N5" s="68"/>
      <c r="O5" s="68"/>
      <c r="P5" s="68"/>
      <c r="Q5" s="68"/>
      <c r="R5" s="68"/>
      <c r="S5" s="68"/>
      <c r="T5" s="68"/>
      <c r="U5" s="68"/>
    </row>
    <row r="6" spans="1:21" ht="65.099999999999994">
      <c r="A6" s="84" t="s">
        <v>219</v>
      </c>
      <c r="B6" s="27" t="s">
        <v>454</v>
      </c>
      <c r="C6" s="31" t="s">
        <v>455</v>
      </c>
      <c r="D6" s="24" t="s">
        <v>456</v>
      </c>
      <c r="E6" s="68"/>
      <c r="F6" s="68"/>
      <c r="G6" s="68"/>
      <c r="H6" s="68"/>
      <c r="I6" s="68"/>
      <c r="J6" s="68"/>
      <c r="K6" s="68"/>
      <c r="L6" s="68"/>
      <c r="M6" s="68"/>
      <c r="N6" s="68"/>
      <c r="O6" s="68"/>
      <c r="P6" s="68"/>
      <c r="Q6" s="68"/>
      <c r="R6" s="68"/>
      <c r="S6" s="68"/>
      <c r="T6" s="68"/>
      <c r="U6" s="68"/>
    </row>
    <row r="7" spans="1:21" ht="65.099999999999994">
      <c r="A7" s="84" t="s">
        <v>221</v>
      </c>
      <c r="B7" s="28" t="s">
        <v>457</v>
      </c>
      <c r="C7" s="31" t="s">
        <v>458</v>
      </c>
      <c r="D7" s="24" t="s">
        <v>459</v>
      </c>
      <c r="E7" s="68"/>
      <c r="F7" s="68"/>
      <c r="G7" s="68"/>
      <c r="H7" s="68"/>
      <c r="I7" s="68"/>
      <c r="J7" s="68"/>
      <c r="K7" s="68"/>
      <c r="L7" s="68"/>
      <c r="M7" s="68"/>
      <c r="N7" s="68"/>
      <c r="O7" s="68"/>
      <c r="P7" s="68"/>
      <c r="Q7" s="68"/>
      <c r="R7" s="68"/>
      <c r="S7" s="68"/>
      <c r="T7" s="68"/>
      <c r="U7" s="68"/>
    </row>
    <row r="8" spans="1:21" ht="65.099999999999994">
      <c r="A8" s="84" t="s">
        <v>223</v>
      </c>
      <c r="B8" s="29" t="s">
        <v>460</v>
      </c>
      <c r="C8" s="31" t="s">
        <v>461</v>
      </c>
      <c r="D8" s="24" t="s">
        <v>462</v>
      </c>
      <c r="E8" s="68"/>
      <c r="F8" s="68"/>
      <c r="G8" s="68"/>
      <c r="H8" s="68"/>
      <c r="I8" s="68"/>
      <c r="J8" s="68"/>
      <c r="K8" s="68"/>
      <c r="L8" s="68"/>
      <c r="M8" s="68"/>
      <c r="N8" s="68"/>
      <c r="O8" s="68"/>
      <c r="P8" s="68"/>
      <c r="Q8" s="68"/>
      <c r="R8" s="68"/>
      <c r="S8" s="68"/>
      <c r="T8" s="68"/>
      <c r="U8" s="68"/>
    </row>
    <row r="9" spans="1:21" ht="20.100000000000001">
      <c r="A9" s="84"/>
      <c r="B9" s="84"/>
      <c r="C9" s="86"/>
      <c r="D9" s="86"/>
      <c r="E9" s="68"/>
      <c r="F9" s="68"/>
      <c r="G9" s="68"/>
      <c r="H9" s="68"/>
      <c r="I9" s="68"/>
      <c r="J9" s="68"/>
      <c r="K9" s="68"/>
      <c r="L9" s="68"/>
      <c r="M9" s="68"/>
      <c r="N9" s="68"/>
      <c r="O9" s="68"/>
      <c r="P9" s="68"/>
      <c r="Q9" s="68"/>
      <c r="R9" s="68"/>
      <c r="S9" s="68"/>
      <c r="T9" s="68"/>
      <c r="U9" s="68"/>
    </row>
    <row r="10" spans="1:21">
      <c r="A10" s="84"/>
      <c r="B10" s="87"/>
      <c r="C10" s="87"/>
      <c r="D10" s="87"/>
      <c r="E10" s="68"/>
      <c r="F10" s="68"/>
      <c r="G10" s="68"/>
      <c r="H10" s="68"/>
      <c r="I10" s="68"/>
      <c r="J10" s="68"/>
      <c r="K10" s="68"/>
      <c r="L10" s="68"/>
      <c r="M10" s="68"/>
      <c r="N10" s="68"/>
      <c r="O10" s="68"/>
      <c r="P10" s="68"/>
      <c r="Q10" s="68"/>
      <c r="R10" s="68"/>
      <c r="S10" s="68"/>
      <c r="T10" s="68"/>
      <c r="U10" s="68"/>
    </row>
    <row r="11" spans="1:21">
      <c r="A11" s="84"/>
      <c r="B11" s="84" t="s">
        <v>463</v>
      </c>
      <c r="C11" s="84" t="s">
        <v>214</v>
      </c>
      <c r="D11" s="84" t="s">
        <v>224</v>
      </c>
      <c r="E11" s="68"/>
      <c r="F11" s="68"/>
      <c r="G11" s="68"/>
      <c r="H11" s="68"/>
      <c r="I11" s="68"/>
      <c r="J11" s="68"/>
      <c r="K11" s="68"/>
      <c r="L11" s="68"/>
      <c r="M11" s="68"/>
      <c r="N11" s="68"/>
      <c r="O11" s="68"/>
      <c r="P11" s="68"/>
      <c r="Q11" s="68"/>
      <c r="R11" s="68"/>
      <c r="S11" s="68"/>
      <c r="T11" s="68"/>
      <c r="U11" s="68"/>
    </row>
    <row r="12" spans="1:21">
      <c r="A12" s="84"/>
      <c r="B12" s="84" t="s">
        <v>464</v>
      </c>
      <c r="C12" s="84" t="s">
        <v>216</v>
      </c>
      <c r="D12" s="84" t="s">
        <v>225</v>
      </c>
      <c r="E12" s="68"/>
      <c r="F12" s="68"/>
      <c r="G12" s="68"/>
      <c r="H12" s="68"/>
      <c r="I12" s="68"/>
      <c r="J12" s="68"/>
      <c r="K12" s="68"/>
      <c r="L12" s="68"/>
      <c r="M12" s="68"/>
      <c r="N12" s="68"/>
      <c r="O12" s="68"/>
      <c r="P12" s="68"/>
      <c r="Q12" s="68"/>
      <c r="R12" s="68"/>
      <c r="S12" s="68"/>
      <c r="T12" s="68"/>
      <c r="U12" s="68"/>
    </row>
    <row r="13" spans="1:21">
      <c r="A13" s="84"/>
      <c r="B13" s="84"/>
      <c r="C13" s="84" t="s">
        <v>218</v>
      </c>
      <c r="D13" s="84" t="s">
        <v>116</v>
      </c>
      <c r="E13" s="68"/>
      <c r="F13" s="68"/>
      <c r="G13" s="68"/>
      <c r="H13" s="68"/>
      <c r="I13" s="68"/>
      <c r="J13" s="68"/>
      <c r="K13" s="68"/>
      <c r="L13" s="68"/>
      <c r="M13" s="68"/>
      <c r="N13" s="68"/>
      <c r="O13" s="68"/>
      <c r="P13" s="68"/>
      <c r="Q13" s="68"/>
      <c r="R13" s="68"/>
      <c r="S13" s="68"/>
      <c r="T13" s="68"/>
      <c r="U13" s="68"/>
    </row>
    <row r="14" spans="1:21">
      <c r="A14" s="84"/>
      <c r="B14" s="84"/>
      <c r="C14" s="84" t="s">
        <v>220</v>
      </c>
      <c r="D14" s="84" t="s">
        <v>226</v>
      </c>
      <c r="E14" s="68"/>
      <c r="F14" s="68"/>
      <c r="G14" s="68"/>
      <c r="H14" s="68"/>
      <c r="I14" s="68"/>
      <c r="J14" s="68"/>
      <c r="K14" s="68"/>
      <c r="L14" s="68"/>
      <c r="M14" s="68"/>
      <c r="N14" s="68"/>
      <c r="O14" s="68"/>
      <c r="P14" s="68"/>
      <c r="Q14" s="68"/>
      <c r="R14" s="68"/>
      <c r="S14" s="68"/>
      <c r="T14" s="68"/>
      <c r="U14" s="68"/>
    </row>
    <row r="15" spans="1:21">
      <c r="A15" s="84"/>
      <c r="B15" s="84"/>
      <c r="C15" s="84" t="s">
        <v>222</v>
      </c>
      <c r="D15" s="84" t="s">
        <v>227</v>
      </c>
      <c r="E15" s="68"/>
      <c r="F15" s="68"/>
      <c r="G15" s="68"/>
      <c r="H15" s="68"/>
      <c r="I15" s="68"/>
      <c r="J15" s="68"/>
      <c r="K15" s="68"/>
      <c r="L15" s="68"/>
      <c r="M15" s="68"/>
      <c r="N15" s="68"/>
      <c r="O15" s="68"/>
      <c r="P15" s="68"/>
      <c r="Q15" s="68"/>
      <c r="R15" s="68"/>
      <c r="S15" s="68"/>
      <c r="T15" s="68"/>
      <c r="U15" s="68"/>
    </row>
    <row r="16" spans="1:21">
      <c r="A16" s="84"/>
      <c r="B16" s="84"/>
      <c r="C16" s="84"/>
      <c r="D16" s="84"/>
      <c r="E16" s="68"/>
      <c r="F16" s="68"/>
      <c r="G16" s="68"/>
      <c r="H16" s="68"/>
      <c r="I16" s="68"/>
      <c r="J16" s="68"/>
      <c r="K16" s="68"/>
      <c r="L16" s="68"/>
      <c r="M16" s="68"/>
      <c r="N16" s="68"/>
      <c r="O16" s="68"/>
    </row>
    <row r="17" spans="1:15">
      <c r="A17" s="84"/>
      <c r="B17" s="84"/>
      <c r="C17" s="84"/>
      <c r="D17" s="84"/>
      <c r="E17" s="68"/>
      <c r="F17" s="68"/>
      <c r="G17" s="68"/>
      <c r="H17" s="68"/>
      <c r="I17" s="68"/>
      <c r="J17" s="68"/>
      <c r="K17" s="68"/>
      <c r="L17" s="68"/>
      <c r="M17" s="68"/>
      <c r="N17" s="68"/>
      <c r="O17" s="68"/>
    </row>
    <row r="18" spans="1:15">
      <c r="A18" s="84"/>
      <c r="B18" s="88"/>
      <c r="C18" s="88"/>
      <c r="D18" s="88"/>
      <c r="E18" s="68"/>
      <c r="F18" s="68"/>
      <c r="G18" s="68"/>
      <c r="H18" s="68"/>
      <c r="I18" s="68"/>
      <c r="J18" s="68"/>
      <c r="K18" s="68"/>
      <c r="L18" s="68"/>
      <c r="M18" s="68"/>
      <c r="N18" s="68"/>
      <c r="O18" s="68"/>
    </row>
    <row r="19" spans="1:15">
      <c r="A19" s="84"/>
      <c r="B19" s="88"/>
      <c r="C19" s="88"/>
      <c r="D19" s="88"/>
      <c r="E19" s="68"/>
      <c r="F19" s="68"/>
      <c r="G19" s="68"/>
      <c r="H19" s="68"/>
      <c r="I19" s="68"/>
      <c r="J19" s="68"/>
      <c r="K19" s="68"/>
      <c r="L19" s="68"/>
      <c r="M19" s="68"/>
      <c r="N19" s="68"/>
      <c r="O19" s="68"/>
    </row>
    <row r="20" spans="1:15">
      <c r="A20" s="84"/>
      <c r="B20" s="88"/>
      <c r="C20" s="88"/>
      <c r="D20" s="88"/>
      <c r="E20" s="68"/>
      <c r="F20" s="68"/>
      <c r="G20" s="68"/>
      <c r="H20" s="68"/>
      <c r="I20" s="68"/>
      <c r="J20" s="68"/>
      <c r="K20" s="68"/>
      <c r="L20" s="68"/>
      <c r="M20" s="68"/>
      <c r="N20" s="68"/>
      <c r="O20" s="68"/>
    </row>
    <row r="21" spans="1:15">
      <c r="A21" s="84"/>
      <c r="B21" s="88"/>
      <c r="C21" s="88"/>
      <c r="D21" s="88"/>
      <c r="E21" s="68"/>
      <c r="F21" s="68"/>
      <c r="G21" s="68"/>
      <c r="H21" s="68"/>
      <c r="I21" s="68"/>
      <c r="J21" s="68"/>
      <c r="K21" s="68"/>
      <c r="L21" s="68"/>
      <c r="M21" s="68"/>
      <c r="N21" s="68"/>
      <c r="O21" s="68"/>
    </row>
    <row r="22" spans="1:15" ht="20.100000000000001">
      <c r="A22" s="84"/>
      <c r="B22" s="84"/>
      <c r="C22" s="86"/>
      <c r="D22" s="86"/>
      <c r="E22" s="68"/>
      <c r="F22" s="68"/>
      <c r="G22" s="68"/>
      <c r="H22" s="68"/>
      <c r="I22" s="68"/>
      <c r="J22" s="68"/>
      <c r="K22" s="68"/>
      <c r="L22" s="68"/>
      <c r="M22" s="68"/>
      <c r="N22" s="68"/>
      <c r="O22" s="68"/>
    </row>
    <row r="23" spans="1:15" ht="20.100000000000001">
      <c r="A23" s="84"/>
      <c r="B23" s="84"/>
      <c r="C23" s="86"/>
      <c r="D23" s="86"/>
      <c r="E23" s="68"/>
      <c r="F23" s="68"/>
      <c r="G23" s="68"/>
      <c r="H23" s="68"/>
      <c r="I23" s="68"/>
      <c r="J23" s="68"/>
      <c r="K23" s="68"/>
      <c r="L23" s="68"/>
      <c r="M23" s="68"/>
      <c r="N23" s="68"/>
      <c r="O23" s="68"/>
    </row>
    <row r="24" spans="1:15" ht="20.100000000000001">
      <c r="A24" s="84"/>
      <c r="B24" s="84"/>
      <c r="C24" s="86"/>
      <c r="D24" s="86"/>
      <c r="E24" s="68"/>
      <c r="F24" s="68"/>
      <c r="G24" s="68"/>
      <c r="H24" s="68"/>
      <c r="I24" s="68"/>
      <c r="J24" s="68"/>
      <c r="K24" s="68"/>
      <c r="L24" s="68"/>
      <c r="M24" s="68"/>
      <c r="N24" s="68"/>
      <c r="O24" s="68"/>
    </row>
    <row r="25" spans="1:15" ht="20.100000000000001">
      <c r="A25" s="84"/>
      <c r="B25" s="84"/>
      <c r="C25" s="86"/>
      <c r="D25" s="86"/>
      <c r="E25" s="68"/>
      <c r="F25" s="68"/>
      <c r="G25" s="68"/>
      <c r="H25" s="68"/>
      <c r="I25" s="68"/>
      <c r="J25" s="68"/>
      <c r="K25" s="68"/>
      <c r="L25" s="68"/>
      <c r="M25" s="68"/>
      <c r="N25" s="68"/>
      <c r="O25" s="68"/>
    </row>
    <row r="26" spans="1:15" ht="20.100000000000001">
      <c r="A26" s="84"/>
      <c r="B26" s="84"/>
      <c r="C26" s="86"/>
      <c r="D26" s="86"/>
      <c r="E26" s="68"/>
      <c r="F26" s="68"/>
      <c r="G26" s="68"/>
      <c r="H26" s="68"/>
      <c r="I26" s="68"/>
      <c r="J26" s="68"/>
      <c r="K26" s="68"/>
      <c r="L26" s="68"/>
      <c r="M26" s="68"/>
      <c r="N26" s="68"/>
      <c r="O26" s="68"/>
    </row>
    <row r="27" spans="1:15" ht="20.100000000000001">
      <c r="A27" s="84"/>
      <c r="B27" s="84"/>
      <c r="C27" s="86"/>
      <c r="D27" s="86"/>
      <c r="E27" s="68"/>
      <c r="F27" s="68"/>
      <c r="G27" s="68"/>
      <c r="H27" s="68"/>
      <c r="I27" s="68"/>
      <c r="J27" s="68"/>
      <c r="K27" s="68"/>
      <c r="L27" s="68"/>
      <c r="M27" s="68"/>
      <c r="N27" s="68"/>
      <c r="O27" s="68"/>
    </row>
    <row r="28" spans="1:15" ht="20.100000000000001">
      <c r="A28" s="84"/>
      <c r="B28" s="84"/>
      <c r="C28" s="86"/>
      <c r="D28" s="86"/>
      <c r="E28" s="68"/>
      <c r="F28" s="68"/>
      <c r="G28" s="68"/>
      <c r="H28" s="68"/>
      <c r="I28" s="68"/>
      <c r="J28" s="68"/>
      <c r="K28" s="68"/>
      <c r="L28" s="68"/>
      <c r="M28" s="68"/>
      <c r="N28" s="68"/>
      <c r="O28" s="68"/>
    </row>
    <row r="29" spans="1:15" ht="20.100000000000001">
      <c r="A29" s="84"/>
      <c r="B29" s="84"/>
      <c r="C29" s="86"/>
      <c r="D29" s="86"/>
      <c r="E29" s="68"/>
      <c r="F29" s="68"/>
      <c r="G29" s="68"/>
      <c r="H29" s="68"/>
      <c r="I29" s="68"/>
      <c r="J29" s="68"/>
      <c r="K29" s="68"/>
      <c r="L29" s="68"/>
      <c r="M29" s="68"/>
      <c r="N29" s="68"/>
      <c r="O29" s="68"/>
    </row>
    <row r="30" spans="1:15" ht="20.100000000000001">
      <c r="A30" s="84"/>
      <c r="B30" s="84"/>
      <c r="C30" s="86"/>
      <c r="D30" s="86"/>
      <c r="E30" s="68"/>
      <c r="F30" s="68"/>
      <c r="G30" s="68"/>
      <c r="H30" s="68"/>
      <c r="I30" s="68"/>
      <c r="J30" s="68"/>
      <c r="K30" s="68"/>
      <c r="L30" s="68"/>
      <c r="M30" s="68"/>
      <c r="N30" s="68"/>
      <c r="O30" s="68"/>
    </row>
    <row r="31" spans="1:15" ht="20.100000000000001">
      <c r="A31" s="84"/>
      <c r="B31" s="84"/>
      <c r="C31" s="86"/>
      <c r="D31" s="86"/>
      <c r="E31" s="68"/>
      <c r="F31" s="68"/>
      <c r="G31" s="68"/>
      <c r="H31" s="68"/>
      <c r="I31" s="68"/>
      <c r="J31" s="68"/>
      <c r="K31" s="68"/>
      <c r="L31" s="68"/>
      <c r="M31" s="68"/>
      <c r="N31" s="68"/>
      <c r="O31" s="68"/>
    </row>
    <row r="32" spans="1:15" ht="20.100000000000001">
      <c r="A32" s="84"/>
      <c r="B32" s="84"/>
      <c r="C32" s="86"/>
      <c r="D32" s="86"/>
      <c r="E32" s="68"/>
      <c r="F32" s="68"/>
      <c r="G32" s="68"/>
      <c r="H32" s="68"/>
      <c r="I32" s="68"/>
      <c r="J32" s="68"/>
      <c r="K32" s="68"/>
      <c r="L32" s="68"/>
      <c r="M32" s="68"/>
      <c r="N32" s="68"/>
      <c r="O32" s="68"/>
    </row>
    <row r="33" spans="1:15" ht="20.100000000000001">
      <c r="A33" s="84"/>
      <c r="B33" s="84"/>
      <c r="C33" s="86"/>
      <c r="D33" s="86"/>
      <c r="E33" s="68"/>
      <c r="F33" s="68"/>
      <c r="G33" s="68"/>
      <c r="H33" s="68"/>
      <c r="I33" s="68"/>
      <c r="J33" s="68"/>
      <c r="K33" s="68"/>
      <c r="L33" s="68"/>
      <c r="M33" s="68"/>
      <c r="N33" s="68"/>
      <c r="O33" s="68"/>
    </row>
    <row r="34" spans="1:15" ht="20.100000000000001">
      <c r="A34" s="84"/>
      <c r="B34" s="84"/>
      <c r="C34" s="86"/>
      <c r="D34" s="86"/>
      <c r="E34" s="68"/>
      <c r="F34" s="68"/>
      <c r="G34" s="68"/>
      <c r="H34" s="68"/>
      <c r="I34" s="68"/>
      <c r="J34" s="68"/>
      <c r="K34" s="68"/>
      <c r="L34" s="68"/>
      <c r="M34" s="68"/>
      <c r="N34" s="68"/>
      <c r="O34" s="68"/>
    </row>
    <row r="35" spans="1:15" ht="20.100000000000001">
      <c r="A35" s="84"/>
      <c r="B35" s="84"/>
      <c r="C35" s="86"/>
      <c r="D35" s="86"/>
      <c r="E35" s="68"/>
      <c r="F35" s="68"/>
      <c r="G35" s="68"/>
      <c r="H35" s="68"/>
      <c r="I35" s="68"/>
      <c r="J35" s="68"/>
      <c r="K35" s="68"/>
      <c r="L35" s="68"/>
      <c r="M35" s="68"/>
      <c r="N35" s="68"/>
      <c r="O35" s="68"/>
    </row>
    <row r="36" spans="1:15" ht="20.100000000000001">
      <c r="A36" s="84"/>
      <c r="B36" s="84"/>
      <c r="C36" s="86"/>
      <c r="D36" s="86"/>
      <c r="E36" s="68"/>
      <c r="F36" s="68"/>
      <c r="G36" s="68"/>
      <c r="H36" s="68"/>
      <c r="I36" s="68"/>
      <c r="J36" s="68"/>
      <c r="K36" s="68"/>
      <c r="L36" s="68"/>
      <c r="M36" s="68"/>
      <c r="N36" s="68"/>
      <c r="O36" s="68"/>
    </row>
    <row r="37" spans="1:15" ht="20.100000000000001">
      <c r="A37" s="84"/>
      <c r="B37" s="84"/>
      <c r="C37" s="86"/>
      <c r="D37" s="86"/>
      <c r="E37" s="68"/>
      <c r="F37" s="68"/>
      <c r="G37" s="68"/>
      <c r="H37" s="68"/>
      <c r="I37" s="68"/>
      <c r="J37" s="68"/>
      <c r="K37" s="68"/>
      <c r="L37" s="68"/>
      <c r="M37" s="68"/>
      <c r="N37" s="68"/>
      <c r="O37" s="68"/>
    </row>
    <row r="38" spans="1:15" ht="20.100000000000001">
      <c r="A38" s="84"/>
      <c r="B38" s="84"/>
      <c r="C38" s="86"/>
      <c r="D38" s="86"/>
      <c r="E38" s="68"/>
      <c r="F38" s="68"/>
      <c r="G38" s="68"/>
      <c r="H38" s="68"/>
      <c r="I38" s="68"/>
      <c r="J38" s="68"/>
      <c r="K38" s="68"/>
      <c r="L38" s="68"/>
      <c r="M38" s="68"/>
      <c r="N38" s="68"/>
      <c r="O38" s="68"/>
    </row>
    <row r="39" spans="1:15" ht="20.100000000000001">
      <c r="A39" s="84"/>
      <c r="B39" s="84"/>
      <c r="C39" s="86"/>
      <c r="D39" s="86"/>
      <c r="E39" s="68"/>
      <c r="F39" s="68"/>
      <c r="G39" s="68"/>
      <c r="H39" s="68"/>
      <c r="I39" s="68"/>
      <c r="J39" s="68"/>
      <c r="K39" s="68"/>
      <c r="L39" s="68"/>
      <c r="M39" s="68"/>
      <c r="N39" s="68"/>
      <c r="O39" s="68"/>
    </row>
    <row r="40" spans="1:15" ht="20.100000000000001">
      <c r="A40" s="84"/>
      <c r="B40" s="84"/>
      <c r="C40" s="86"/>
      <c r="D40" s="86"/>
      <c r="E40" s="68"/>
      <c r="F40" s="68"/>
      <c r="G40" s="68"/>
      <c r="H40" s="68"/>
      <c r="I40" s="68"/>
      <c r="J40" s="68"/>
      <c r="K40" s="68"/>
      <c r="L40" s="68"/>
      <c r="M40" s="68"/>
      <c r="N40" s="68"/>
      <c r="O40" s="68"/>
    </row>
    <row r="41" spans="1:15" ht="20.100000000000001">
      <c r="A41" s="84"/>
      <c r="B41" s="84"/>
      <c r="C41" s="86"/>
      <c r="D41" s="86"/>
      <c r="E41" s="68"/>
      <c r="F41" s="68"/>
      <c r="G41" s="68"/>
      <c r="H41" s="68"/>
      <c r="I41" s="68"/>
      <c r="J41" s="68"/>
      <c r="K41" s="68"/>
      <c r="L41" s="68"/>
      <c r="M41" s="68"/>
      <c r="N41" s="68"/>
      <c r="O41" s="68"/>
    </row>
    <row r="42" spans="1:15" ht="20.100000000000001">
      <c r="A42" s="84"/>
      <c r="B42" s="84"/>
      <c r="C42" s="86"/>
      <c r="D42" s="86"/>
      <c r="E42" s="68"/>
      <c r="F42" s="68"/>
      <c r="G42" s="68"/>
      <c r="H42" s="68"/>
      <c r="I42" s="68"/>
      <c r="J42" s="68"/>
      <c r="K42" s="68"/>
      <c r="L42" s="68"/>
      <c r="M42" s="68"/>
      <c r="N42" s="68"/>
      <c r="O42" s="68"/>
    </row>
    <row r="43" spans="1:15" ht="20.100000000000001">
      <c r="A43" s="84"/>
      <c r="B43" s="84"/>
      <c r="C43" s="86"/>
      <c r="D43" s="86"/>
      <c r="E43" s="68"/>
      <c r="F43" s="68"/>
      <c r="G43" s="68"/>
      <c r="H43" s="68"/>
      <c r="I43" s="68"/>
      <c r="J43" s="68"/>
      <c r="K43" s="68"/>
      <c r="L43" s="68"/>
      <c r="M43" s="68"/>
      <c r="N43" s="68"/>
      <c r="O43" s="68"/>
    </row>
    <row r="44" spans="1:15" ht="20.100000000000001">
      <c r="A44" s="84"/>
      <c r="B44" s="84"/>
      <c r="C44" s="86"/>
      <c r="D44" s="86"/>
      <c r="E44" s="68"/>
      <c r="F44" s="68"/>
      <c r="G44" s="68"/>
      <c r="H44" s="68"/>
      <c r="I44" s="68"/>
      <c r="J44" s="68"/>
      <c r="K44" s="68"/>
      <c r="L44" s="68"/>
      <c r="M44" s="68"/>
      <c r="N44" s="68"/>
      <c r="O44" s="68"/>
    </row>
    <row r="45" spans="1:15" ht="20.100000000000001">
      <c r="A45" s="84"/>
      <c r="B45" s="84"/>
      <c r="C45" s="86"/>
      <c r="D45" s="86"/>
      <c r="E45" s="68"/>
      <c r="F45" s="68"/>
      <c r="G45" s="68"/>
      <c r="H45" s="68"/>
      <c r="I45" s="68"/>
      <c r="J45" s="68"/>
      <c r="K45" s="68"/>
      <c r="L45" s="68"/>
      <c r="M45" s="68"/>
      <c r="N45" s="68"/>
      <c r="O45" s="68"/>
    </row>
    <row r="46" spans="1:15" ht="20.100000000000001">
      <c r="A46" s="84"/>
      <c r="B46" s="84"/>
      <c r="C46" s="86"/>
      <c r="D46" s="86"/>
      <c r="E46" s="68"/>
      <c r="F46" s="68"/>
      <c r="G46" s="68"/>
      <c r="H46" s="68"/>
      <c r="I46" s="68"/>
      <c r="J46" s="68"/>
      <c r="K46" s="68"/>
      <c r="L46" s="68"/>
      <c r="M46" s="68"/>
      <c r="N46" s="68"/>
      <c r="O46" s="68"/>
    </row>
    <row r="47" spans="1:15" ht="20.100000000000001">
      <c r="A47" s="84"/>
      <c r="B47" s="84"/>
      <c r="C47" s="86"/>
      <c r="D47" s="86"/>
      <c r="E47" s="68"/>
      <c r="F47" s="68"/>
      <c r="G47" s="68"/>
      <c r="H47" s="68"/>
      <c r="I47" s="68"/>
      <c r="J47" s="68"/>
      <c r="K47" s="68"/>
      <c r="L47" s="68"/>
      <c r="M47" s="68"/>
      <c r="N47" s="68"/>
      <c r="O47" s="68"/>
    </row>
    <row r="48" spans="1:15" ht="20.100000000000001">
      <c r="A48" s="84"/>
      <c r="B48" s="84"/>
      <c r="C48" s="86"/>
      <c r="D48" s="86"/>
      <c r="E48" s="68"/>
      <c r="F48" s="68"/>
      <c r="G48" s="68"/>
      <c r="H48" s="68"/>
      <c r="I48" s="68"/>
      <c r="J48" s="68"/>
      <c r="K48" s="68"/>
      <c r="L48" s="68"/>
      <c r="M48" s="68"/>
      <c r="N48" s="68"/>
      <c r="O48" s="68"/>
    </row>
    <row r="49" spans="1:15" ht="20.100000000000001">
      <c r="A49" s="84"/>
      <c r="B49" s="84"/>
      <c r="C49" s="86"/>
      <c r="D49" s="86"/>
      <c r="E49" s="68"/>
      <c r="F49" s="68"/>
      <c r="G49" s="68"/>
      <c r="H49" s="68"/>
      <c r="I49" s="68"/>
      <c r="J49" s="68"/>
      <c r="K49" s="68"/>
      <c r="L49" s="68"/>
      <c r="M49" s="68"/>
      <c r="N49" s="68"/>
      <c r="O49" s="68"/>
    </row>
    <row r="50" spans="1:15" ht="20.100000000000001">
      <c r="A50" s="84"/>
      <c r="B50" s="84"/>
      <c r="C50" s="86"/>
      <c r="D50" s="86"/>
      <c r="E50" s="68"/>
      <c r="F50" s="68"/>
      <c r="G50" s="68"/>
      <c r="H50" s="68"/>
      <c r="I50" s="68"/>
      <c r="J50" s="68"/>
      <c r="K50" s="68"/>
      <c r="L50" s="68"/>
      <c r="M50" s="68"/>
      <c r="N50" s="68"/>
      <c r="O50" s="68"/>
    </row>
    <row r="51" spans="1:15" ht="20.100000000000001">
      <c r="A51" s="84"/>
      <c r="B51" s="84"/>
      <c r="C51" s="86"/>
      <c r="D51" s="86"/>
      <c r="E51" s="68"/>
      <c r="F51" s="68"/>
      <c r="G51" s="68"/>
      <c r="H51" s="68"/>
      <c r="I51" s="68"/>
      <c r="J51" s="68"/>
      <c r="K51" s="68"/>
      <c r="L51" s="68"/>
      <c r="M51" s="68"/>
      <c r="N51" s="68"/>
      <c r="O51" s="68"/>
    </row>
    <row r="52" spans="1:15" ht="20.100000000000001">
      <c r="A52" s="84"/>
      <c r="B52" s="15"/>
      <c r="C52" s="20"/>
      <c r="D52" s="20"/>
    </row>
    <row r="53" spans="1:15" ht="20.100000000000001">
      <c r="A53" s="84"/>
      <c r="B53" s="15"/>
      <c r="C53" s="20"/>
      <c r="D53" s="20"/>
    </row>
    <row r="54" spans="1:15" ht="20.100000000000001">
      <c r="A54" s="84"/>
      <c r="B54" s="15"/>
      <c r="C54" s="20"/>
      <c r="D54" s="20"/>
    </row>
    <row r="55" spans="1:15" ht="20.100000000000001">
      <c r="A55" s="84"/>
      <c r="B55" s="15"/>
      <c r="C55" s="20"/>
      <c r="D55" s="20"/>
    </row>
    <row r="56" spans="1:15" ht="20.100000000000001">
      <c r="A56" s="84"/>
      <c r="B56" s="15"/>
      <c r="C56" s="20"/>
      <c r="D56" s="20"/>
    </row>
    <row r="57" spans="1:15" ht="20.100000000000001">
      <c r="A57" s="84"/>
      <c r="B57" s="15"/>
      <c r="C57" s="20"/>
      <c r="D57" s="20"/>
    </row>
    <row r="58" spans="1:15" ht="20.100000000000001">
      <c r="A58" s="84"/>
      <c r="B58" s="15"/>
      <c r="C58" s="20"/>
      <c r="D58" s="20"/>
    </row>
    <row r="59" spans="1:15" ht="20.100000000000001">
      <c r="A59" s="84"/>
      <c r="B59" s="15"/>
      <c r="C59" s="20"/>
      <c r="D59" s="20"/>
    </row>
    <row r="60" spans="1:15" ht="20.100000000000001">
      <c r="A60" s="84"/>
      <c r="B60" s="15"/>
      <c r="C60" s="20"/>
      <c r="D60" s="20"/>
    </row>
    <row r="61" spans="1:15" ht="20.100000000000001">
      <c r="A61" s="84"/>
      <c r="B61" s="15"/>
      <c r="C61" s="20"/>
      <c r="D61" s="20"/>
    </row>
    <row r="62" spans="1:15" ht="20.100000000000001">
      <c r="A62" s="84"/>
      <c r="B62" s="15"/>
      <c r="C62" s="20"/>
      <c r="D62" s="20"/>
    </row>
    <row r="63" spans="1:15" ht="20.100000000000001">
      <c r="A63" s="84"/>
      <c r="B63" s="15"/>
      <c r="C63" s="20"/>
      <c r="D63" s="20"/>
    </row>
    <row r="64" spans="1:15" ht="20.100000000000001">
      <c r="A64" s="84"/>
      <c r="B64" s="15"/>
      <c r="C64" s="20"/>
      <c r="D64" s="20"/>
    </row>
    <row r="65" spans="1:4" ht="20.100000000000001">
      <c r="A65" s="84"/>
      <c r="B65" s="15"/>
      <c r="C65" s="20"/>
      <c r="D65" s="20"/>
    </row>
    <row r="66" spans="1:4" ht="20.100000000000001">
      <c r="A66" s="84"/>
      <c r="B66" s="15"/>
      <c r="C66" s="20"/>
      <c r="D66" s="20"/>
    </row>
    <row r="67" spans="1:4" ht="20.100000000000001">
      <c r="A67" s="84"/>
      <c r="B67" s="15"/>
      <c r="C67" s="20"/>
      <c r="D67" s="20"/>
    </row>
    <row r="68" spans="1:4" ht="20.100000000000001">
      <c r="A68" s="84"/>
      <c r="B68" s="15"/>
      <c r="C68" s="20"/>
      <c r="D68" s="20"/>
    </row>
    <row r="69" spans="1:4" ht="20.100000000000001">
      <c r="A69" s="84"/>
      <c r="B69" s="15"/>
      <c r="C69" s="20"/>
      <c r="D69" s="20"/>
    </row>
    <row r="70" spans="1:4" ht="20.100000000000001">
      <c r="A70" s="84"/>
      <c r="B70" s="15"/>
      <c r="C70" s="20"/>
      <c r="D70" s="20"/>
    </row>
    <row r="71" spans="1:4" ht="20.100000000000001">
      <c r="A71" s="84"/>
      <c r="B71" s="15"/>
      <c r="C71" s="20"/>
      <c r="D71" s="20"/>
    </row>
    <row r="72" spans="1:4" ht="20.100000000000001">
      <c r="A72" s="84"/>
      <c r="B72" s="15"/>
      <c r="C72" s="20"/>
      <c r="D72" s="20"/>
    </row>
    <row r="73" spans="1:4" ht="20.100000000000001">
      <c r="A73" s="84"/>
      <c r="B73" s="15"/>
      <c r="C73" s="20"/>
      <c r="D73" s="20"/>
    </row>
    <row r="74" spans="1:4" ht="20.100000000000001">
      <c r="A74" s="84"/>
      <c r="B74" s="15"/>
      <c r="C74" s="20"/>
      <c r="D74" s="20"/>
    </row>
    <row r="75" spans="1:4" ht="20.100000000000001">
      <c r="A75" s="84"/>
      <c r="B75" s="15"/>
      <c r="C75" s="20"/>
      <c r="D75" s="20"/>
    </row>
    <row r="76" spans="1:4" ht="20.100000000000001">
      <c r="A76" s="84"/>
      <c r="B76" s="15"/>
      <c r="C76" s="20"/>
      <c r="D76" s="20"/>
    </row>
    <row r="77" spans="1:4" ht="20.100000000000001">
      <c r="A77" s="84"/>
      <c r="B77" s="15"/>
      <c r="C77" s="20"/>
      <c r="D77" s="20"/>
    </row>
    <row r="78" spans="1:4" ht="20.100000000000001">
      <c r="A78" s="84"/>
      <c r="B78" s="15"/>
      <c r="C78" s="20"/>
      <c r="D78" s="20"/>
    </row>
    <row r="79" spans="1:4" ht="20.100000000000001">
      <c r="A79" s="84"/>
      <c r="B79" s="15"/>
      <c r="C79" s="20"/>
      <c r="D79" s="20"/>
    </row>
    <row r="80" spans="1:4" ht="20.100000000000001">
      <c r="A80" s="84"/>
      <c r="B80" s="15"/>
      <c r="C80" s="20"/>
      <c r="D80" s="20"/>
    </row>
    <row r="81" spans="1:4" ht="20.100000000000001">
      <c r="A81" s="84"/>
      <c r="B81" s="15"/>
      <c r="C81" s="20"/>
      <c r="D81" s="20"/>
    </row>
    <row r="82" spans="1:4" ht="20.100000000000001">
      <c r="A82" s="84"/>
      <c r="B82" s="15"/>
      <c r="C82" s="20"/>
      <c r="D82" s="20"/>
    </row>
    <row r="83" spans="1:4" ht="20.100000000000001">
      <c r="A83" s="84"/>
      <c r="B83" s="15"/>
      <c r="C83" s="20"/>
      <c r="D83" s="20"/>
    </row>
    <row r="84" spans="1:4" ht="20.100000000000001">
      <c r="A84" s="84"/>
      <c r="B84" s="15"/>
      <c r="C84" s="20"/>
      <c r="D84" s="20"/>
    </row>
    <row r="85" spans="1:4" ht="20.100000000000001">
      <c r="A85" s="84"/>
      <c r="B85" s="15"/>
      <c r="C85" s="20"/>
      <c r="D85" s="20"/>
    </row>
    <row r="86" spans="1:4" ht="20.100000000000001">
      <c r="A86" s="84"/>
      <c r="B86" s="15"/>
      <c r="C86" s="20"/>
      <c r="D86" s="20"/>
    </row>
    <row r="87" spans="1:4" ht="20.100000000000001">
      <c r="A87" s="84"/>
      <c r="B87" s="15"/>
      <c r="C87" s="20"/>
      <c r="D87" s="20"/>
    </row>
    <row r="88" spans="1:4" ht="20.100000000000001">
      <c r="A88" s="84"/>
      <c r="B88" s="15"/>
      <c r="C88" s="20"/>
      <c r="D88" s="20"/>
    </row>
    <row r="89" spans="1:4" ht="20.100000000000001">
      <c r="A89" s="84"/>
      <c r="B89" s="15"/>
      <c r="C89" s="20"/>
      <c r="D89" s="20"/>
    </row>
    <row r="90" spans="1:4" ht="20.100000000000001">
      <c r="A90" s="84"/>
      <c r="B90" s="15"/>
      <c r="C90" s="20"/>
      <c r="D90" s="20"/>
    </row>
    <row r="91" spans="1:4" ht="20.100000000000001">
      <c r="A91" s="84"/>
      <c r="B91" s="15"/>
      <c r="C91" s="20"/>
      <c r="D91" s="20"/>
    </row>
    <row r="92" spans="1:4" ht="20.100000000000001">
      <c r="A92" s="84"/>
      <c r="B92" s="15"/>
      <c r="C92" s="20"/>
      <c r="D92" s="20"/>
    </row>
    <row r="93" spans="1:4" ht="20.100000000000001">
      <c r="A93" s="84"/>
      <c r="B93" s="15"/>
      <c r="C93" s="20"/>
      <c r="D93" s="20"/>
    </row>
    <row r="94" spans="1:4" ht="20.100000000000001">
      <c r="A94" s="84"/>
      <c r="B94" s="15"/>
      <c r="C94" s="20"/>
      <c r="D94" s="20"/>
    </row>
    <row r="95" spans="1:4" ht="20.100000000000001">
      <c r="A95" s="84"/>
      <c r="B95" s="15"/>
      <c r="C95" s="20"/>
      <c r="D95" s="20"/>
    </row>
    <row r="96" spans="1:4" ht="20.100000000000001">
      <c r="A96" s="84"/>
      <c r="B96" s="15"/>
      <c r="C96" s="20"/>
      <c r="D96" s="20"/>
    </row>
    <row r="97" spans="1:4" ht="20.100000000000001">
      <c r="A97" s="84"/>
      <c r="B97" s="15"/>
      <c r="C97" s="20"/>
      <c r="D97" s="20"/>
    </row>
    <row r="98" spans="1:4" ht="20.100000000000001">
      <c r="A98" s="84"/>
      <c r="B98" s="15"/>
      <c r="C98" s="20"/>
      <c r="D98" s="20"/>
    </row>
    <row r="99" spans="1:4" ht="20.100000000000001">
      <c r="A99" s="84"/>
      <c r="B99" s="15"/>
      <c r="C99" s="20"/>
      <c r="D99" s="20"/>
    </row>
    <row r="100" spans="1:4" ht="20.100000000000001">
      <c r="A100" s="84"/>
      <c r="B100" s="15"/>
      <c r="C100" s="20"/>
      <c r="D100" s="20"/>
    </row>
    <row r="101" spans="1:4" ht="20.100000000000001">
      <c r="A101" s="84"/>
      <c r="B101" s="15"/>
      <c r="C101" s="20"/>
      <c r="D101" s="20"/>
    </row>
    <row r="102" spans="1:4" ht="20.100000000000001">
      <c r="A102" s="84"/>
      <c r="B102" s="15"/>
      <c r="C102" s="20"/>
      <c r="D102" s="20"/>
    </row>
    <row r="103" spans="1:4" ht="20.100000000000001">
      <c r="A103" s="84"/>
      <c r="B103" s="15"/>
      <c r="C103" s="20"/>
      <c r="D103" s="20"/>
    </row>
    <row r="104" spans="1:4" ht="20.100000000000001">
      <c r="A104" s="84"/>
      <c r="B104" s="15"/>
      <c r="C104" s="20"/>
      <c r="D104" s="20"/>
    </row>
    <row r="105" spans="1:4" ht="20.100000000000001">
      <c r="A105" s="84"/>
      <c r="B105" s="15"/>
      <c r="C105" s="20"/>
      <c r="D105" s="20"/>
    </row>
    <row r="106" spans="1:4" ht="20.100000000000001">
      <c r="A106" s="84"/>
      <c r="B106" s="15"/>
      <c r="C106" s="20"/>
      <c r="D106" s="20"/>
    </row>
    <row r="107" spans="1:4" ht="20.100000000000001">
      <c r="A107" s="84"/>
      <c r="B107" s="15"/>
      <c r="C107" s="20"/>
      <c r="D107" s="20"/>
    </row>
    <row r="108" spans="1:4" ht="20.100000000000001">
      <c r="A108" s="84"/>
      <c r="B108" s="15"/>
      <c r="C108" s="20"/>
      <c r="D108" s="20"/>
    </row>
    <row r="109" spans="1:4" ht="20.100000000000001">
      <c r="A109" s="84"/>
      <c r="B109" s="15"/>
      <c r="C109" s="20"/>
      <c r="D109" s="20"/>
    </row>
    <row r="110" spans="1:4" ht="20.100000000000001">
      <c r="A110" s="84"/>
      <c r="B110" s="15"/>
      <c r="C110" s="20"/>
      <c r="D110" s="20"/>
    </row>
    <row r="111" spans="1:4" ht="20.100000000000001">
      <c r="A111" s="84"/>
      <c r="B111" s="15"/>
      <c r="C111" s="20"/>
      <c r="D111" s="20"/>
    </row>
    <row r="112" spans="1:4" ht="20.100000000000001">
      <c r="A112" s="84"/>
      <c r="B112" s="15"/>
      <c r="C112" s="20"/>
      <c r="D112" s="20"/>
    </row>
    <row r="113" spans="1:4" ht="20.100000000000001">
      <c r="A113" s="84"/>
      <c r="B113" s="15"/>
      <c r="C113" s="20"/>
      <c r="D113" s="20"/>
    </row>
    <row r="114" spans="1:4" ht="20.100000000000001">
      <c r="A114" s="84"/>
      <c r="B114" s="15"/>
      <c r="C114" s="20"/>
      <c r="D114" s="20"/>
    </row>
    <row r="115" spans="1:4" ht="20.100000000000001">
      <c r="A115" s="84"/>
      <c r="B115" s="15"/>
      <c r="C115" s="20"/>
      <c r="D115" s="20"/>
    </row>
    <row r="116" spans="1:4" ht="20.100000000000001">
      <c r="A116" s="84"/>
      <c r="B116" s="15"/>
      <c r="C116" s="20"/>
      <c r="D116" s="20"/>
    </row>
    <row r="117" spans="1:4" ht="20.100000000000001">
      <c r="A117" s="84"/>
      <c r="B117" s="15"/>
      <c r="C117" s="20"/>
      <c r="D117" s="20"/>
    </row>
    <row r="118" spans="1:4" ht="20.100000000000001">
      <c r="A118" s="84"/>
      <c r="B118" s="15"/>
      <c r="C118" s="20"/>
      <c r="D118" s="20"/>
    </row>
    <row r="119" spans="1:4" ht="20.100000000000001">
      <c r="A119" s="84"/>
      <c r="B119" s="15"/>
      <c r="C119" s="20"/>
      <c r="D119" s="20"/>
    </row>
    <row r="120" spans="1:4" ht="20.100000000000001">
      <c r="A120" s="84"/>
      <c r="B120" s="15"/>
      <c r="C120" s="20"/>
      <c r="D120" s="20"/>
    </row>
    <row r="121" spans="1:4" ht="20.100000000000001">
      <c r="A121" s="84"/>
      <c r="B121" s="15"/>
      <c r="C121" s="20"/>
      <c r="D121" s="20"/>
    </row>
    <row r="122" spans="1:4" ht="20.100000000000001">
      <c r="A122" s="84"/>
      <c r="B122" s="15"/>
      <c r="C122" s="20"/>
      <c r="D122" s="20"/>
    </row>
    <row r="123" spans="1:4" ht="20.100000000000001">
      <c r="A123" s="84"/>
      <c r="B123" s="15"/>
      <c r="C123" s="20"/>
      <c r="D123" s="20"/>
    </row>
    <row r="124" spans="1:4" ht="20.100000000000001">
      <c r="A124" s="84"/>
      <c r="B124" s="15"/>
      <c r="C124" s="20"/>
      <c r="D124" s="20"/>
    </row>
    <row r="125" spans="1:4" ht="20.100000000000001">
      <c r="A125" s="84"/>
      <c r="B125" s="15"/>
      <c r="C125" s="20"/>
      <c r="D125" s="20"/>
    </row>
    <row r="126" spans="1:4" ht="20.100000000000001">
      <c r="A126" s="84"/>
      <c r="B126" s="15"/>
      <c r="C126" s="20"/>
      <c r="D126" s="20"/>
    </row>
    <row r="127" spans="1:4" ht="20.100000000000001">
      <c r="A127" s="84"/>
      <c r="B127" s="15"/>
      <c r="C127" s="20"/>
      <c r="D127" s="20"/>
    </row>
    <row r="128" spans="1:4" ht="20.100000000000001">
      <c r="A128" s="84"/>
      <c r="B128" s="15"/>
      <c r="C128" s="20"/>
      <c r="D128" s="20"/>
    </row>
    <row r="129" spans="1:4" ht="20.100000000000001">
      <c r="A129" s="84"/>
      <c r="B129" s="15"/>
      <c r="C129" s="20"/>
      <c r="D129" s="20"/>
    </row>
    <row r="130" spans="1:4" ht="20.100000000000001">
      <c r="A130" s="84"/>
      <c r="B130" s="15"/>
      <c r="C130" s="20"/>
      <c r="D130" s="20"/>
    </row>
    <row r="131" spans="1:4" ht="20.100000000000001">
      <c r="A131" s="84"/>
      <c r="B131" s="15"/>
      <c r="C131" s="20"/>
      <c r="D131" s="20"/>
    </row>
    <row r="132" spans="1:4" ht="20.100000000000001">
      <c r="A132" s="84"/>
      <c r="B132" s="15"/>
      <c r="C132" s="20"/>
      <c r="D132" s="20"/>
    </row>
    <row r="133" spans="1:4" ht="20.100000000000001">
      <c r="A133" s="84"/>
      <c r="B133" s="15"/>
      <c r="C133" s="20"/>
      <c r="D133" s="20"/>
    </row>
    <row r="134" spans="1:4" ht="20.100000000000001">
      <c r="A134" s="84"/>
      <c r="B134" s="15"/>
      <c r="C134" s="20"/>
      <c r="D134" s="20"/>
    </row>
    <row r="135" spans="1:4" ht="20.100000000000001">
      <c r="A135" s="84"/>
      <c r="B135" s="15"/>
      <c r="C135" s="20"/>
      <c r="D135" s="20"/>
    </row>
    <row r="136" spans="1:4" ht="20.100000000000001">
      <c r="A136" s="84"/>
      <c r="B136" s="15"/>
      <c r="C136" s="20"/>
      <c r="D136" s="20"/>
    </row>
    <row r="137" spans="1:4" ht="20.100000000000001">
      <c r="A137" s="84"/>
      <c r="B137" s="15"/>
      <c r="C137" s="20"/>
      <c r="D137" s="20"/>
    </row>
    <row r="138" spans="1:4" ht="20.100000000000001">
      <c r="A138" s="84"/>
      <c r="B138" s="15"/>
      <c r="C138" s="20"/>
      <c r="D138" s="20"/>
    </row>
    <row r="139" spans="1:4" ht="20.100000000000001">
      <c r="A139" s="84"/>
      <c r="B139" s="15"/>
      <c r="C139" s="20"/>
      <c r="D139" s="20"/>
    </row>
    <row r="140" spans="1:4" ht="20.100000000000001">
      <c r="A140" s="84"/>
      <c r="B140" s="15"/>
      <c r="C140" s="20"/>
      <c r="D140" s="20"/>
    </row>
    <row r="141" spans="1:4" ht="20.100000000000001">
      <c r="A141" s="84"/>
      <c r="B141" s="15"/>
      <c r="C141" s="20"/>
      <c r="D141" s="20"/>
    </row>
    <row r="142" spans="1:4" ht="20.100000000000001">
      <c r="A142" s="84"/>
      <c r="B142" s="15"/>
      <c r="C142" s="20"/>
      <c r="D142" s="20"/>
    </row>
    <row r="143" spans="1:4" ht="20.100000000000001">
      <c r="A143" s="84"/>
      <c r="B143" s="15"/>
      <c r="C143" s="20"/>
      <c r="D143" s="20"/>
    </row>
    <row r="144" spans="1:4" ht="20.100000000000001">
      <c r="A144" s="84"/>
      <c r="B144" s="15"/>
      <c r="C144" s="20"/>
      <c r="D144" s="20"/>
    </row>
    <row r="145" spans="1:4" ht="20.100000000000001">
      <c r="A145" s="84"/>
      <c r="B145" s="15"/>
      <c r="C145" s="20"/>
      <c r="D145" s="20"/>
    </row>
    <row r="146" spans="1:4" ht="20.100000000000001">
      <c r="A146" s="84"/>
      <c r="B146" s="15"/>
      <c r="C146" s="20"/>
      <c r="D146" s="20"/>
    </row>
    <row r="147" spans="1:4" ht="20.100000000000001">
      <c r="A147" s="84"/>
      <c r="B147" s="15"/>
      <c r="C147" s="20"/>
      <c r="D147" s="20"/>
    </row>
    <row r="148" spans="1:4" ht="20.100000000000001">
      <c r="A148" s="84"/>
      <c r="B148" s="15"/>
      <c r="C148" s="20"/>
      <c r="D148" s="20"/>
    </row>
    <row r="149" spans="1:4" ht="20.100000000000001">
      <c r="A149" s="84"/>
      <c r="B149" s="15"/>
      <c r="C149" s="20"/>
      <c r="D149" s="20"/>
    </row>
    <row r="150" spans="1:4" ht="20.100000000000001">
      <c r="A150" s="84"/>
      <c r="B150" s="15"/>
      <c r="C150" s="20"/>
      <c r="D150" s="20"/>
    </row>
    <row r="151" spans="1:4" ht="20.100000000000001">
      <c r="A151" s="84"/>
      <c r="B151" s="15"/>
      <c r="C151" s="20"/>
      <c r="D151" s="20"/>
    </row>
    <row r="152" spans="1:4" ht="20.100000000000001">
      <c r="A152" s="84"/>
      <c r="B152" s="15"/>
      <c r="C152" s="20"/>
      <c r="D152" s="20"/>
    </row>
    <row r="153" spans="1:4" ht="20.100000000000001">
      <c r="A153" s="84"/>
      <c r="B153" s="15"/>
      <c r="C153" s="20"/>
      <c r="D153" s="20"/>
    </row>
    <row r="154" spans="1:4" ht="20.100000000000001">
      <c r="A154" s="84"/>
      <c r="B154" s="15"/>
      <c r="C154" s="20"/>
      <c r="D154" s="20"/>
    </row>
    <row r="155" spans="1:4" ht="20.100000000000001">
      <c r="A155" s="84"/>
      <c r="B155" s="15"/>
      <c r="C155" s="20"/>
      <c r="D155" s="20"/>
    </row>
    <row r="156" spans="1:4" ht="20.100000000000001">
      <c r="A156" s="84"/>
      <c r="B156" s="15"/>
      <c r="C156" s="20"/>
      <c r="D156" s="20"/>
    </row>
    <row r="157" spans="1:4" ht="20.100000000000001">
      <c r="A157" s="84"/>
      <c r="B157" s="15"/>
      <c r="C157" s="20"/>
      <c r="D157" s="20"/>
    </row>
    <row r="158" spans="1:4" ht="20.100000000000001">
      <c r="A158" s="84"/>
      <c r="B158" s="15"/>
      <c r="C158" s="20"/>
      <c r="D158" s="20"/>
    </row>
    <row r="159" spans="1:4" ht="20.100000000000001">
      <c r="A159" s="84"/>
      <c r="B159" s="15"/>
      <c r="C159" s="20"/>
      <c r="D159" s="20"/>
    </row>
    <row r="160" spans="1:4" ht="20.100000000000001">
      <c r="A160" s="84"/>
      <c r="B160" s="15"/>
      <c r="C160" s="20"/>
      <c r="D160" s="20"/>
    </row>
    <row r="161" spans="1:4" ht="20.100000000000001">
      <c r="A161" s="84"/>
      <c r="B161" s="15"/>
      <c r="C161" s="20"/>
      <c r="D161" s="20"/>
    </row>
    <row r="162" spans="1:4" ht="20.100000000000001">
      <c r="A162" s="84"/>
      <c r="B162" s="15"/>
      <c r="C162" s="20"/>
      <c r="D162" s="20"/>
    </row>
    <row r="163" spans="1:4" ht="20.100000000000001">
      <c r="A163" s="84"/>
      <c r="B163" s="15"/>
      <c r="C163" s="20"/>
      <c r="D163" s="20"/>
    </row>
    <row r="164" spans="1:4" ht="20.100000000000001">
      <c r="A164" s="84"/>
      <c r="B164" s="15"/>
      <c r="C164" s="20"/>
      <c r="D164" s="20"/>
    </row>
    <row r="165" spans="1:4" ht="20.100000000000001">
      <c r="A165" s="84"/>
      <c r="B165" s="15"/>
      <c r="C165" s="20"/>
      <c r="D165" s="20"/>
    </row>
    <row r="166" spans="1:4" ht="20.100000000000001">
      <c r="A166" s="84"/>
      <c r="B166" s="15"/>
      <c r="C166" s="20"/>
      <c r="D166" s="20"/>
    </row>
    <row r="167" spans="1:4" ht="20.100000000000001">
      <c r="A167" s="84"/>
      <c r="B167" s="15"/>
      <c r="C167" s="20"/>
      <c r="D167" s="20"/>
    </row>
    <row r="168" spans="1:4" ht="20.100000000000001">
      <c r="A168" s="84"/>
      <c r="B168" s="15"/>
      <c r="C168" s="20"/>
      <c r="D168" s="20"/>
    </row>
    <row r="169" spans="1:4" ht="20.100000000000001">
      <c r="A169" s="84"/>
      <c r="B169" s="15"/>
      <c r="C169" s="20"/>
      <c r="D169" s="20"/>
    </row>
    <row r="170" spans="1:4" ht="20.100000000000001">
      <c r="A170" s="84"/>
      <c r="B170" s="15"/>
      <c r="C170" s="20"/>
      <c r="D170" s="20"/>
    </row>
    <row r="171" spans="1:4" ht="20.100000000000001">
      <c r="A171" s="84"/>
      <c r="B171" s="15"/>
      <c r="C171" s="20"/>
      <c r="D171" s="20"/>
    </row>
    <row r="172" spans="1:4" ht="20.100000000000001">
      <c r="A172" s="84"/>
      <c r="B172" s="15"/>
      <c r="C172" s="20"/>
      <c r="D172" s="20"/>
    </row>
    <row r="173" spans="1:4" ht="20.100000000000001">
      <c r="A173" s="84"/>
      <c r="B173" s="15"/>
      <c r="C173" s="20"/>
      <c r="D173" s="20"/>
    </row>
    <row r="174" spans="1:4" ht="20.100000000000001">
      <c r="A174" s="84"/>
      <c r="B174" s="15"/>
      <c r="C174" s="20"/>
      <c r="D174" s="20"/>
    </row>
    <row r="175" spans="1:4" ht="20.100000000000001">
      <c r="A175" s="84"/>
      <c r="B175" s="15"/>
      <c r="C175" s="20"/>
      <c r="D175" s="20"/>
    </row>
    <row r="176" spans="1:4" ht="20.100000000000001">
      <c r="A176" s="84"/>
      <c r="B176" s="15"/>
      <c r="C176" s="20"/>
      <c r="D176" s="20"/>
    </row>
    <row r="177" spans="1:4" ht="20.100000000000001">
      <c r="A177" s="84"/>
      <c r="B177" s="15"/>
      <c r="C177" s="20"/>
      <c r="D177" s="20"/>
    </row>
    <row r="178" spans="1:4" ht="20.100000000000001">
      <c r="A178" s="84"/>
      <c r="B178" s="15"/>
      <c r="C178" s="20"/>
      <c r="D178" s="20"/>
    </row>
    <row r="179" spans="1:4" ht="20.100000000000001">
      <c r="A179" s="84"/>
      <c r="B179" s="15"/>
      <c r="C179" s="20"/>
      <c r="D179" s="20"/>
    </row>
    <row r="180" spans="1:4" ht="20.100000000000001">
      <c r="A180" s="84"/>
      <c r="B180" s="15"/>
      <c r="C180" s="20"/>
      <c r="D180" s="20"/>
    </row>
    <row r="181" spans="1:4" ht="20.100000000000001">
      <c r="A181" s="84"/>
      <c r="B181" s="15"/>
      <c r="C181" s="20"/>
      <c r="D181" s="20"/>
    </row>
    <row r="182" spans="1:4" ht="20.100000000000001">
      <c r="A182" s="84"/>
      <c r="B182" s="15"/>
      <c r="C182" s="20"/>
      <c r="D182" s="20"/>
    </row>
    <row r="183" spans="1:4" ht="20.100000000000001">
      <c r="A183" s="84"/>
      <c r="B183" s="15"/>
      <c r="C183" s="20"/>
      <c r="D183" s="20"/>
    </row>
    <row r="184" spans="1:4" ht="20.100000000000001">
      <c r="A184" s="84"/>
      <c r="B184" s="15"/>
      <c r="C184" s="20"/>
      <c r="D184" s="20"/>
    </row>
    <row r="185" spans="1:4" ht="20.100000000000001">
      <c r="A185" s="84"/>
      <c r="B185" s="15"/>
      <c r="C185" s="20"/>
      <c r="D185" s="20"/>
    </row>
    <row r="186" spans="1:4" ht="20.100000000000001">
      <c r="A186" s="84"/>
      <c r="B186" s="15"/>
      <c r="C186" s="20"/>
      <c r="D186" s="20"/>
    </row>
    <row r="187" spans="1:4" ht="20.100000000000001">
      <c r="A187" s="84"/>
      <c r="B187" s="15"/>
      <c r="C187" s="20"/>
      <c r="D187" s="20"/>
    </row>
    <row r="188" spans="1:4" ht="20.100000000000001">
      <c r="A188" s="84"/>
      <c r="B188" s="15"/>
      <c r="C188" s="20"/>
      <c r="D188" s="20"/>
    </row>
    <row r="189" spans="1:4" ht="20.100000000000001">
      <c r="A189" s="84"/>
      <c r="B189" s="15"/>
      <c r="C189" s="20"/>
      <c r="D189" s="20"/>
    </row>
    <row r="190" spans="1:4" ht="20.100000000000001">
      <c r="A190" s="84"/>
      <c r="B190" s="15"/>
      <c r="C190" s="20"/>
      <c r="D190" s="20"/>
    </row>
    <row r="191" spans="1:4" ht="20.100000000000001">
      <c r="A191" s="84"/>
      <c r="B191" s="15"/>
      <c r="C191" s="20"/>
      <c r="D191" s="20"/>
    </row>
    <row r="192" spans="1:4" ht="20.100000000000001">
      <c r="A192" s="84"/>
      <c r="B192" s="15"/>
      <c r="C192" s="20"/>
      <c r="D192" s="20"/>
    </row>
    <row r="193" spans="1:4" ht="20.100000000000001">
      <c r="A193" s="84"/>
      <c r="B193" s="15"/>
      <c r="C193" s="20"/>
      <c r="D193" s="20"/>
    </row>
    <row r="194" spans="1:4" ht="20.100000000000001">
      <c r="A194" s="84"/>
      <c r="B194" s="15"/>
      <c r="C194" s="20"/>
      <c r="D194" s="20"/>
    </row>
    <row r="195" spans="1:4" ht="20.100000000000001">
      <c r="A195" s="84"/>
      <c r="B195" s="15"/>
      <c r="C195" s="20"/>
      <c r="D195" s="20"/>
    </row>
    <row r="196" spans="1:4" ht="20.100000000000001">
      <c r="A196" s="84"/>
      <c r="B196" s="15"/>
      <c r="C196" s="20"/>
      <c r="D196" s="20"/>
    </row>
    <row r="197" spans="1:4" ht="20.100000000000001">
      <c r="A197" s="84"/>
      <c r="B197" s="15"/>
      <c r="C197" s="20"/>
      <c r="D197" s="20"/>
    </row>
    <row r="198" spans="1:4" ht="20.100000000000001">
      <c r="A198" s="84"/>
      <c r="B198" s="15"/>
      <c r="C198" s="20"/>
      <c r="D198" s="20"/>
    </row>
    <row r="199" spans="1:4" ht="20.100000000000001">
      <c r="A199" s="84"/>
      <c r="B199" s="15"/>
      <c r="C199" s="20"/>
      <c r="D199" s="20"/>
    </row>
    <row r="200" spans="1:4" ht="20.100000000000001">
      <c r="A200" s="84"/>
      <c r="B200" s="15"/>
      <c r="C200" s="20"/>
      <c r="D200" s="20"/>
    </row>
    <row r="201" spans="1:4" ht="20.100000000000001">
      <c r="A201" s="84"/>
      <c r="B201" s="15"/>
      <c r="C201" s="20"/>
      <c r="D201" s="20"/>
    </row>
    <row r="202" spans="1:4" ht="20.100000000000001">
      <c r="A202" s="84"/>
      <c r="B202" s="15"/>
      <c r="C202" s="20"/>
      <c r="D202" s="20"/>
    </row>
    <row r="203" spans="1:4" ht="20.100000000000001">
      <c r="A203" s="84"/>
      <c r="B203" s="15"/>
      <c r="C203" s="20"/>
      <c r="D203" s="20"/>
    </row>
    <row r="204" spans="1:4" ht="20.100000000000001">
      <c r="A204" s="84"/>
      <c r="B204" s="15"/>
      <c r="C204" s="20"/>
      <c r="D204" s="20"/>
    </row>
    <row r="205" spans="1:4" ht="20.100000000000001">
      <c r="A205" s="84"/>
      <c r="B205" s="15"/>
      <c r="C205" s="20"/>
      <c r="D205" s="20"/>
    </row>
    <row r="206" spans="1:4" ht="20.100000000000001">
      <c r="A206" s="84"/>
      <c r="B206" s="15"/>
      <c r="C206" s="20"/>
      <c r="D206" s="20"/>
    </row>
    <row r="207" spans="1:4" ht="20.100000000000001">
      <c r="A207" s="84"/>
      <c r="B207" s="15"/>
      <c r="C207" s="20"/>
      <c r="D207" s="20"/>
    </row>
    <row r="208" spans="1:4">
      <c r="A208" s="68"/>
      <c r="B208" s="15"/>
      <c r="C208" s="15"/>
      <c r="D208" s="15"/>
    </row>
    <row r="209" spans="1:8" ht="20.100000000000001">
      <c r="A209" s="68"/>
      <c r="B209" s="16" t="s">
        <v>465</v>
      </c>
      <c r="C209" s="16" t="s">
        <v>466</v>
      </c>
      <c r="D209" s="19" t="s">
        <v>465</v>
      </c>
      <c r="E209" s="19" t="s">
        <v>466</v>
      </c>
    </row>
    <row r="210" spans="1:8" ht="21">
      <c r="A210" s="68"/>
      <c r="B210" s="17" t="s">
        <v>467</v>
      </c>
      <c r="C210" s="17" t="s">
        <v>468</v>
      </c>
      <c r="D210" t="s">
        <v>467</v>
      </c>
      <c r="F210" t="str">
        <f>IF(NOT(ISBLANK(D210)),D210,IF(NOT(ISBLANK(E210)),"     "&amp;E210,FALSE))</f>
        <v>Afectación Económica o presupuestal</v>
      </c>
      <c r="G210" t="s">
        <v>467</v>
      </c>
      <c r="H210" t="str">
        <f>IF(NOT(ISERROR(MATCH(G210,_xlfn.ANCHORARRAY(B221),0))),F223&amp;"Por favor no seleccionar los criterios de impacto",G210)</f>
        <v>❌Por favor no seleccionar los criterios de impacto</v>
      </c>
    </row>
    <row r="211" spans="1:8" ht="21">
      <c r="A211" s="68"/>
      <c r="B211" s="17" t="s">
        <v>467</v>
      </c>
      <c r="C211" s="17" t="s">
        <v>452</v>
      </c>
      <c r="E211" t="s">
        <v>468</v>
      </c>
      <c r="F211" t="str">
        <f t="shared" ref="F211:F221" si="0">IF(NOT(ISBLANK(D211)),D211,IF(NOT(ISBLANK(E211)),"     "&amp;E211,FALSE))</f>
        <v xml:space="preserve">     Afectación menor a 10 SMLMV .</v>
      </c>
    </row>
    <row r="212" spans="1:8" ht="21">
      <c r="A212" s="68"/>
      <c r="B212" s="17" t="s">
        <v>467</v>
      </c>
      <c r="C212" s="17" t="s">
        <v>455</v>
      </c>
      <c r="E212" t="s">
        <v>452</v>
      </c>
      <c r="F212" t="str">
        <f t="shared" si="0"/>
        <v xml:space="preserve">     Entre 10 y 50 SMLMV </v>
      </c>
    </row>
    <row r="213" spans="1:8" ht="21">
      <c r="A213" s="68"/>
      <c r="B213" s="17" t="s">
        <v>467</v>
      </c>
      <c r="C213" s="17" t="s">
        <v>458</v>
      </c>
      <c r="E213" t="s">
        <v>455</v>
      </c>
      <c r="F213" t="str">
        <f t="shared" si="0"/>
        <v xml:space="preserve">     Entre 50 y 100 SMLMV </v>
      </c>
    </row>
    <row r="214" spans="1:8" ht="21">
      <c r="A214" s="68"/>
      <c r="B214" s="17" t="s">
        <v>467</v>
      </c>
      <c r="C214" s="17" t="s">
        <v>461</v>
      </c>
      <c r="E214" t="s">
        <v>458</v>
      </c>
      <c r="F214" t="str">
        <f t="shared" si="0"/>
        <v xml:space="preserve">     Entre 100 y 500 SMLMV </v>
      </c>
    </row>
    <row r="215" spans="1:8" ht="21">
      <c r="A215" s="68"/>
      <c r="B215" s="17" t="s">
        <v>446</v>
      </c>
      <c r="C215" s="17" t="s">
        <v>450</v>
      </c>
      <c r="E215" t="s">
        <v>461</v>
      </c>
      <c r="F215" t="str">
        <f t="shared" si="0"/>
        <v xml:space="preserve">     Mayor a 500 SMLMV </v>
      </c>
    </row>
    <row r="216" spans="1:8" ht="21">
      <c r="A216" s="68"/>
      <c r="B216" s="17" t="s">
        <v>446</v>
      </c>
      <c r="C216" s="17" t="s">
        <v>453</v>
      </c>
      <c r="D216" t="s">
        <v>446</v>
      </c>
      <c r="F216" t="str">
        <f t="shared" si="0"/>
        <v>Pérdida Reputacional</v>
      </c>
    </row>
    <row r="217" spans="1:8" ht="21">
      <c r="A217" s="68"/>
      <c r="B217" s="17" t="s">
        <v>446</v>
      </c>
      <c r="C217" s="17" t="s">
        <v>456</v>
      </c>
      <c r="E217" t="s">
        <v>450</v>
      </c>
      <c r="F217" t="str">
        <f t="shared" si="0"/>
        <v xml:space="preserve">     El riesgo afecta la imagen de alguna área de la organización</v>
      </c>
    </row>
    <row r="218" spans="1:8" ht="21">
      <c r="A218" s="68"/>
      <c r="B218" s="17" t="s">
        <v>446</v>
      </c>
      <c r="C218" s="17" t="s">
        <v>469</v>
      </c>
      <c r="E218" t="s">
        <v>453</v>
      </c>
      <c r="F218" t="str">
        <f t="shared" si="0"/>
        <v xml:space="preserve">     El riesgo afecta la imagen de la entidad internamente, de conocimiento general, nivel interno, de junta dircetiva y accionistas y/o de provedores</v>
      </c>
    </row>
    <row r="219" spans="1:8" ht="21">
      <c r="A219" s="68"/>
      <c r="B219" s="17" t="s">
        <v>446</v>
      </c>
      <c r="C219" s="17" t="s">
        <v>462</v>
      </c>
      <c r="E219" t="s">
        <v>456</v>
      </c>
      <c r="F219" t="str">
        <f t="shared" si="0"/>
        <v xml:space="preserve">     El riesgo afecta la imagen de la entidad con algunos usuarios de relevancia frente al logro de los objetivos</v>
      </c>
    </row>
    <row r="220" spans="1:8">
      <c r="A220" s="68"/>
      <c r="B220" s="18"/>
      <c r="C220" s="18"/>
      <c r="E220" t="s">
        <v>469</v>
      </c>
      <c r="F220" t="str">
        <f t="shared" si="0"/>
        <v xml:space="preserve">     El riesgo afecta la imagen de de la entidad con efecto publicitario sostenido a nivel de sector administrativo, nivel departamental o municipal</v>
      </c>
    </row>
    <row r="221" spans="1:8">
      <c r="A221" s="68"/>
      <c r="B221" s="18" t="str">
        <f t="array" ref="B221:B223">_xlfn.UNIQUE(Tabla1[[#All],[Criterios]])</f>
        <v>Criterios</v>
      </c>
      <c r="C221" s="18"/>
      <c r="E221" t="s">
        <v>462</v>
      </c>
      <c r="F221" t="str">
        <f t="shared" si="0"/>
        <v xml:space="preserve">     El riesgo afecta la imagen de la entidad a nivel nacional, con efecto publicitarios sostenible a nivel país</v>
      </c>
    </row>
    <row r="222" spans="1:8">
      <c r="A222" s="68"/>
      <c r="B222" s="18" t="str">
        <v>Afectación Económica o presupuestal</v>
      </c>
      <c r="C222" s="18"/>
    </row>
    <row r="223" spans="1:8">
      <c r="B223" s="18" t="str">
        <v>Pérdida Reputacional</v>
      </c>
      <c r="C223" s="18"/>
      <c r="F223" s="21" t="s">
        <v>470</v>
      </c>
    </row>
    <row r="224" spans="1:8">
      <c r="B224" s="14"/>
      <c r="C224" s="14"/>
      <c r="F224" s="21" t="s">
        <v>471</v>
      </c>
    </row>
    <row r="225" spans="2:4">
      <c r="B225" s="14"/>
      <c r="C225" s="14"/>
    </row>
    <row r="226" spans="2:4">
      <c r="B226" s="14"/>
      <c r="C226" s="14"/>
    </row>
    <row r="227" spans="2:4">
      <c r="B227" s="14"/>
      <c r="C227" s="14"/>
      <c r="D227" s="14"/>
    </row>
    <row r="228" spans="2:4">
      <c r="B228" s="14"/>
      <c r="C228" s="14"/>
      <c r="D228" s="14"/>
    </row>
    <row r="229" spans="2:4">
      <c r="B229" s="14"/>
      <c r="C229" s="14"/>
      <c r="D229" s="14"/>
    </row>
    <row r="230" spans="2:4">
      <c r="B230" s="14"/>
      <c r="C230" s="14"/>
      <c r="D230" s="14"/>
    </row>
    <row r="231" spans="2:4">
      <c r="B231" s="14"/>
      <c r="C231" s="14"/>
      <c r="D231" s="14"/>
    </row>
    <row r="232" spans="2:4">
      <c r="B232" s="14"/>
      <c r="C232" s="14"/>
      <c r="D232" s="14"/>
    </row>
  </sheetData>
  <mergeCells count="1">
    <mergeCell ref="B1:D1"/>
  </mergeCells>
  <dataValidations count="1">
    <dataValidation type="list" allowBlank="1" showInputMessage="1" showErrorMessage="1" sqref="G210" xr:uid="{00000000-0002-0000-1000-000000000000}">
      <formula1>$F$210:$F$221</formula1>
    </dataValidation>
  </dataValidations>
  <pageMargins left="0.7" right="0.7" top="0.75" bottom="0.75" header="0.3" footer="0.3"/>
  <pageSetup orientation="portrait"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7" tint="-0.249977111117893"/>
  </sheetPr>
  <dimension ref="B1:F16"/>
  <sheetViews>
    <sheetView workbookViewId="0">
      <selection activeCell="I11" sqref="I11"/>
    </sheetView>
  </sheetViews>
  <sheetFormatPr defaultColWidth="14.28515625" defaultRowHeight="12.95"/>
  <cols>
    <col min="1" max="2" width="14.28515625" style="73"/>
    <col min="3" max="3" width="17" style="73" customWidth="1"/>
    <col min="4" max="4" width="14.28515625" style="73"/>
    <col min="5" max="5" width="46" style="73" customWidth="1"/>
    <col min="6" max="16384" width="14.28515625" style="73"/>
  </cols>
  <sheetData>
    <row r="1" spans="2:6" ht="24" customHeight="1" thickBot="1">
      <c r="B1" s="630" t="s">
        <v>472</v>
      </c>
      <c r="C1" s="631"/>
      <c r="D1" s="631"/>
      <c r="E1" s="631"/>
      <c r="F1" s="632"/>
    </row>
    <row r="2" spans="2:6" ht="15.95" thickBot="1">
      <c r="B2" s="74"/>
      <c r="C2" s="74"/>
      <c r="D2" s="74"/>
      <c r="E2" s="74"/>
      <c r="F2" s="74"/>
    </row>
    <row r="3" spans="2:6" ht="15.95" thickBot="1">
      <c r="B3" s="634" t="s">
        <v>473</v>
      </c>
      <c r="C3" s="635"/>
      <c r="D3" s="635"/>
      <c r="E3" s="211" t="s">
        <v>474</v>
      </c>
      <c r="F3" s="83" t="s">
        <v>475</v>
      </c>
    </row>
    <row r="4" spans="2:6" ht="30.95">
      <c r="B4" s="636" t="s">
        <v>476</v>
      </c>
      <c r="C4" s="638" t="s">
        <v>102</v>
      </c>
      <c r="D4" s="212" t="s">
        <v>119</v>
      </c>
      <c r="E4" s="75" t="s">
        <v>477</v>
      </c>
      <c r="F4" s="76">
        <v>0.25</v>
      </c>
    </row>
    <row r="5" spans="2:6" ht="46.5">
      <c r="B5" s="637"/>
      <c r="C5" s="639"/>
      <c r="D5" s="213" t="s">
        <v>251</v>
      </c>
      <c r="E5" s="77" t="s">
        <v>478</v>
      </c>
      <c r="F5" s="78">
        <v>0.15</v>
      </c>
    </row>
    <row r="6" spans="2:6" ht="46.5">
      <c r="B6" s="637"/>
      <c r="C6" s="639"/>
      <c r="D6" s="213" t="s">
        <v>261</v>
      </c>
      <c r="E6" s="77" t="s">
        <v>479</v>
      </c>
      <c r="F6" s="78">
        <v>0.1</v>
      </c>
    </row>
    <row r="7" spans="2:6" ht="62.1">
      <c r="B7" s="637"/>
      <c r="C7" s="639" t="s">
        <v>103</v>
      </c>
      <c r="D7" s="213" t="s">
        <v>242</v>
      </c>
      <c r="E7" s="77" t="s">
        <v>480</v>
      </c>
      <c r="F7" s="78">
        <v>0.25</v>
      </c>
    </row>
    <row r="8" spans="2:6" ht="30.95">
      <c r="B8" s="637"/>
      <c r="C8" s="639"/>
      <c r="D8" s="213" t="s">
        <v>120</v>
      </c>
      <c r="E8" s="77" t="s">
        <v>481</v>
      </c>
      <c r="F8" s="78">
        <v>0.15</v>
      </c>
    </row>
    <row r="9" spans="2:6" ht="46.5">
      <c r="B9" s="637" t="s">
        <v>482</v>
      </c>
      <c r="C9" s="639" t="s">
        <v>55</v>
      </c>
      <c r="D9" s="213" t="s">
        <v>121</v>
      </c>
      <c r="E9" s="77" t="s">
        <v>483</v>
      </c>
      <c r="F9" s="79" t="s">
        <v>484</v>
      </c>
    </row>
    <row r="10" spans="2:6" ht="46.5">
      <c r="B10" s="637"/>
      <c r="C10" s="639"/>
      <c r="D10" s="213" t="s">
        <v>252</v>
      </c>
      <c r="E10" s="77" t="s">
        <v>485</v>
      </c>
      <c r="F10" s="79" t="s">
        <v>484</v>
      </c>
    </row>
    <row r="11" spans="2:6" ht="46.5">
      <c r="B11" s="637"/>
      <c r="C11" s="639" t="s">
        <v>105</v>
      </c>
      <c r="D11" s="213" t="s">
        <v>122</v>
      </c>
      <c r="E11" s="77" t="s">
        <v>486</v>
      </c>
      <c r="F11" s="79" t="s">
        <v>484</v>
      </c>
    </row>
    <row r="12" spans="2:6" ht="46.5">
      <c r="B12" s="637"/>
      <c r="C12" s="639"/>
      <c r="D12" s="213" t="s">
        <v>253</v>
      </c>
      <c r="E12" s="77" t="s">
        <v>487</v>
      </c>
      <c r="F12" s="79" t="s">
        <v>484</v>
      </c>
    </row>
    <row r="13" spans="2:6" ht="30.95">
      <c r="B13" s="637"/>
      <c r="C13" s="639" t="s">
        <v>106</v>
      </c>
      <c r="D13" s="213" t="s">
        <v>123</v>
      </c>
      <c r="E13" s="77" t="s">
        <v>488</v>
      </c>
      <c r="F13" s="79" t="s">
        <v>484</v>
      </c>
    </row>
    <row r="14" spans="2:6" ht="15.95" thickBot="1">
      <c r="B14" s="640"/>
      <c r="C14" s="641"/>
      <c r="D14" s="214" t="s">
        <v>489</v>
      </c>
      <c r="E14" s="80" t="s">
        <v>490</v>
      </c>
      <c r="F14" s="81" t="s">
        <v>484</v>
      </c>
    </row>
    <row r="15" spans="2:6" ht="49.5" customHeight="1">
      <c r="B15" s="633" t="s">
        <v>491</v>
      </c>
      <c r="C15" s="633"/>
      <c r="D15" s="633"/>
      <c r="E15" s="633"/>
      <c r="F15" s="633"/>
    </row>
    <row r="16" spans="2:6" ht="27" customHeight="1">
      <c r="B16" s="82"/>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31"/>
  <sheetViews>
    <sheetView showGridLines="0" workbookViewId="0">
      <selection activeCell="C10" sqref="C10:F28"/>
    </sheetView>
  </sheetViews>
  <sheetFormatPr defaultColWidth="11.42578125" defaultRowHeight="14.45"/>
  <cols>
    <col min="1" max="1" width="17.42578125" customWidth="1"/>
    <col min="2" max="2" width="9.7109375" customWidth="1"/>
    <col min="4" max="4" width="72.28515625" customWidth="1"/>
    <col min="5" max="6" width="11" customWidth="1"/>
    <col min="7" max="7" width="11.42578125" style="138"/>
    <col min="8" max="8" width="11.42578125" style="15"/>
  </cols>
  <sheetData>
    <row r="1" spans="1:8" ht="15" thickBot="1"/>
    <row r="2" spans="1:8" ht="19.5" customHeight="1">
      <c r="B2" s="336" t="s">
        <v>0</v>
      </c>
      <c r="C2" s="337"/>
      <c r="D2" s="353" t="s">
        <v>7</v>
      </c>
      <c r="E2" s="369" t="s">
        <v>8</v>
      </c>
      <c r="F2" s="343"/>
    </row>
    <row r="3" spans="1:8" ht="19.5" customHeight="1">
      <c r="B3" s="338"/>
      <c r="C3" s="339"/>
      <c r="D3" s="354"/>
      <c r="E3" s="370" t="s">
        <v>3</v>
      </c>
      <c r="F3" s="345"/>
    </row>
    <row r="4" spans="1:8" ht="19.5" customHeight="1">
      <c r="B4" s="338"/>
      <c r="C4" s="339"/>
      <c r="D4" s="354"/>
      <c r="E4" s="370" t="s">
        <v>4</v>
      </c>
      <c r="F4" s="345"/>
    </row>
    <row r="5" spans="1:8" ht="19.5" customHeight="1" thickBot="1">
      <c r="A5" t="s">
        <v>9</v>
      </c>
      <c r="B5" s="340"/>
      <c r="C5" s="341"/>
      <c r="D5" s="355"/>
      <c r="E5" s="371" t="s">
        <v>5</v>
      </c>
      <c r="F5" s="347"/>
    </row>
    <row r="6" spans="1:8" ht="15" thickBot="1"/>
    <row r="7" spans="1:8">
      <c r="B7" s="356" t="s">
        <v>10</v>
      </c>
      <c r="C7" s="359" t="s">
        <v>11</v>
      </c>
      <c r="D7" s="360"/>
      <c r="E7" s="365" t="s">
        <v>12</v>
      </c>
      <c r="F7" s="366"/>
    </row>
    <row r="8" spans="1:8" ht="15" thickBot="1">
      <c r="B8" s="357"/>
      <c r="C8" s="361"/>
      <c r="D8" s="362"/>
      <c r="E8" s="367"/>
      <c r="F8" s="368"/>
      <c r="H8" s="148"/>
    </row>
    <row r="9" spans="1:8" ht="15" thickBot="1">
      <c r="B9" s="358"/>
      <c r="C9" s="363" t="s">
        <v>13</v>
      </c>
      <c r="D9" s="364"/>
      <c r="E9" s="145" t="s">
        <v>14</v>
      </c>
      <c r="F9" s="145" t="s">
        <v>15</v>
      </c>
      <c r="H9" s="148"/>
    </row>
    <row r="10" spans="1:8" ht="15" thickBot="1">
      <c r="B10" s="144">
        <v>1</v>
      </c>
      <c r="C10" s="348" t="s">
        <v>16</v>
      </c>
      <c r="D10" s="349"/>
      <c r="E10" s="140" t="s">
        <v>17</v>
      </c>
      <c r="F10" s="141"/>
      <c r="H10" s="148"/>
    </row>
    <row r="11" spans="1:8" ht="15" thickBot="1">
      <c r="B11" s="144">
        <v>2</v>
      </c>
      <c r="C11" s="348" t="s">
        <v>18</v>
      </c>
      <c r="D11" s="349" t="s">
        <v>18</v>
      </c>
      <c r="E11" s="140"/>
      <c r="F11" s="141" t="s">
        <v>17</v>
      </c>
      <c r="H11" s="149"/>
    </row>
    <row r="12" spans="1:8" ht="15" thickBot="1">
      <c r="B12" s="144">
        <v>3</v>
      </c>
      <c r="C12" s="348" t="s">
        <v>19</v>
      </c>
      <c r="D12" s="349" t="s">
        <v>19</v>
      </c>
      <c r="E12" s="140"/>
      <c r="F12" s="141" t="s">
        <v>17</v>
      </c>
    </row>
    <row r="13" spans="1:8" ht="15" thickBot="1">
      <c r="B13" s="144">
        <v>4</v>
      </c>
      <c r="C13" s="348" t="s">
        <v>20</v>
      </c>
      <c r="D13" s="349" t="s">
        <v>21</v>
      </c>
      <c r="E13" s="140"/>
      <c r="F13" s="141" t="s">
        <v>17</v>
      </c>
    </row>
    <row r="14" spans="1:8" ht="15" thickBot="1">
      <c r="B14" s="144">
        <v>5</v>
      </c>
      <c r="C14" s="348" t="s">
        <v>22</v>
      </c>
      <c r="D14" s="349" t="s">
        <v>22</v>
      </c>
      <c r="E14" s="140" t="s">
        <v>17</v>
      </c>
      <c r="F14" s="141"/>
    </row>
    <row r="15" spans="1:8" ht="15" thickBot="1">
      <c r="B15" s="144">
        <v>6</v>
      </c>
      <c r="C15" s="348" t="s">
        <v>23</v>
      </c>
      <c r="D15" s="349" t="s">
        <v>23</v>
      </c>
      <c r="E15" s="140" t="s">
        <v>17</v>
      </c>
      <c r="F15" s="141"/>
    </row>
    <row r="16" spans="1:8" ht="15" thickBot="1">
      <c r="B16" s="144">
        <v>7</v>
      </c>
      <c r="C16" s="348" t="s">
        <v>24</v>
      </c>
      <c r="D16" s="349" t="s">
        <v>24</v>
      </c>
      <c r="E16" s="140" t="s">
        <v>17</v>
      </c>
      <c r="F16" s="141"/>
    </row>
    <row r="17" spans="1:7" ht="28.5" customHeight="1" thickBot="1">
      <c r="B17" s="144">
        <v>8</v>
      </c>
      <c r="C17" s="348" t="s">
        <v>25</v>
      </c>
      <c r="D17" s="349" t="s">
        <v>25</v>
      </c>
      <c r="E17" s="140"/>
      <c r="F17" s="141" t="s">
        <v>17</v>
      </c>
    </row>
    <row r="18" spans="1:7" ht="18.75" customHeight="1" thickBot="1">
      <c r="B18" s="144">
        <v>9</v>
      </c>
      <c r="C18" s="348" t="s">
        <v>26</v>
      </c>
      <c r="D18" s="349" t="s">
        <v>26</v>
      </c>
      <c r="E18" s="140" t="s">
        <v>17</v>
      </c>
      <c r="F18" s="141"/>
    </row>
    <row r="19" spans="1:7" ht="15" thickBot="1">
      <c r="B19" s="144">
        <v>10</v>
      </c>
      <c r="C19" s="348" t="s">
        <v>27</v>
      </c>
      <c r="D19" s="349" t="s">
        <v>27</v>
      </c>
      <c r="E19" s="140" t="s">
        <v>17</v>
      </c>
      <c r="F19" s="141"/>
    </row>
    <row r="20" spans="1:7" ht="15" thickBot="1">
      <c r="B20" s="144">
        <v>11</v>
      </c>
      <c r="C20" s="348" t="s">
        <v>28</v>
      </c>
      <c r="D20" s="349" t="s">
        <v>28</v>
      </c>
      <c r="E20" s="140" t="s">
        <v>17</v>
      </c>
      <c r="F20" s="141"/>
    </row>
    <row r="21" spans="1:7" ht="15" thickBot="1">
      <c r="B21" s="144">
        <v>12</v>
      </c>
      <c r="C21" s="348" t="s">
        <v>29</v>
      </c>
      <c r="D21" s="349" t="s">
        <v>29</v>
      </c>
      <c r="E21" s="140" t="s">
        <v>17</v>
      </c>
      <c r="F21" s="141"/>
    </row>
    <row r="22" spans="1:7" ht="15" thickBot="1">
      <c r="B22" s="144">
        <v>13</v>
      </c>
      <c r="C22" s="348" t="s">
        <v>30</v>
      </c>
      <c r="D22" s="349" t="s">
        <v>30</v>
      </c>
      <c r="E22" s="140" t="s">
        <v>17</v>
      </c>
      <c r="F22" s="141"/>
    </row>
    <row r="23" spans="1:7" ht="15" thickBot="1">
      <c r="B23" s="144">
        <v>14</v>
      </c>
      <c r="C23" s="348" t="s">
        <v>31</v>
      </c>
      <c r="D23" s="349" t="s">
        <v>31</v>
      </c>
      <c r="E23" s="140" t="s">
        <v>17</v>
      </c>
      <c r="F23" s="141"/>
    </row>
    <row r="24" spans="1:7" ht="15" thickBot="1">
      <c r="B24" s="144">
        <v>15</v>
      </c>
      <c r="C24" s="348" t="s">
        <v>32</v>
      </c>
      <c r="D24" s="349" t="s">
        <v>32</v>
      </c>
      <c r="E24" s="140" t="s">
        <v>17</v>
      </c>
      <c r="F24" s="141"/>
    </row>
    <row r="25" spans="1:7" ht="15" thickBot="1">
      <c r="B25" s="144">
        <v>16</v>
      </c>
      <c r="C25" s="348" t="s">
        <v>33</v>
      </c>
      <c r="D25" s="349" t="s">
        <v>33</v>
      </c>
      <c r="E25" s="140"/>
      <c r="F25" s="141" t="s">
        <v>17</v>
      </c>
    </row>
    <row r="26" spans="1:7" ht="15" thickBot="1">
      <c r="B26" s="144">
        <v>17</v>
      </c>
      <c r="C26" s="348" t="s">
        <v>34</v>
      </c>
      <c r="D26" s="349" t="s">
        <v>34</v>
      </c>
      <c r="E26" s="140"/>
      <c r="F26" s="141" t="s">
        <v>17</v>
      </c>
    </row>
    <row r="27" spans="1:7" ht="15" thickBot="1">
      <c r="B27" s="144">
        <v>18</v>
      </c>
      <c r="C27" s="348" t="s">
        <v>35</v>
      </c>
      <c r="D27" s="349" t="s">
        <v>35</v>
      </c>
      <c r="E27" s="140"/>
      <c r="F27" s="141" t="s">
        <v>17</v>
      </c>
    </row>
    <row r="28" spans="1:7" ht="15" thickBot="1">
      <c r="B28" s="144">
        <v>19</v>
      </c>
      <c r="C28" s="348" t="s">
        <v>36</v>
      </c>
      <c r="D28" s="349" t="s">
        <v>36</v>
      </c>
      <c r="E28" s="140"/>
      <c r="F28" s="141" t="s">
        <v>17</v>
      </c>
    </row>
    <row r="29" spans="1:7">
      <c r="C29" s="139"/>
      <c r="D29" s="139"/>
      <c r="E29" s="147">
        <f>COUNTIF(E10:E28,"x")</f>
        <v>11</v>
      </c>
      <c r="F29" s="147">
        <f>COUNTIF(F10:F28,"x")</f>
        <v>8</v>
      </c>
      <c r="G29" s="146" t="str">
        <f>IF(E29=0,"",IF(E29&lt;=5,"Moderado",IF(E29&lt;=11,"Mayor",IF(E29&lt;=19,"Catastrófico",""))))</f>
        <v>Mayor</v>
      </c>
    </row>
    <row r="30" spans="1:7">
      <c r="C30" s="137"/>
      <c r="D30" s="137"/>
      <c r="E30" s="137"/>
      <c r="F30" s="137"/>
    </row>
    <row r="31" spans="1:7" ht="66" customHeight="1">
      <c r="A31" s="350" t="s">
        <v>37</v>
      </c>
      <c r="B31" s="351"/>
      <c r="C31" s="351"/>
      <c r="D31" s="351"/>
      <c r="E31" s="351"/>
      <c r="F31" s="352"/>
    </row>
  </sheetData>
  <mergeCells count="30">
    <mergeCell ref="A31:F31"/>
    <mergeCell ref="C12:D12"/>
    <mergeCell ref="D2:D5"/>
    <mergeCell ref="B7:B9"/>
    <mergeCell ref="C7:D8"/>
    <mergeCell ref="C9:D9"/>
    <mergeCell ref="C11:D11"/>
    <mergeCell ref="B2:C5"/>
    <mergeCell ref="C10:D10"/>
    <mergeCell ref="E7:F8"/>
    <mergeCell ref="E2:F2"/>
    <mergeCell ref="E3:F3"/>
    <mergeCell ref="E4:F4"/>
    <mergeCell ref="E5:F5"/>
    <mergeCell ref="C16:D16"/>
    <mergeCell ref="C13:D13"/>
    <mergeCell ref="C14:D14"/>
    <mergeCell ref="C28:D28"/>
    <mergeCell ref="C17:D17"/>
    <mergeCell ref="C18:D18"/>
    <mergeCell ref="C19:D19"/>
    <mergeCell ref="C20:D20"/>
    <mergeCell ref="C21:D21"/>
    <mergeCell ref="C22:D22"/>
    <mergeCell ref="C23:D23"/>
    <mergeCell ref="C24:D24"/>
    <mergeCell ref="C25:D25"/>
    <mergeCell ref="C26:D26"/>
    <mergeCell ref="C27:D27"/>
    <mergeCell ref="C15:D15"/>
  </mergeCells>
  <conditionalFormatting sqref="G29">
    <cfRule type="cellIs" dxfId="25" priority="1" stopIfTrue="1" operator="equal">
      <formula>"Catastrófico"</formula>
    </cfRule>
    <cfRule type="cellIs" dxfId="24" priority="2" stopIfTrue="1" operator="equal">
      <formula>"Moderado"</formula>
    </cfRule>
    <cfRule type="cellIs" dxfId="23" priority="3" stopIfTrue="1" operator="equal">
      <formula>"Mayor"</formula>
    </cfRule>
  </conditionalFormatting>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Intructivo!$J$2</xm:f>
          </x14:formula1>
          <xm:sqref>E10:F28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15E6C-1BAB-42A6-9F77-3D9DA9FB7F99}">
  <dimension ref="A1"/>
  <sheetViews>
    <sheetView workbookViewId="0">
      <selection activeCell="F14" sqref="F14:J26"/>
    </sheetView>
  </sheetViews>
  <sheetFormatPr defaultColWidth="9.140625" defaultRowHeight="14.4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240F-939E-4DF6-BA8B-1D095F22F1E8}">
  <dimension ref="A1"/>
  <sheetViews>
    <sheetView workbookViewId="0"/>
  </sheetViews>
  <sheetFormatPr defaultColWidth="9.140625" defaultRowHeight="14.4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B2:E19"/>
  <sheetViews>
    <sheetView workbookViewId="0">
      <selection activeCell="E2" sqref="E2:E4"/>
    </sheetView>
  </sheetViews>
  <sheetFormatPr defaultColWidth="11.42578125" defaultRowHeight="14.45"/>
  <sheetData>
    <row r="2" spans="2:5">
      <c r="B2" t="s">
        <v>244</v>
      </c>
      <c r="E2" t="s">
        <v>170</v>
      </c>
    </row>
    <row r="3" spans="2:5">
      <c r="B3" t="s">
        <v>255</v>
      </c>
      <c r="E3" t="s">
        <v>108</v>
      </c>
    </row>
    <row r="4" spans="2:5">
      <c r="B4" t="s">
        <v>270</v>
      </c>
      <c r="E4" t="s">
        <v>151</v>
      </c>
    </row>
    <row r="5" spans="2:5">
      <c r="B5" t="s">
        <v>125</v>
      </c>
    </row>
    <row r="8" spans="2:5">
      <c r="B8" t="s">
        <v>238</v>
      </c>
    </row>
    <row r="9" spans="2:5">
      <c r="B9" t="s">
        <v>245</v>
      </c>
    </row>
    <row r="10" spans="2:5">
      <c r="B10" t="s">
        <v>256</v>
      </c>
    </row>
    <row r="13" spans="2:5">
      <c r="B13" t="s">
        <v>175</v>
      </c>
    </row>
    <row r="14" spans="2:5">
      <c r="B14" t="s">
        <v>249</v>
      </c>
    </row>
    <row r="15" spans="2:5">
      <c r="B15" t="s">
        <v>113</v>
      </c>
    </row>
    <row r="16" spans="2:5">
      <c r="B16" t="s">
        <v>265</v>
      </c>
    </row>
    <row r="17" spans="2:2">
      <c r="B17" t="s">
        <v>191</v>
      </c>
    </row>
    <row r="18" spans="2:2">
      <c r="B18" t="s">
        <v>271</v>
      </c>
    </row>
    <row r="19" spans="2:2">
      <c r="B19" t="s">
        <v>273</v>
      </c>
    </row>
  </sheetData>
  <sortState xmlns:xlrd2="http://schemas.microsoft.com/office/spreadsheetml/2017/richdata2" ref="B2:B5">
    <sortCondition ref="B2:B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3:A21"/>
  <sheetViews>
    <sheetView workbookViewId="0">
      <selection activeCell="H29" sqref="H29"/>
    </sheetView>
  </sheetViews>
  <sheetFormatPr defaultColWidth="11.42578125" defaultRowHeight="12.95"/>
  <cols>
    <col min="1" max="1" width="32.7109375" style="1" customWidth="1"/>
    <col min="2" max="16384" width="11.42578125" style="1"/>
  </cols>
  <sheetData>
    <row r="3" spans="1:1">
      <c r="A3" s="2" t="s">
        <v>119</v>
      </c>
    </row>
    <row r="4" spans="1:1">
      <c r="A4" s="2" t="s">
        <v>251</v>
      </c>
    </row>
    <row r="5" spans="1:1">
      <c r="A5" s="2" t="s">
        <v>261</v>
      </c>
    </row>
    <row r="6" spans="1:1">
      <c r="A6" s="2" t="s">
        <v>242</v>
      </c>
    </row>
    <row r="7" spans="1:1">
      <c r="A7" s="2" t="s">
        <v>120</v>
      </c>
    </row>
    <row r="8" spans="1:1">
      <c r="A8" s="2" t="s">
        <v>121</v>
      </c>
    </row>
    <row r="9" spans="1:1">
      <c r="A9" s="2" t="s">
        <v>252</v>
      </c>
    </row>
    <row r="10" spans="1:1">
      <c r="A10" s="2" t="s">
        <v>122</v>
      </c>
    </row>
    <row r="11" spans="1:1">
      <c r="A11" s="2" t="s">
        <v>253</v>
      </c>
    </row>
    <row r="12" spans="1:1">
      <c r="A12" s="2" t="s">
        <v>243</v>
      </c>
    </row>
    <row r="13" spans="1:1">
      <c r="A13" s="2" t="s">
        <v>254</v>
      </c>
    </row>
    <row r="14" spans="1:1">
      <c r="A14" s="2" t="s">
        <v>262</v>
      </c>
    </row>
    <row r="16" spans="1:1">
      <c r="A16" s="2" t="s">
        <v>263</v>
      </c>
    </row>
    <row r="17" spans="1:1">
      <c r="A17" s="2" t="s">
        <v>244</v>
      </c>
    </row>
    <row r="18" spans="1:1">
      <c r="A18" s="2" t="s">
        <v>255</v>
      </c>
    </row>
    <row r="20" spans="1:1">
      <c r="A20" s="2" t="s">
        <v>245</v>
      </c>
    </row>
    <row r="21" spans="1:1">
      <c r="A21" s="2" t="s">
        <v>256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287840"/>
  </sheetPr>
  <dimension ref="A1:CD39"/>
  <sheetViews>
    <sheetView tabSelected="1" topLeftCell="AB13" zoomScale="60" zoomScaleNormal="60" workbookViewId="0">
      <pane ySplit="2" topLeftCell="AH24" activePane="bottomLeft" state="frozen"/>
      <selection pane="bottomLeft" activeCell="AP34" sqref="AP34"/>
      <selection activeCell="B13" sqref="B13"/>
    </sheetView>
  </sheetViews>
  <sheetFormatPr defaultColWidth="11.42578125" defaultRowHeight="14.1"/>
  <cols>
    <col min="1" max="1" width="0" style="169" hidden="1" customWidth="1"/>
    <col min="2" max="2" width="4.5703125" style="169" customWidth="1"/>
    <col min="3" max="3" width="6.28515625" style="169" customWidth="1"/>
    <col min="4" max="4" width="4.7109375" style="170" customWidth="1"/>
    <col min="5" max="5" width="21" style="170" customWidth="1"/>
    <col min="6" max="7" width="20.7109375" style="170" customWidth="1"/>
    <col min="8" max="8" width="18.28515625" style="170" customWidth="1"/>
    <col min="9" max="9" width="31" style="170" customWidth="1"/>
    <col min="10" max="10" width="25.5703125" style="170" customWidth="1"/>
    <col min="11" max="11" width="58.28515625" style="169" customWidth="1"/>
    <col min="12" max="12" width="25.5703125" style="171" customWidth="1"/>
    <col min="13" max="13" width="31.85546875" style="171" customWidth="1"/>
    <col min="14" max="14" width="23.85546875" style="171" customWidth="1"/>
    <col min="15" max="15" width="19.42578125" style="169" customWidth="1"/>
    <col min="16" max="16" width="16.42578125" style="169" customWidth="1"/>
    <col min="17" max="17" width="8.85546875" style="169" customWidth="1"/>
    <col min="18" max="18" width="21.28515625" style="169" customWidth="1"/>
    <col min="19" max="19" width="17.42578125" style="169" customWidth="1"/>
    <col min="20" max="20" width="10.5703125" style="169" customWidth="1"/>
    <col min="21" max="21" width="16" style="169" customWidth="1"/>
    <col min="22" max="22" width="5.7109375" style="169" customWidth="1"/>
    <col min="23" max="23" width="63.42578125" style="169" customWidth="1"/>
    <col min="24" max="24" width="57.28515625" style="169" customWidth="1"/>
    <col min="25" max="25" width="15.28515625" style="169" customWidth="1"/>
    <col min="26" max="26" width="6.7109375" style="169" customWidth="1"/>
    <col min="27" max="27" width="5" style="169" customWidth="1"/>
    <col min="28" max="28" width="5.42578125" style="169" customWidth="1"/>
    <col min="29" max="29" width="7.28515625" style="169" customWidth="1"/>
    <col min="30" max="30" width="6.7109375" style="169" customWidth="1"/>
    <col min="31" max="31" width="8.28515625" style="169" customWidth="1"/>
    <col min="32" max="32" width="12" style="169" customWidth="1"/>
    <col min="33" max="33" width="13.7109375" style="169" customWidth="1"/>
    <col min="34" max="38" width="16.140625" style="169" customWidth="1"/>
    <col min="39" max="40" width="7.28515625" style="169" customWidth="1"/>
    <col min="41" max="41" width="46.5703125" style="169" customWidth="1"/>
    <col min="42" max="42" width="24.28515625" style="169" customWidth="1"/>
    <col min="43" max="43" width="23.140625" style="169" customWidth="1"/>
    <col min="44" max="46" width="19.7109375" style="169" customWidth="1"/>
    <col min="47" max="47" width="35.5703125" style="169" customWidth="1"/>
    <col min="48" max="50" width="34.7109375" style="169" customWidth="1"/>
    <col min="51" max="51" width="29" style="169" customWidth="1"/>
    <col min="52" max="52" width="23.28515625" style="169" customWidth="1"/>
    <col min="53" max="53" width="68.42578125" style="169" customWidth="1"/>
    <col min="54" max="54" width="31.42578125" style="169" customWidth="1"/>
    <col min="55" max="55" width="30.5703125" style="169" customWidth="1"/>
    <col min="56" max="56" width="53" style="169" customWidth="1"/>
    <col min="57" max="59" width="0" style="169" hidden="1" customWidth="1"/>
    <col min="60" max="61" width="11.42578125" style="169" hidden="1" customWidth="1"/>
    <col min="62" max="63" width="0" style="169" hidden="1" customWidth="1"/>
    <col min="64" max="16384" width="11.42578125" style="169"/>
  </cols>
  <sheetData>
    <row r="1" spans="1:82" ht="14.45" thickBot="1"/>
    <row r="2" spans="1:82" ht="27.75" customHeight="1">
      <c r="D2" s="280" t="s">
        <v>38</v>
      </c>
      <c r="E2" s="281"/>
      <c r="F2" s="281"/>
      <c r="G2" s="281"/>
      <c r="H2" s="282"/>
      <c r="I2" s="289" t="s">
        <v>39</v>
      </c>
      <c r="J2" s="289"/>
      <c r="K2" s="289"/>
      <c r="L2" s="289"/>
      <c r="M2" s="289"/>
      <c r="N2" s="289"/>
      <c r="O2" s="289"/>
      <c r="P2" s="289"/>
      <c r="Q2" s="289"/>
      <c r="R2" s="289"/>
      <c r="S2" s="289"/>
      <c r="T2" s="289"/>
      <c r="U2" s="289"/>
      <c r="V2" s="289"/>
      <c r="W2" s="289"/>
      <c r="X2" s="289"/>
      <c r="Y2" s="289"/>
      <c r="Z2" s="289"/>
      <c r="AA2" s="289"/>
      <c r="AB2" s="289"/>
      <c r="AC2" s="289"/>
      <c r="AD2" s="289"/>
      <c r="AE2" s="289"/>
      <c r="AF2" s="289"/>
      <c r="AG2" s="289"/>
      <c r="AH2" s="289"/>
      <c r="AI2" s="289"/>
      <c r="AJ2" s="289"/>
      <c r="AK2" s="289"/>
      <c r="AL2" s="289"/>
      <c r="AM2" s="289"/>
      <c r="AN2" s="289"/>
      <c r="AO2" s="289"/>
      <c r="AP2" s="289"/>
      <c r="AQ2" s="289"/>
      <c r="AR2" s="289"/>
      <c r="AS2" s="289"/>
      <c r="AT2" s="289"/>
      <c r="AU2" s="289"/>
      <c r="AV2" s="289"/>
      <c r="AW2" s="289"/>
      <c r="AX2" s="289"/>
      <c r="AY2" s="289"/>
      <c r="AZ2" s="289"/>
      <c r="BA2" s="289"/>
      <c r="BB2" s="289"/>
      <c r="BC2" s="289"/>
      <c r="BD2" s="217" t="s">
        <v>8</v>
      </c>
    </row>
    <row r="3" spans="1:82" ht="27.75" customHeight="1">
      <c r="D3" s="283"/>
      <c r="E3" s="284"/>
      <c r="F3" s="284"/>
      <c r="G3" s="284"/>
      <c r="H3" s="285"/>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c r="AP3" s="289"/>
      <c r="AQ3" s="289"/>
      <c r="AR3" s="289"/>
      <c r="AS3" s="289"/>
      <c r="AT3" s="289"/>
      <c r="AU3" s="289"/>
      <c r="AV3" s="289"/>
      <c r="AW3" s="289"/>
      <c r="AX3" s="289"/>
      <c r="AY3" s="289"/>
      <c r="AZ3" s="289"/>
      <c r="BA3" s="289"/>
      <c r="BB3" s="289"/>
      <c r="BC3" s="289"/>
      <c r="BD3" s="230" t="s">
        <v>40</v>
      </c>
    </row>
    <row r="4" spans="1:82" ht="27.75" customHeight="1">
      <c r="D4" s="283"/>
      <c r="E4" s="284"/>
      <c r="F4" s="284"/>
      <c r="G4" s="284"/>
      <c r="H4" s="285"/>
      <c r="I4" s="289"/>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9"/>
      <c r="AL4" s="289"/>
      <c r="AM4" s="289"/>
      <c r="AN4" s="289"/>
      <c r="AO4" s="289"/>
      <c r="AP4" s="289"/>
      <c r="AQ4" s="289"/>
      <c r="AR4" s="289"/>
      <c r="AS4" s="289"/>
      <c r="AT4" s="289"/>
      <c r="AU4" s="289"/>
      <c r="AV4" s="289"/>
      <c r="AW4" s="289"/>
      <c r="AX4" s="289"/>
      <c r="AY4" s="289"/>
      <c r="AZ4" s="289"/>
      <c r="BA4" s="289"/>
      <c r="BB4" s="289"/>
      <c r="BC4" s="289"/>
      <c r="BD4" s="218" t="s">
        <v>4</v>
      </c>
    </row>
    <row r="5" spans="1:82" ht="27.75" customHeight="1" thickBot="1">
      <c r="D5" s="286"/>
      <c r="E5" s="287"/>
      <c r="F5" s="287"/>
      <c r="G5" s="287"/>
      <c r="H5" s="288"/>
      <c r="I5" s="289"/>
      <c r="J5" s="289"/>
      <c r="K5" s="289"/>
      <c r="L5" s="289"/>
      <c r="M5" s="289"/>
      <c r="N5" s="289"/>
      <c r="O5" s="289"/>
      <c r="P5" s="289"/>
      <c r="Q5" s="289"/>
      <c r="R5" s="289"/>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c r="AZ5" s="289"/>
      <c r="BA5" s="289"/>
      <c r="BB5" s="289"/>
      <c r="BC5" s="289"/>
      <c r="BD5" s="218" t="s">
        <v>41</v>
      </c>
    </row>
    <row r="6" spans="1:82" ht="13.9" customHeight="1">
      <c r="D6" s="113"/>
      <c r="E6" s="114"/>
      <c r="F6" s="114"/>
      <c r="G6" s="114"/>
      <c r="H6" s="114"/>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15"/>
    </row>
    <row r="7" spans="1:82" ht="26.25" customHeight="1">
      <c r="D7" s="290" t="s">
        <v>42</v>
      </c>
      <c r="E7" s="291"/>
      <c r="F7" s="291"/>
      <c r="G7" s="292"/>
      <c r="H7" s="237" t="s">
        <v>43</v>
      </c>
      <c r="I7" s="238"/>
      <c r="J7" s="238"/>
      <c r="K7" s="238"/>
      <c r="L7" s="238"/>
      <c r="M7" s="238"/>
      <c r="N7" s="238"/>
      <c r="O7" s="238"/>
      <c r="P7" s="238"/>
      <c r="Q7" s="238"/>
      <c r="R7" s="238"/>
      <c r="S7" s="238"/>
      <c r="T7" s="238"/>
      <c r="U7" s="238"/>
      <c r="V7" s="238"/>
      <c r="W7" s="238"/>
      <c r="X7" s="238"/>
      <c r="Y7" s="238"/>
      <c r="Z7" s="238"/>
      <c r="AA7" s="238"/>
      <c r="AB7" s="238"/>
      <c r="AC7" s="238"/>
      <c r="AD7" s="238"/>
      <c r="AE7" s="238"/>
      <c r="AF7" s="238"/>
      <c r="AG7" s="238"/>
      <c r="AH7" s="238"/>
      <c r="AI7" s="238"/>
      <c r="AJ7" s="238"/>
      <c r="AK7" s="238"/>
      <c r="AL7" s="238"/>
      <c r="AM7" s="238"/>
      <c r="AN7" s="238"/>
      <c r="AO7" s="238"/>
      <c r="AP7" s="238"/>
      <c r="AQ7" s="238"/>
      <c r="AR7" s="238"/>
      <c r="AS7" s="238"/>
      <c r="AT7" s="238"/>
      <c r="AU7" s="238"/>
      <c r="AV7" s="238"/>
      <c r="AW7" s="238"/>
      <c r="AX7" s="238"/>
      <c r="AY7" s="238"/>
      <c r="AZ7" s="238"/>
      <c r="BA7" s="238"/>
      <c r="BB7" s="239"/>
      <c r="BC7" s="231"/>
      <c r="BD7" s="231"/>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row>
    <row r="8" spans="1:82" ht="30" customHeight="1">
      <c r="D8" s="290" t="s">
        <v>44</v>
      </c>
      <c r="E8" s="291"/>
      <c r="F8" s="291"/>
      <c r="G8" s="292"/>
      <c r="H8" s="237" t="s">
        <v>45</v>
      </c>
      <c r="I8" s="238"/>
      <c r="J8" s="238"/>
      <c r="K8" s="238"/>
      <c r="L8" s="238"/>
      <c r="M8" s="238"/>
      <c r="N8" s="238"/>
      <c r="O8" s="238"/>
      <c r="P8" s="238"/>
      <c r="Q8" s="238"/>
      <c r="R8" s="238"/>
      <c r="S8" s="238"/>
      <c r="T8" s="238"/>
      <c r="U8" s="238"/>
      <c r="V8" s="238"/>
      <c r="W8" s="238"/>
      <c r="X8" s="238"/>
      <c r="Y8" s="238"/>
      <c r="Z8" s="238"/>
      <c r="AA8" s="238"/>
      <c r="AB8" s="238"/>
      <c r="AC8" s="238"/>
      <c r="AD8" s="238"/>
      <c r="AE8" s="238"/>
      <c r="AF8" s="238"/>
      <c r="AG8" s="238"/>
      <c r="AH8" s="238"/>
      <c r="AI8" s="238"/>
      <c r="AJ8" s="238"/>
      <c r="AK8" s="238"/>
      <c r="AL8" s="238"/>
      <c r="AM8" s="238"/>
      <c r="AN8" s="238"/>
      <c r="AO8" s="238"/>
      <c r="AP8" s="238"/>
      <c r="AQ8" s="238"/>
      <c r="AR8" s="238"/>
      <c r="AS8" s="238"/>
      <c r="AT8" s="238"/>
      <c r="AU8" s="238"/>
      <c r="AV8" s="238"/>
      <c r="AW8" s="238"/>
      <c r="AX8" s="238"/>
      <c r="AY8" s="238"/>
      <c r="AZ8" s="238"/>
      <c r="BA8" s="238"/>
      <c r="BB8" s="239"/>
      <c r="BC8" s="231"/>
      <c r="BD8" s="231"/>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row>
    <row r="9" spans="1:82" ht="24" customHeight="1">
      <c r="D9" s="290" t="s">
        <v>46</v>
      </c>
      <c r="E9" s="291"/>
      <c r="F9" s="291"/>
      <c r="G9" s="292"/>
      <c r="H9" s="237" t="s">
        <v>47</v>
      </c>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8"/>
      <c r="AI9" s="238"/>
      <c r="AJ9" s="238"/>
      <c r="AK9" s="238"/>
      <c r="AL9" s="238"/>
      <c r="AM9" s="238"/>
      <c r="AN9" s="238"/>
      <c r="AO9" s="238"/>
      <c r="AP9" s="238"/>
      <c r="AQ9" s="238"/>
      <c r="AR9" s="238"/>
      <c r="AS9" s="238"/>
      <c r="AT9" s="238"/>
      <c r="AU9" s="238"/>
      <c r="AV9" s="238"/>
      <c r="AW9" s="238"/>
      <c r="AX9" s="238"/>
      <c r="AY9" s="238"/>
      <c r="AZ9" s="238"/>
      <c r="BA9" s="238"/>
      <c r="BB9" s="239"/>
      <c r="BC9" s="231"/>
      <c r="BD9" s="231"/>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row>
    <row r="10" spans="1:82" s="174" customFormat="1" ht="24" customHeight="1">
      <c r="D10" s="175"/>
      <c r="E10" s="176"/>
      <c r="F10" s="177"/>
      <c r="G10" s="177"/>
      <c r="H10" s="175"/>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220"/>
      <c r="AT10" s="220"/>
      <c r="AU10" s="220"/>
      <c r="AV10" s="220"/>
      <c r="AW10" s="220"/>
      <c r="AX10" s="220"/>
      <c r="AY10" s="220"/>
      <c r="AZ10" s="179"/>
      <c r="BA10" s="179"/>
      <c r="BB10" s="179"/>
      <c r="BC10" s="179"/>
      <c r="BD10" s="179"/>
    </row>
    <row r="11" spans="1:82" s="174" customFormat="1" ht="25.5" customHeight="1">
      <c r="A11" s="266" t="s">
        <v>9</v>
      </c>
      <c r="B11" s="266"/>
      <c r="C11" s="267"/>
      <c r="D11" s="275" t="s">
        <v>48</v>
      </c>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6"/>
      <c r="AR11" s="277"/>
      <c r="AS11" s="300" t="s">
        <v>49</v>
      </c>
      <c r="AT11" s="300"/>
      <c r="AU11" s="300"/>
      <c r="AV11" s="300"/>
      <c r="AW11" s="300"/>
      <c r="AX11" s="300"/>
      <c r="AY11" s="300"/>
      <c r="AZ11" s="294" t="s">
        <v>50</v>
      </c>
      <c r="BA11" s="295"/>
      <c r="BB11" s="295"/>
      <c r="BC11" s="296" t="s">
        <v>51</v>
      </c>
      <c r="BD11" s="297"/>
    </row>
    <row r="12" spans="1:82" ht="27" customHeight="1">
      <c r="D12" s="274" t="s">
        <v>52</v>
      </c>
      <c r="E12" s="274"/>
      <c r="F12" s="274"/>
      <c r="G12" s="274"/>
      <c r="H12" s="274"/>
      <c r="I12" s="269"/>
      <c r="J12" s="269"/>
      <c r="K12" s="269"/>
      <c r="L12" s="269"/>
      <c r="M12" s="269"/>
      <c r="N12" s="269"/>
      <c r="O12" s="269"/>
      <c r="P12" s="269" t="s">
        <v>53</v>
      </c>
      <c r="Q12" s="269"/>
      <c r="R12" s="269"/>
      <c r="S12" s="269"/>
      <c r="T12" s="269"/>
      <c r="U12" s="269"/>
      <c r="V12" s="269" t="s">
        <v>54</v>
      </c>
      <c r="W12" s="269"/>
      <c r="X12" s="269"/>
      <c r="Y12" s="269"/>
      <c r="Z12" s="269"/>
      <c r="AA12" s="269"/>
      <c r="AB12" s="269"/>
      <c r="AC12" s="269"/>
      <c r="AD12" s="269"/>
      <c r="AE12" s="269"/>
      <c r="AF12" s="247" t="s">
        <v>55</v>
      </c>
      <c r="AG12" s="269" t="s">
        <v>56</v>
      </c>
      <c r="AH12" s="269"/>
      <c r="AI12" s="269"/>
      <c r="AJ12" s="269"/>
      <c r="AK12" s="269"/>
      <c r="AL12" s="269"/>
      <c r="AM12" s="269"/>
      <c r="AN12" s="222"/>
      <c r="AO12" s="275" t="s">
        <v>57</v>
      </c>
      <c r="AP12" s="276"/>
      <c r="AQ12" s="276"/>
      <c r="AR12" s="276"/>
      <c r="AS12" s="300"/>
      <c r="AT12" s="300"/>
      <c r="AU12" s="300"/>
      <c r="AV12" s="300"/>
      <c r="AW12" s="300"/>
      <c r="AX12" s="300"/>
      <c r="AY12" s="300"/>
      <c r="AZ12" s="294"/>
      <c r="BA12" s="295"/>
      <c r="BB12" s="295"/>
      <c r="BC12" s="298"/>
      <c r="BD12" s="299"/>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row>
    <row r="13" spans="1:82" ht="45.75" customHeight="1">
      <c r="D13" s="293" t="s">
        <v>58</v>
      </c>
      <c r="E13" s="273" t="s">
        <v>59</v>
      </c>
      <c r="F13" s="268" t="s">
        <v>60</v>
      </c>
      <c r="G13" s="270" t="s">
        <v>61</v>
      </c>
      <c r="H13" s="274" t="s">
        <v>62</v>
      </c>
      <c r="I13" s="273" t="s">
        <v>63</v>
      </c>
      <c r="J13" s="273" t="s">
        <v>64</v>
      </c>
      <c r="K13" s="273" t="s">
        <v>65</v>
      </c>
      <c r="L13" s="270" t="s">
        <v>66</v>
      </c>
      <c r="M13" s="245" t="s">
        <v>67</v>
      </c>
      <c r="N13" s="246"/>
      <c r="O13" s="273" t="s">
        <v>68</v>
      </c>
      <c r="P13" s="273" t="s">
        <v>69</v>
      </c>
      <c r="Q13" s="274" t="s">
        <v>70</v>
      </c>
      <c r="R13" s="273" t="s">
        <v>71</v>
      </c>
      <c r="S13" s="273" t="s">
        <v>72</v>
      </c>
      <c r="T13" s="274" t="s">
        <v>70</v>
      </c>
      <c r="U13" s="273" t="s">
        <v>73</v>
      </c>
      <c r="V13" s="272" t="s">
        <v>74</v>
      </c>
      <c r="W13" s="273" t="s">
        <v>75</v>
      </c>
      <c r="X13" s="273" t="s">
        <v>76</v>
      </c>
      <c r="Y13" s="273" t="s">
        <v>77</v>
      </c>
      <c r="Z13" s="273" t="s">
        <v>78</v>
      </c>
      <c r="AA13" s="273"/>
      <c r="AB13" s="273"/>
      <c r="AC13" s="273"/>
      <c r="AD13" s="273"/>
      <c r="AE13" s="273"/>
      <c r="AF13" s="248"/>
      <c r="AG13" s="272" t="s">
        <v>79</v>
      </c>
      <c r="AH13" s="272" t="s">
        <v>80</v>
      </c>
      <c r="AI13" s="272" t="s">
        <v>70</v>
      </c>
      <c r="AJ13" s="272" t="s">
        <v>81</v>
      </c>
      <c r="AK13" s="272" t="s">
        <v>70</v>
      </c>
      <c r="AL13" s="272" t="s">
        <v>82</v>
      </c>
      <c r="AM13" s="272" t="s">
        <v>83</v>
      </c>
      <c r="AN13" s="272" t="s">
        <v>84</v>
      </c>
      <c r="AO13" s="273" t="s">
        <v>85</v>
      </c>
      <c r="AP13" s="273" t="s">
        <v>86</v>
      </c>
      <c r="AQ13" s="273" t="s">
        <v>87</v>
      </c>
      <c r="AR13" s="270" t="s">
        <v>88</v>
      </c>
      <c r="AS13" s="278" t="s">
        <v>89</v>
      </c>
      <c r="AT13" s="278" t="s">
        <v>90</v>
      </c>
      <c r="AU13" s="278" t="s">
        <v>91</v>
      </c>
      <c r="AV13" s="278" t="s">
        <v>92</v>
      </c>
      <c r="AW13" s="278" t="s">
        <v>93</v>
      </c>
      <c r="AX13" s="278" t="s">
        <v>94</v>
      </c>
      <c r="AY13" s="278" t="s">
        <v>95</v>
      </c>
      <c r="AZ13" s="273" t="s">
        <v>96</v>
      </c>
      <c r="BA13" s="273" t="s">
        <v>97</v>
      </c>
      <c r="BB13" s="273" t="s">
        <v>98</v>
      </c>
      <c r="BC13" s="278" t="s">
        <v>96</v>
      </c>
      <c r="BD13" s="278" t="s">
        <v>99</v>
      </c>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row>
    <row r="14" spans="1:82" s="182" customFormat="1" ht="106.5" customHeight="1">
      <c r="A14" s="180"/>
      <c r="B14" s="180"/>
      <c r="C14" s="180"/>
      <c r="D14" s="293"/>
      <c r="E14" s="273"/>
      <c r="F14" s="269"/>
      <c r="G14" s="271"/>
      <c r="H14" s="274"/>
      <c r="I14" s="273"/>
      <c r="J14" s="273"/>
      <c r="K14" s="274"/>
      <c r="L14" s="271"/>
      <c r="M14" s="191" t="s">
        <v>100</v>
      </c>
      <c r="N14" s="191" t="s">
        <v>101</v>
      </c>
      <c r="O14" s="273"/>
      <c r="P14" s="273"/>
      <c r="Q14" s="274"/>
      <c r="R14" s="273"/>
      <c r="S14" s="274"/>
      <c r="T14" s="274"/>
      <c r="U14" s="273"/>
      <c r="V14" s="272"/>
      <c r="W14" s="273"/>
      <c r="X14" s="273"/>
      <c r="Y14" s="273"/>
      <c r="Z14" s="209" t="s">
        <v>102</v>
      </c>
      <c r="AA14" s="209" t="s">
        <v>103</v>
      </c>
      <c r="AB14" s="209" t="s">
        <v>104</v>
      </c>
      <c r="AC14" s="209" t="s">
        <v>55</v>
      </c>
      <c r="AD14" s="209" t="s">
        <v>105</v>
      </c>
      <c r="AE14" s="209" t="s">
        <v>106</v>
      </c>
      <c r="AF14" s="249"/>
      <c r="AG14" s="272"/>
      <c r="AH14" s="272"/>
      <c r="AI14" s="272"/>
      <c r="AJ14" s="272"/>
      <c r="AK14" s="272"/>
      <c r="AL14" s="272"/>
      <c r="AM14" s="272"/>
      <c r="AN14" s="272"/>
      <c r="AO14" s="273"/>
      <c r="AP14" s="273"/>
      <c r="AQ14" s="273"/>
      <c r="AR14" s="271"/>
      <c r="AS14" s="279"/>
      <c r="AT14" s="279"/>
      <c r="AU14" s="279"/>
      <c r="AV14" s="279"/>
      <c r="AW14" s="279"/>
      <c r="AX14" s="279"/>
      <c r="AY14" s="279"/>
      <c r="AZ14" s="270"/>
      <c r="BA14" s="270"/>
      <c r="BB14" s="270"/>
      <c r="BC14" s="279"/>
      <c r="BD14" s="279"/>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row>
    <row r="15" spans="1:82" s="192" customFormat="1" ht="135" customHeight="1">
      <c r="D15" s="252">
        <v>1</v>
      </c>
      <c r="E15" s="254" t="s">
        <v>107</v>
      </c>
      <c r="F15" s="254" t="s">
        <v>108</v>
      </c>
      <c r="G15" s="254"/>
      <c r="H15" s="254" t="s">
        <v>109</v>
      </c>
      <c r="I15" s="305" t="s">
        <v>110</v>
      </c>
      <c r="J15" s="305" t="s">
        <v>111</v>
      </c>
      <c r="K15" s="305" t="s">
        <v>112</v>
      </c>
      <c r="L15" s="250" t="s">
        <v>113</v>
      </c>
      <c r="M15" s="250" t="s">
        <v>114</v>
      </c>
      <c r="N15" s="250" t="s">
        <v>115</v>
      </c>
      <c r="O15" s="250">
        <v>1800</v>
      </c>
      <c r="P15" s="260" t="str">
        <f>IF(O15&lt;=0,"",IF(O15&lt;=2,"Muy Baja",IF(O15&lt;=24,"Baja",IF(O15&lt;=500,"Media",IF(O15&lt;=5000,"Alta","Muy Alta")))))</f>
        <v>Alta</v>
      </c>
      <c r="Q15" s="262">
        <f>IF(P15="","",IF(P15="Muy Baja",0.2,IF(P15="Baja",0.4,IF(P15="Media",0.6,IF(P15="Alta",0.8,IF(P15="Muy Alta",1,))))))</f>
        <v>0.8</v>
      </c>
      <c r="R15" s="264" t="s">
        <v>116</v>
      </c>
      <c r="S15" s="256" t="str">
        <f>IFERROR(VLOOKUP(R15,Criterios[],2,FALSE),"")</f>
        <v>Moderado</v>
      </c>
      <c r="T15" s="262">
        <f t="shared" ref="T15" si="0">IF(S15="","",IF(S15="Leve",0.2,IF(S15="Menor",0.4,IF(S15="Moderado",0.6,IF(S15="Mayor",0.8,IF(S15="Catastrófico",1,))))))</f>
        <v>0.6</v>
      </c>
      <c r="U15" s="256"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Alto</v>
      </c>
      <c r="V15" s="193">
        <v>1</v>
      </c>
      <c r="W15" s="194" t="s">
        <v>117</v>
      </c>
      <c r="X15" s="195" t="s">
        <v>118</v>
      </c>
      <c r="Y15" s="196" t="str">
        <f t="shared" ref="Y15:Y32" si="1">IF(OR(Z15="Preventivo",Z15="Detectivo"),"Probabilidad",IF(Z15="Correctivo","Impacto",""))</f>
        <v>Probabilidad</v>
      </c>
      <c r="Z15" s="197" t="s">
        <v>119</v>
      </c>
      <c r="AA15" s="197" t="s">
        <v>120</v>
      </c>
      <c r="AB15" s="198" t="str">
        <f t="shared" ref="AB15:AB32" si="2">IF(AND(Z15="Preventivo",AA15="Automático"),"50%",IF(AND(Z15="Preventivo",AA15="Manual"),"40%",IF(AND(Z15="Detectivo",AA15="Automático"),"40%",IF(AND(Z15="Detectivo",AA15="Manual"),"30%",IF(AND(Z15="Correctivo",AA15="Automático"),"35%",IF(AND(Z15="Correctivo",AA15="Manual"),"25%",""))))))</f>
        <v>40%</v>
      </c>
      <c r="AC15" s="197" t="s">
        <v>121</v>
      </c>
      <c r="AD15" s="197" t="s">
        <v>122</v>
      </c>
      <c r="AE15" s="197" t="s">
        <v>123</v>
      </c>
      <c r="AF15" s="219" t="s">
        <v>124</v>
      </c>
      <c r="AG15" s="199">
        <f>IFERROR(IF(Y15="Probabilidad",(Q15-(+ Q15*AB15)),IF(Y15="Impacto",Q15,"")),"")</f>
        <v>0.48</v>
      </c>
      <c r="AH15" s="200" t="str">
        <f>IFERROR(IF(AG15="","",IF(AG15&lt;=0.2,"Muy Baja",IF(AG15&lt;=0.4,"Baja",IF(AG15&lt;=0.6,"Media",IF(AG15&lt;=0.8,"Alta","Muy Alta"))))),"")</f>
        <v>Media</v>
      </c>
      <c r="AI15" s="198">
        <f>+AG15</f>
        <v>0.48</v>
      </c>
      <c r="AJ15" s="200" t="str">
        <f>IFERROR(IF(AK15="","",IF(AK15&lt;=0.2,"Leve",IF(AK15&lt;=0.4,"Menor",IF(AK15&lt;=0.6,"Moderado",IF(AK15&lt;=0.8,"Mayor","Catastrófico"))))),"")</f>
        <v>Moderado</v>
      </c>
      <c r="AK15" s="198">
        <f>IFERROR(IF(Y15="Impacto",(T15-(+T15*AB15)),IF(Y15="Probabilidad",T15,"")),"")</f>
        <v>0.6</v>
      </c>
      <c r="AL15" s="200" t="str">
        <f>IFERROR(IF(OR(AND(AH15="Muy Baja",AJ15="Leve"),AND(AH15="Muy Baja",AJ15="Menor"),AND(AH15="Baja",AJ15="Leve")),"Bajo",IF(OR(AND(AH15="Muy baja",AJ15="Moderado"),AND(AH15="Baja",AJ15="Menor"),AND(AH15="Baja",AJ15="Moderado"),AND(AH15="Media",AJ15="Leve"),AND(AH15="Media",AJ15="Menor"),AND(AH15="Media",AJ15="Moderado"),AND(AH15="Alta",AJ15="Leve"),AND(AH15="Alta",AJ15="Menor")),"Moderado",IF(OR(AND(AH15="Muy Baja",AJ15="Mayor"),AND(AH15="Baja",AJ15="Mayor"),AND(AH15="Media",AJ15="Mayor"),AND(AH15="Alta",AJ15="Moderado"),AND(AH15="Alta",AJ15="Mayor"),AND(AH15="Muy Alta",AJ15="Leve"),AND(AH15="Muy Alta",AJ15="Menor"),AND(AH15="Muy Alta",AJ15="Moderado"),AND(AH15="Muy Alta",AJ15="Mayor")),"Alto",IF(OR(AND(AH15="Muy Baja",AJ15="Catastrófico"),AND(AH15="Baja",AJ15="Catastrófico"),AND(AH15="Media",AJ15="Catastrófico"),AND(AH15="Alta",AJ15="Catastrófico"),AND(AH15="Muy Alta",AJ15="Catastrófico")),"Extremo","")))),"")</f>
        <v>Moderado</v>
      </c>
      <c r="AM15" s="258" t="s">
        <v>125</v>
      </c>
      <c r="AN15" s="193">
        <v>1</v>
      </c>
      <c r="AO15" s="234" t="s">
        <v>126</v>
      </c>
      <c r="AP15" s="235" t="s">
        <v>127</v>
      </c>
      <c r="AQ15" s="236" t="s">
        <v>128</v>
      </c>
      <c r="AR15" s="236">
        <v>46248</v>
      </c>
      <c r="AS15" s="323"/>
      <c r="AT15" s="229"/>
      <c r="AU15" s="229"/>
      <c r="AV15" s="229"/>
      <c r="AW15" s="229"/>
      <c r="AX15" s="229"/>
      <c r="AY15" s="229"/>
      <c r="AZ15" s="317"/>
      <c r="BA15" s="225"/>
      <c r="BB15" s="226"/>
      <c r="BC15" s="320"/>
      <c r="BD15" s="223"/>
      <c r="BE15" s="215"/>
      <c r="BF15" s="201"/>
      <c r="BG15" s="201"/>
      <c r="BH15" s="201"/>
      <c r="BI15" s="201"/>
      <c r="BJ15" s="201"/>
      <c r="BK15" s="201"/>
      <c r="BL15" s="201"/>
      <c r="BM15" s="201"/>
      <c r="BN15" s="201"/>
      <c r="BO15" s="201"/>
      <c r="BP15" s="201"/>
      <c r="BQ15" s="201"/>
      <c r="BR15" s="201"/>
      <c r="BS15" s="201"/>
      <c r="BT15" s="201"/>
      <c r="BU15" s="201"/>
      <c r="BV15" s="201"/>
      <c r="BW15" s="201"/>
      <c r="BX15" s="201"/>
      <c r="BY15" s="201"/>
      <c r="BZ15" s="201"/>
      <c r="CA15" s="201"/>
      <c r="CB15" s="201"/>
      <c r="CC15" s="201"/>
      <c r="CD15" s="201"/>
    </row>
    <row r="16" spans="1:82" s="192" customFormat="1" ht="103.5" customHeight="1">
      <c r="D16" s="253"/>
      <c r="E16" s="255"/>
      <c r="F16" s="255"/>
      <c r="G16" s="255"/>
      <c r="H16" s="255"/>
      <c r="I16" s="306"/>
      <c r="J16" s="306"/>
      <c r="K16" s="306"/>
      <c r="L16" s="251"/>
      <c r="M16" s="251"/>
      <c r="N16" s="251"/>
      <c r="O16" s="251"/>
      <c r="P16" s="261"/>
      <c r="Q16" s="263"/>
      <c r="R16" s="265"/>
      <c r="S16" s="257"/>
      <c r="T16" s="263"/>
      <c r="U16" s="257"/>
      <c r="V16" s="202">
        <v>2</v>
      </c>
      <c r="W16" s="194" t="s">
        <v>129</v>
      </c>
      <c r="X16" s="195" t="s">
        <v>130</v>
      </c>
      <c r="Y16" s="196" t="str">
        <f t="shared" si="1"/>
        <v>Probabilidad</v>
      </c>
      <c r="Z16" s="197" t="s">
        <v>119</v>
      </c>
      <c r="AA16" s="197" t="s">
        <v>120</v>
      </c>
      <c r="AB16" s="198" t="str">
        <f t="shared" si="2"/>
        <v>40%</v>
      </c>
      <c r="AC16" s="197" t="s">
        <v>121</v>
      </c>
      <c r="AD16" s="197" t="s">
        <v>122</v>
      </c>
      <c r="AE16" s="197" t="s">
        <v>123</v>
      </c>
      <c r="AF16" s="219" t="s">
        <v>131</v>
      </c>
      <c r="AG16" s="199">
        <f>IFERROR(IF(Y16="Probabilidad",(Q15-(+ Q16*AB16)),IF(Y16="Impacto",Q16,"")),"")</f>
        <v>0.8</v>
      </c>
      <c r="AH16" s="200" t="str">
        <f t="shared" ref="AH16:AH32" si="3">IFERROR(IF(AG16="","",IF(AG16&lt;=0.2,"Muy Baja",IF(AG16&lt;=0.4,"Baja",IF(AG16&lt;=0.6,"Media",IF(AG16&lt;=0.8,"Alta","Muy Alta"))))),"")</f>
        <v>Alta</v>
      </c>
      <c r="AI16" s="198">
        <f t="shared" ref="AI16:AI32" si="4">+AG16</f>
        <v>0.8</v>
      </c>
      <c r="AJ16" s="200" t="str">
        <f t="shared" ref="AJ16:AJ32" si="5">IFERROR(IF(AK16="","",IF(AK16&lt;=0.2,"Leve",IF(AK16&lt;=0.4,"Menor",IF(AK16&lt;=0.6,"Moderado",IF(AK16&lt;=0.8,"Mayor","Catastrófico"))))),"")</f>
        <v>Moderado</v>
      </c>
      <c r="AK16" s="198">
        <f>IFERROR(IF(Y16="Impacto",(T16-(+T16*AB16)),IF(Y16="Probabilidad",T15,"")),"")</f>
        <v>0.6</v>
      </c>
      <c r="AL16" s="200" t="str">
        <f t="shared" ref="AL16:AL32" si="6">IFERROR(IF(OR(AND(AH16="Muy Baja",AJ16="Leve"),AND(AH16="Muy Baja",AJ16="Menor"),AND(AH16="Baja",AJ16="Leve")),"Bajo",IF(OR(AND(AH16="Muy baja",AJ16="Moderado"),AND(AH16="Baja",AJ16="Menor"),AND(AH16="Baja",AJ16="Moderado"),AND(AH16="Media",AJ16="Leve"),AND(AH16="Media",AJ16="Menor"),AND(AH16="Media",AJ16="Moderado"),AND(AH16="Alta",AJ16="Leve"),AND(AH16="Alta",AJ16="Menor")),"Moderado",IF(OR(AND(AH16="Muy Baja",AJ16="Mayor"),AND(AH16="Baja",AJ16="Mayor"),AND(AH16="Media",AJ16="Mayor"),AND(AH16="Alta",AJ16="Moderado"),AND(AH16="Alta",AJ16="Mayor"),AND(AH16="Muy Alta",AJ16="Leve"),AND(AH16="Muy Alta",AJ16="Menor"),AND(AH16="Muy Alta",AJ16="Moderado"),AND(AH16="Muy Alta",AJ16="Mayor")),"Alto",IF(OR(AND(AH16="Muy Baja",AJ16="Catastrófico"),AND(AH16="Baja",AJ16="Catastrófico"),AND(AH16="Media",AJ16="Catastrófico"),AND(AH16="Alta",AJ16="Catastrófico"),AND(AH16="Muy Alta",AJ16="Catastrófico")),"Extremo","")))),"")</f>
        <v>Alto</v>
      </c>
      <c r="AM16" s="259"/>
      <c r="AN16" s="202">
        <v>2</v>
      </c>
      <c r="AO16" s="233" t="s">
        <v>132</v>
      </c>
      <c r="AP16" s="235" t="s">
        <v>133</v>
      </c>
      <c r="AQ16" s="236" t="s">
        <v>128</v>
      </c>
      <c r="AR16" s="236">
        <v>46248</v>
      </c>
      <c r="AS16" s="324"/>
      <c r="AT16" s="229"/>
      <c r="AU16" s="229"/>
      <c r="AV16" s="229"/>
      <c r="AW16" s="229"/>
      <c r="AX16" s="229"/>
      <c r="AY16" s="229"/>
      <c r="AZ16" s="318"/>
      <c r="BA16" s="225"/>
      <c r="BB16" s="227"/>
      <c r="BC16" s="321"/>
      <c r="BD16" s="223"/>
      <c r="BE16" s="216"/>
      <c r="BF16" s="201"/>
      <c r="BG16" s="201"/>
      <c r="BH16" s="201"/>
      <c r="BI16" s="201"/>
      <c r="BJ16" s="201"/>
      <c r="BK16" s="201"/>
      <c r="BL16" s="201"/>
      <c r="BM16" s="201"/>
      <c r="BN16" s="201"/>
      <c r="BO16" s="201"/>
      <c r="BP16" s="201"/>
      <c r="BQ16" s="201"/>
      <c r="BR16" s="201"/>
      <c r="BS16" s="201"/>
      <c r="BT16" s="201"/>
      <c r="BU16" s="201"/>
      <c r="BV16" s="201"/>
      <c r="BW16" s="201"/>
      <c r="BX16" s="201"/>
      <c r="BY16" s="201"/>
      <c r="BZ16" s="201"/>
      <c r="CA16" s="201"/>
      <c r="CB16" s="201"/>
      <c r="CC16" s="201"/>
      <c r="CD16" s="201"/>
    </row>
    <row r="17" spans="2:82" s="192" customFormat="1" ht="139.5" customHeight="1">
      <c r="D17" s="252">
        <v>2</v>
      </c>
      <c r="E17" s="254" t="s">
        <v>67</v>
      </c>
      <c r="F17" s="254" t="s">
        <v>108</v>
      </c>
      <c r="G17" s="254"/>
      <c r="H17" s="254" t="s">
        <v>109</v>
      </c>
      <c r="I17" s="305" t="s">
        <v>134</v>
      </c>
      <c r="J17" s="305" t="s">
        <v>135</v>
      </c>
      <c r="K17" s="307" t="s">
        <v>136</v>
      </c>
      <c r="L17" s="250" t="s">
        <v>113</v>
      </c>
      <c r="M17" s="250" t="s">
        <v>137</v>
      </c>
      <c r="N17" s="250" t="s">
        <v>138</v>
      </c>
      <c r="O17" s="250">
        <v>1000</v>
      </c>
      <c r="P17" s="260" t="str">
        <f>IF(O17&lt;=0,"",IF(O17&lt;=2,"Muy Baja",IF(O17&lt;=24,"Baja",IF(O17&lt;=500,"Media",IF(O17&lt;=5000,"Alta","Muy Alta")))))</f>
        <v>Alta</v>
      </c>
      <c r="Q17" s="262">
        <f t="shared" ref="Q17" si="7">IF(P17="","",IF(P17="Muy Baja",0.2,IF(P17="Baja",0.4,IF(P17="Media",0.6,IF(P17="Alta",0.8,IF(P17="Muy Alta",1,))))))</f>
        <v>0.8</v>
      </c>
      <c r="R17" s="264" t="s">
        <v>116</v>
      </c>
      <c r="S17" s="256" t="str">
        <f>IFERROR(VLOOKUP(R17,Criterios[],2,FALSE),"")</f>
        <v>Moderado</v>
      </c>
      <c r="T17" s="262">
        <f t="shared" ref="T17" si="8">IF(S17="","",IF(S17="Leve",0.2,IF(S17="Menor",0.4,IF(S17="Moderado",0.6,IF(S17="Mayor",0.8,IF(S17="Catastrófico",1,))))))</f>
        <v>0.6</v>
      </c>
      <c r="U17" s="256" t="str">
        <f>IF(OR(AND(P17="Muy Baja",S17="Leve"),AND(P17="Muy Baja",S17="Menor"),AND(P17="Baja",S17="Leve")),"Bajo",IF(OR(AND(P17="Muy baja",S17="Moderado"),AND(P17="Baja",S17="Menor"),AND(P17="Baja",S17="Moderado"),AND(P17="Media",S17="Leve"),AND(P17="Media",S17="Menor"),AND(P17="Media",S17="Moderado"),AND(P17="Alta",S17="Leve"),AND(P17="Alta",S17="Menor")),"Moderado",IF(OR(AND(P17="Muy Baja",S17="Mayor"),AND(P17="Baja",S17="Mayor"),AND(P17="Media",S17="Mayor"),AND(P17="Alta",S17="Moderado"),AND(P17="Alta",S17="Mayor"),AND(P17="Muy Alta",S17="Leve"),AND(P17="Muy Alta",S17="Menor"),AND(P17="Muy Alta",S17="Moderado"),AND(P17="Muy Alta",S17="Mayor")),"Alto",IF(OR(AND(P17="Muy Baja",S17="Catastrófico"),AND(P17="Baja",S17="Catastrófico"),AND(P17="Media",S17="Catastrófico"),AND(P17="Alta",S17="Catastrófico"),AND(P17="Muy Alta",S17="Catastrófico")),"Extremo",""))))</f>
        <v>Alto</v>
      </c>
      <c r="V17" s="193">
        <v>1</v>
      </c>
      <c r="W17" s="232" t="s">
        <v>139</v>
      </c>
      <c r="X17" s="195" t="s">
        <v>140</v>
      </c>
      <c r="Y17" s="196" t="str">
        <f t="shared" si="1"/>
        <v>Probabilidad</v>
      </c>
      <c r="Z17" s="197" t="s">
        <v>119</v>
      </c>
      <c r="AA17" s="197" t="s">
        <v>120</v>
      </c>
      <c r="AB17" s="198" t="str">
        <f t="shared" si="2"/>
        <v>40%</v>
      </c>
      <c r="AC17" s="197" t="s">
        <v>121</v>
      </c>
      <c r="AD17" s="197" t="s">
        <v>122</v>
      </c>
      <c r="AE17" s="197" t="s">
        <v>123</v>
      </c>
      <c r="AF17" s="219" t="s">
        <v>141</v>
      </c>
      <c r="AG17" s="199">
        <f>IFERROR(IF(Y17="Probabilidad",(Q17-(+ Q17*AB17)),IF(Y17="Impacto",Q17,"")),"")</f>
        <v>0.48</v>
      </c>
      <c r="AH17" s="200" t="str">
        <f t="shared" si="3"/>
        <v>Media</v>
      </c>
      <c r="AI17" s="198">
        <f t="shared" si="4"/>
        <v>0.48</v>
      </c>
      <c r="AJ17" s="200" t="str">
        <f t="shared" si="5"/>
        <v>Moderado</v>
      </c>
      <c r="AK17" s="198">
        <f>IFERROR(IF(Y17="Impacto",(T117-(+T17*AB17)),IF(Y17="Probabilidad",T17,"")),"")</f>
        <v>0.6</v>
      </c>
      <c r="AL17" s="200" t="str">
        <f t="shared" si="6"/>
        <v>Moderado</v>
      </c>
      <c r="AM17" s="258" t="s">
        <v>125</v>
      </c>
      <c r="AN17" s="193">
        <v>1</v>
      </c>
      <c r="AO17" s="234" t="s">
        <v>142</v>
      </c>
      <c r="AP17" s="235" t="s">
        <v>143</v>
      </c>
      <c r="AQ17" s="236" t="s">
        <v>144</v>
      </c>
      <c r="AR17" s="236"/>
      <c r="AS17" s="324"/>
      <c r="AT17" s="229"/>
      <c r="AU17" s="229"/>
      <c r="AV17" s="229"/>
      <c r="AW17" s="229"/>
      <c r="AX17" s="229"/>
      <c r="AY17" s="229"/>
      <c r="AZ17" s="318"/>
      <c r="BA17" s="225"/>
      <c r="BB17" s="227"/>
      <c r="BC17" s="321"/>
      <c r="BD17" s="223"/>
      <c r="BE17" s="201"/>
      <c r="BF17" s="216"/>
      <c r="BG17" s="201"/>
      <c r="BH17" s="201"/>
      <c r="BI17" s="201"/>
      <c r="BJ17" s="201"/>
      <c r="BK17" s="201"/>
      <c r="BL17" s="201"/>
      <c r="BM17" s="201"/>
      <c r="BN17" s="201"/>
      <c r="BO17" s="201"/>
      <c r="BP17" s="201"/>
      <c r="BQ17" s="201"/>
      <c r="BR17" s="201"/>
      <c r="BS17" s="201"/>
      <c r="BT17" s="201"/>
      <c r="BU17" s="201"/>
      <c r="BV17" s="201"/>
      <c r="BW17" s="201"/>
      <c r="BX17" s="201"/>
      <c r="BY17" s="201"/>
      <c r="BZ17" s="201"/>
      <c r="CA17" s="201"/>
      <c r="CB17" s="201"/>
      <c r="CC17" s="201"/>
      <c r="CD17" s="201"/>
    </row>
    <row r="18" spans="2:82" s="192" customFormat="1" ht="113.1" customHeight="1">
      <c r="D18" s="253"/>
      <c r="E18" s="255"/>
      <c r="F18" s="255"/>
      <c r="G18" s="255"/>
      <c r="H18" s="255"/>
      <c r="I18" s="306"/>
      <c r="J18" s="306"/>
      <c r="K18" s="306"/>
      <c r="L18" s="251"/>
      <c r="M18" s="251"/>
      <c r="N18" s="251"/>
      <c r="O18" s="251"/>
      <c r="P18" s="261"/>
      <c r="Q18" s="263"/>
      <c r="R18" s="265"/>
      <c r="S18" s="257"/>
      <c r="T18" s="263"/>
      <c r="U18" s="257"/>
      <c r="V18" s="202">
        <v>2</v>
      </c>
      <c r="W18" s="232" t="s">
        <v>145</v>
      </c>
      <c r="X18" s="195" t="s">
        <v>146</v>
      </c>
      <c r="Y18" s="196" t="str">
        <f t="shared" si="1"/>
        <v>Probabilidad</v>
      </c>
      <c r="Z18" s="197" t="s">
        <v>119</v>
      </c>
      <c r="AA18" s="197" t="s">
        <v>120</v>
      </c>
      <c r="AB18" s="198" t="str">
        <f t="shared" si="2"/>
        <v>40%</v>
      </c>
      <c r="AC18" s="197" t="s">
        <v>121</v>
      </c>
      <c r="AD18" s="197" t="s">
        <v>122</v>
      </c>
      <c r="AE18" s="197" t="s">
        <v>123</v>
      </c>
      <c r="AF18" s="219" t="s">
        <v>147</v>
      </c>
      <c r="AG18" s="199">
        <f>IFERROR(IF(Y18="Probabilidad",(Q17-(+ Q18*AB18)),IF(Y18="Impacto",Q18,"")),"")</f>
        <v>0.8</v>
      </c>
      <c r="AH18" s="200" t="str">
        <f t="shared" si="3"/>
        <v>Alta</v>
      </c>
      <c r="AI18" s="198">
        <f t="shared" si="4"/>
        <v>0.8</v>
      </c>
      <c r="AJ18" s="200" t="str">
        <f t="shared" si="5"/>
        <v>Moderado</v>
      </c>
      <c r="AK18" s="198">
        <f>IFERROR(IF(Y18="Impacto",(T18-(+T18*AB18)),IF(Y18="Probabilidad",T17,"")),"")</f>
        <v>0.6</v>
      </c>
      <c r="AL18" s="200" t="str">
        <f t="shared" si="6"/>
        <v>Alto</v>
      </c>
      <c r="AM18" s="259"/>
      <c r="AN18" s="202">
        <v>2</v>
      </c>
      <c r="AO18" s="234" t="s">
        <v>148</v>
      </c>
      <c r="AP18" s="235" t="s">
        <v>149</v>
      </c>
      <c r="AQ18" s="236" t="s">
        <v>150</v>
      </c>
      <c r="AR18" s="236"/>
      <c r="AS18" s="324"/>
      <c r="AT18" s="229"/>
      <c r="AU18" s="229"/>
      <c r="AV18" s="229"/>
      <c r="AW18" s="229"/>
      <c r="AX18" s="229"/>
      <c r="AY18" s="229"/>
      <c r="AZ18" s="318"/>
      <c r="BA18" s="225"/>
      <c r="BB18" s="227"/>
      <c r="BC18" s="321"/>
      <c r="BD18" s="223"/>
      <c r="BE18" s="201"/>
      <c r="BF18" s="216"/>
      <c r="BG18" s="201"/>
      <c r="BH18" s="201"/>
      <c r="BI18" s="201"/>
      <c r="BJ18" s="201"/>
      <c r="BK18" s="201"/>
      <c r="BL18" s="201"/>
      <c r="BM18" s="201"/>
      <c r="BN18" s="201"/>
      <c r="BO18" s="201"/>
      <c r="BP18" s="201"/>
      <c r="BQ18" s="201"/>
      <c r="BR18" s="201"/>
      <c r="BS18" s="201"/>
      <c r="BT18" s="201"/>
      <c r="BU18" s="201"/>
      <c r="BV18" s="201"/>
      <c r="BW18" s="201"/>
      <c r="BX18" s="201"/>
      <c r="BY18" s="201"/>
      <c r="BZ18" s="201"/>
      <c r="CA18" s="201"/>
      <c r="CB18" s="201"/>
      <c r="CC18" s="201"/>
      <c r="CD18" s="201"/>
    </row>
    <row r="19" spans="2:82" s="192" customFormat="1" ht="93" customHeight="1">
      <c r="B19" s="642"/>
      <c r="C19" s="642"/>
      <c r="D19" s="643">
        <v>3</v>
      </c>
      <c r="E19" s="644" t="s">
        <v>107</v>
      </c>
      <c r="F19" s="644" t="s">
        <v>151</v>
      </c>
      <c r="G19" s="644"/>
      <c r="H19" s="644" t="s">
        <v>109</v>
      </c>
      <c r="I19" s="645" t="s">
        <v>152</v>
      </c>
      <c r="J19" s="645" t="s">
        <v>153</v>
      </c>
      <c r="K19" s="646" t="s">
        <v>154</v>
      </c>
      <c r="L19" s="250" t="s">
        <v>113</v>
      </c>
      <c r="M19" s="250" t="s">
        <v>155</v>
      </c>
      <c r="N19" s="250" t="s">
        <v>115</v>
      </c>
      <c r="O19" s="250">
        <v>1000</v>
      </c>
      <c r="P19" s="260" t="str">
        <f>IF(O19&lt;=0,"",IF(O19&lt;=2,"Muy Baja",IF(O19&lt;=24,"Baja",IF(O19&lt;=500,"Media",IF(O19&lt;=5000,"Alta","Muy Alta")))))</f>
        <v>Alta</v>
      </c>
      <c r="Q19" s="262">
        <f t="shared" ref="Q19" si="9">IF(P19="","",IF(P19="Muy Baja",0.2,IF(P19="Baja",0.4,IF(P19="Media",0.6,IF(P19="Alta",0.8,IF(P19="Muy Alta",1,))))))</f>
        <v>0.8</v>
      </c>
      <c r="R19" s="264" t="s">
        <v>116</v>
      </c>
      <c r="S19" s="256" t="str">
        <f>IFERROR(VLOOKUP(R19,Criterios[],2,FALSE),"")</f>
        <v>Moderado</v>
      </c>
      <c r="T19" s="262">
        <f t="shared" ref="T19" si="10">IF(S19="","",IF(S19="Leve",0.2,IF(S19="Menor",0.4,IF(S19="Moderado",0.6,IF(S19="Mayor",0.8,IF(S19="Catastrófico",1,))))))</f>
        <v>0.6</v>
      </c>
      <c r="U19" s="256" t="str">
        <f>IF(OR(AND(P19="Muy Baja",S19="Leve"),AND(P19="Muy Baja",S19="Menor"),AND(P19="Baja",S19="Leve")),"Bajo",IF(OR(AND(P19="Muy baja",S19="Moderado"),AND(P19="Baja",S19="Menor"),AND(P19="Baja",S19="Moderado"),AND(P19="Media",S19="Leve"),AND(P19="Media",S19="Menor"),AND(P19="Media",S19="Moderado"),AND(P19="Alta",S19="Leve"),AND(P19="Alta",S19="Menor")),"Moderado",IF(OR(AND(P19="Muy Baja",S19="Mayor"),AND(P19="Baja",S19="Mayor"),AND(P19="Media",S19="Mayor"),AND(P19="Alta",S19="Moderado"),AND(P19="Alta",S19="Mayor"),AND(P19="Muy Alta",S19="Leve"),AND(P19="Muy Alta",S19="Menor"),AND(P19="Muy Alta",S19="Moderado"),AND(P19="Muy Alta",S19="Mayor")),"Alto",IF(OR(AND(P19="Muy Baja",S19="Catastrófico"),AND(P19="Baja",S19="Catastrófico"),AND(P19="Media",S19="Catastrófico"),AND(P19="Alta",S19="Catastrófico"),AND(P19="Muy Alta",S19="Catastrófico")),"Extremo",""))))</f>
        <v>Alto</v>
      </c>
      <c r="V19" s="193">
        <v>1</v>
      </c>
      <c r="W19" s="194" t="s">
        <v>156</v>
      </c>
      <c r="X19" s="195" t="s">
        <v>157</v>
      </c>
      <c r="Y19" s="196" t="str">
        <f t="shared" si="1"/>
        <v>Probabilidad</v>
      </c>
      <c r="Z19" s="197" t="s">
        <v>119</v>
      </c>
      <c r="AA19" s="197" t="s">
        <v>120</v>
      </c>
      <c r="AB19" s="198" t="str">
        <f t="shared" si="2"/>
        <v>40%</v>
      </c>
      <c r="AC19" s="197" t="s">
        <v>121</v>
      </c>
      <c r="AD19" s="197" t="s">
        <v>122</v>
      </c>
      <c r="AE19" s="197" t="s">
        <v>123</v>
      </c>
      <c r="AF19" s="219" t="s">
        <v>158</v>
      </c>
      <c r="AG19" s="199">
        <f>IFERROR(IF(Y19="Probabilidad",(Q19-(+ Q19*AB19)),IF(Y19="Impacto",Q19,"")),"")</f>
        <v>0.48</v>
      </c>
      <c r="AH19" s="200" t="str">
        <f t="shared" si="3"/>
        <v>Media</v>
      </c>
      <c r="AI19" s="198">
        <f t="shared" si="4"/>
        <v>0.48</v>
      </c>
      <c r="AJ19" s="200" t="str">
        <f t="shared" si="5"/>
        <v>Moderado</v>
      </c>
      <c r="AK19" s="198">
        <f>IFERROR(IF(Y19="Impacto",(T19-(+T19*AB19)),IF(Y19="Probabilidad",T19,"")),"")</f>
        <v>0.6</v>
      </c>
      <c r="AL19" s="200" t="str">
        <f t="shared" si="6"/>
        <v>Moderado</v>
      </c>
      <c r="AM19" s="258" t="s">
        <v>125</v>
      </c>
      <c r="AN19" s="193">
        <v>1</v>
      </c>
      <c r="AO19" s="234" t="s">
        <v>159</v>
      </c>
      <c r="AP19" s="235" t="s">
        <v>160</v>
      </c>
      <c r="AQ19" s="236" t="s">
        <v>161</v>
      </c>
      <c r="AR19" s="236">
        <v>46366</v>
      </c>
      <c r="AS19" s="324"/>
      <c r="AT19" s="229"/>
      <c r="AU19" s="229"/>
      <c r="AV19" s="229"/>
      <c r="AW19" s="229"/>
      <c r="AX19" s="229"/>
      <c r="AY19" s="229"/>
      <c r="AZ19" s="318"/>
      <c r="BA19" s="225"/>
      <c r="BB19" s="227"/>
      <c r="BC19" s="321"/>
      <c r="BD19" s="223"/>
      <c r="BE19" s="201"/>
      <c r="BF19" s="216"/>
      <c r="BG19" s="201"/>
      <c r="BH19" s="201"/>
      <c r="BI19" s="201"/>
      <c r="BJ19" s="201"/>
      <c r="BK19" s="201"/>
      <c r="BL19" s="201"/>
      <c r="BM19" s="201"/>
      <c r="BN19" s="201"/>
      <c r="BO19" s="201"/>
      <c r="BP19" s="201"/>
      <c r="BQ19" s="201"/>
      <c r="BR19" s="201"/>
      <c r="BS19" s="201"/>
      <c r="BT19" s="201"/>
      <c r="BU19" s="201"/>
      <c r="BV19" s="201"/>
      <c r="BW19" s="201"/>
      <c r="BX19" s="201"/>
      <c r="BY19" s="201"/>
      <c r="BZ19" s="201"/>
      <c r="CA19" s="201"/>
      <c r="CB19" s="201"/>
      <c r="CC19" s="201"/>
      <c r="CD19" s="201"/>
    </row>
    <row r="20" spans="2:82" s="192" customFormat="1" ht="94.5" customHeight="1">
      <c r="B20" s="642"/>
      <c r="C20" s="642"/>
      <c r="D20" s="647"/>
      <c r="E20" s="648"/>
      <c r="F20" s="648"/>
      <c r="G20" s="648"/>
      <c r="H20" s="648"/>
      <c r="I20" s="649" t="s">
        <v>162</v>
      </c>
      <c r="J20" s="649"/>
      <c r="K20" s="649"/>
      <c r="L20" s="251"/>
      <c r="M20" s="251" t="s">
        <v>163</v>
      </c>
      <c r="N20" s="251" t="s">
        <v>163</v>
      </c>
      <c r="O20" s="251"/>
      <c r="P20" s="261"/>
      <c r="Q20" s="263"/>
      <c r="R20" s="265"/>
      <c r="S20" s="257"/>
      <c r="T20" s="263"/>
      <c r="U20" s="257"/>
      <c r="V20" s="202">
        <v>2</v>
      </c>
      <c r="W20" s="194" t="s">
        <v>164</v>
      </c>
      <c r="X20" s="195" t="s">
        <v>165</v>
      </c>
      <c r="Y20" s="196" t="str">
        <f t="shared" si="1"/>
        <v>Probabilidad</v>
      </c>
      <c r="Z20" s="197" t="s">
        <v>119</v>
      </c>
      <c r="AA20" s="197" t="s">
        <v>120</v>
      </c>
      <c r="AB20" s="198" t="str">
        <f t="shared" si="2"/>
        <v>40%</v>
      </c>
      <c r="AC20" s="197" t="s">
        <v>121</v>
      </c>
      <c r="AD20" s="197" t="s">
        <v>122</v>
      </c>
      <c r="AE20" s="197" t="s">
        <v>123</v>
      </c>
      <c r="AF20" s="219" t="s">
        <v>166</v>
      </c>
      <c r="AG20" s="199">
        <f>IFERROR(IF(Y20="Probabilidad",(Q19-(+ Q20*AB20)),IF(Y20="Impacto",Q20,"")),"")</f>
        <v>0.8</v>
      </c>
      <c r="AH20" s="200" t="str">
        <f t="shared" si="3"/>
        <v>Alta</v>
      </c>
      <c r="AI20" s="198">
        <f t="shared" si="4"/>
        <v>0.8</v>
      </c>
      <c r="AJ20" s="200" t="str">
        <f t="shared" si="5"/>
        <v>Moderado</v>
      </c>
      <c r="AK20" s="198">
        <f t="shared" ref="AK20:AK32" si="11">IFERROR(IF(Y20="Impacto",(T19-(+T19*AB20)),IF(Y20="Probabilidad",T19,"")),"")</f>
        <v>0.6</v>
      </c>
      <c r="AL20" s="200" t="str">
        <f t="shared" si="6"/>
        <v>Alto</v>
      </c>
      <c r="AM20" s="259"/>
      <c r="AN20" s="202">
        <v>2</v>
      </c>
      <c r="AO20" s="234" t="s">
        <v>167</v>
      </c>
      <c r="AP20" s="235" t="s">
        <v>143</v>
      </c>
      <c r="AQ20" s="236" t="s">
        <v>168</v>
      </c>
      <c r="AR20" s="236">
        <v>46367</v>
      </c>
      <c r="AS20" s="324"/>
      <c r="AT20" s="229"/>
      <c r="AU20" s="229"/>
      <c r="AV20" s="229"/>
      <c r="AW20" s="229"/>
      <c r="AX20" s="229"/>
      <c r="AY20" s="229"/>
      <c r="AZ20" s="318"/>
      <c r="BA20" s="225"/>
      <c r="BB20" s="227"/>
      <c r="BC20" s="321"/>
      <c r="BD20" s="223"/>
      <c r="BE20" s="216"/>
      <c r="BF20" s="201"/>
      <c r="BG20" s="201"/>
      <c r="BH20" s="201"/>
      <c r="BI20" s="201"/>
      <c r="BJ20" s="201"/>
      <c r="BK20" s="201"/>
      <c r="BL20" s="201"/>
      <c r="BM20" s="201"/>
      <c r="BN20" s="201"/>
      <c r="BO20" s="201"/>
      <c r="BP20" s="201"/>
      <c r="BQ20" s="201"/>
      <c r="BR20" s="201"/>
      <c r="BS20" s="201"/>
      <c r="BT20" s="201"/>
      <c r="BU20" s="201"/>
      <c r="BV20" s="201"/>
      <c r="BW20" s="201"/>
      <c r="BX20" s="201"/>
      <c r="BY20" s="201"/>
      <c r="BZ20" s="201"/>
      <c r="CA20" s="201"/>
      <c r="CB20" s="201"/>
      <c r="CC20" s="201"/>
      <c r="CD20" s="201"/>
    </row>
    <row r="21" spans="2:82" s="183" customFormat="1" ht="82.5" customHeight="1">
      <c r="B21" s="650"/>
      <c r="C21" s="650"/>
      <c r="D21" s="651">
        <v>4</v>
      </c>
      <c r="E21" s="644" t="s">
        <v>169</v>
      </c>
      <c r="F21" s="644" t="s">
        <v>170</v>
      </c>
      <c r="G21" s="644" t="s">
        <v>171</v>
      </c>
      <c r="H21" s="644" t="s">
        <v>109</v>
      </c>
      <c r="I21" s="645" t="s">
        <v>172</v>
      </c>
      <c r="J21" s="645" t="s">
        <v>173</v>
      </c>
      <c r="K21" s="646" t="s">
        <v>174</v>
      </c>
      <c r="L21" s="250" t="s">
        <v>175</v>
      </c>
      <c r="M21" s="250" t="s">
        <v>114</v>
      </c>
      <c r="N21" s="250" t="s">
        <v>115</v>
      </c>
      <c r="O21" s="250">
        <v>1000</v>
      </c>
      <c r="P21" s="260" t="str">
        <f>IF(O21&lt;=0,"",IF(O21&lt;=2,"Muy Baja",IF(O21&lt;=24,"Baja",IF(O21&lt;=500,"Media",IF(O21&lt;=5000,"Alta","Muy Alta")))))</f>
        <v>Alta</v>
      </c>
      <c r="Q21" s="262">
        <f t="shared" ref="Q21" si="12">IF(P21="","",IF(P21="Muy Baja",0.2,IF(P21="Baja",0.4,IF(P21="Media",0.6,IF(P21="Alta",0.8,IF(P21="Muy Alta",1,))))))</f>
        <v>0.8</v>
      </c>
      <c r="R21" s="264" t="s">
        <v>116</v>
      </c>
      <c r="S21" s="256" t="str">
        <f>IFERROR(VLOOKUP(R21,Criterios[],2,FALSE),"")</f>
        <v>Moderado</v>
      </c>
      <c r="T21" s="262">
        <f t="shared" ref="T21" si="13">IF(S21="","",IF(S21="Leve",0.2,IF(S21="Menor",0.4,IF(S21="Moderado",0.6,IF(S21="Mayor",0.8,IF(S21="Catastrófico",1,))))))</f>
        <v>0.6</v>
      </c>
      <c r="U21" s="256" t="str">
        <f>IF(OR(AND(P21="Muy Baja",S21="Leve"),AND(P21="Muy Baja",S21="Menor"),AND(P21="Baja",S21="Leve")),"Bajo",IF(OR(AND(P21="Muy baja",S21="Moderado"),AND(P21="Baja",S21="Menor"),AND(P21="Baja",S21="Moderado"),AND(P21="Media",S21="Leve"),AND(P21="Media",S21="Menor"),AND(P21="Media",S21="Moderado"),AND(P21="Alta",S21="Leve"),AND(P21="Alta",S21="Menor")),"Moderado",IF(OR(AND(P21="Muy Baja",S21="Mayor"),AND(P21="Baja",S21="Mayor"),AND(P21="Media",S21="Mayor"),AND(P21="Alta",S21="Moderado"),AND(P21="Alta",S21="Mayor"),AND(P21="Muy Alta",S21="Leve"),AND(P21="Muy Alta",S21="Menor"),AND(P21="Muy Alta",S21="Moderado"),AND(P21="Muy Alta",S21="Mayor")),"Alto",IF(OR(AND(P21="Muy Baja",S21="Catastrófico"),AND(P21="Baja",S21="Catastrófico"),AND(P21="Media",S21="Catastrófico"),AND(P21="Alta",S21="Catastrófico"),AND(P21="Muy Alta",S21="Catastrófico")),"Extremo",""))))</f>
        <v>Alto</v>
      </c>
      <c r="V21" s="193">
        <v>1</v>
      </c>
      <c r="W21" s="194" t="s">
        <v>176</v>
      </c>
      <c r="X21" s="195" t="s">
        <v>177</v>
      </c>
      <c r="Y21" s="196" t="str">
        <f t="shared" si="1"/>
        <v>Probabilidad</v>
      </c>
      <c r="Z21" s="197" t="s">
        <v>119</v>
      </c>
      <c r="AA21" s="197" t="s">
        <v>120</v>
      </c>
      <c r="AB21" s="198" t="str">
        <f t="shared" si="2"/>
        <v>40%</v>
      </c>
      <c r="AC21" s="197" t="s">
        <v>121</v>
      </c>
      <c r="AD21" s="197" t="s">
        <v>122</v>
      </c>
      <c r="AE21" s="197" t="s">
        <v>123</v>
      </c>
      <c r="AF21" s="219" t="s">
        <v>131</v>
      </c>
      <c r="AG21" s="199">
        <f>IFERROR(IF(Y21="Probabilidad",(Q21-(+ Q21*AB21)),IF(Y21="Impacto",Q21,"")),"")</f>
        <v>0.48</v>
      </c>
      <c r="AH21" s="200" t="str">
        <f t="shared" si="3"/>
        <v>Media</v>
      </c>
      <c r="AI21" s="198">
        <f t="shared" si="4"/>
        <v>0.48</v>
      </c>
      <c r="AJ21" s="200" t="str">
        <f t="shared" si="5"/>
        <v>Moderado</v>
      </c>
      <c r="AK21" s="198">
        <f>IFERROR(IF(Y21="Impacto",(T21-(+T21*AB21)),IF(Y21="Probabilidad",T21,"")),"")</f>
        <v>0.6</v>
      </c>
      <c r="AL21" s="200" t="str">
        <f t="shared" si="6"/>
        <v>Moderado</v>
      </c>
      <c r="AM21" s="258" t="s">
        <v>125</v>
      </c>
      <c r="AN21" s="193">
        <v>1</v>
      </c>
      <c r="AO21" s="234" t="s">
        <v>178</v>
      </c>
      <c r="AP21" s="235" t="s">
        <v>179</v>
      </c>
      <c r="AQ21" s="236" t="s">
        <v>180</v>
      </c>
      <c r="AR21" s="236">
        <v>46368</v>
      </c>
      <c r="AS21" s="324"/>
      <c r="AT21" s="229"/>
      <c r="AU21" s="229"/>
      <c r="AV21" s="229"/>
      <c r="AW21" s="229"/>
      <c r="AX21" s="229"/>
      <c r="AY21" s="229"/>
      <c r="AZ21" s="318"/>
      <c r="BA21" s="228"/>
      <c r="BB21" s="228"/>
      <c r="BC21" s="321"/>
      <c r="BD21" s="224"/>
      <c r="BE21" s="185"/>
      <c r="BF21" s="185"/>
      <c r="BG21" s="185"/>
      <c r="BH21" s="185"/>
      <c r="BI21" s="185"/>
      <c r="BJ21" s="185"/>
      <c r="BK21" s="185"/>
      <c r="BL21" s="185"/>
      <c r="BM21" s="185"/>
      <c r="BN21" s="185"/>
      <c r="BO21" s="185"/>
      <c r="BP21" s="185"/>
      <c r="BQ21" s="185"/>
      <c r="BR21" s="185"/>
      <c r="BS21" s="185"/>
      <c r="BT21" s="185"/>
      <c r="BU21" s="185"/>
      <c r="BV21" s="185"/>
      <c r="BW21" s="185"/>
      <c r="BX21" s="185"/>
      <c r="BY21" s="185"/>
      <c r="BZ21" s="185"/>
      <c r="CA21" s="185"/>
      <c r="CB21" s="185"/>
      <c r="CC21" s="185"/>
      <c r="CD21" s="185"/>
    </row>
    <row r="22" spans="2:82" s="183" customFormat="1" ht="93.6" customHeight="1">
      <c r="B22" s="650"/>
      <c r="C22" s="650"/>
      <c r="D22" s="652"/>
      <c r="E22" s="648"/>
      <c r="F22" s="648"/>
      <c r="G22" s="648"/>
      <c r="H22" s="648"/>
      <c r="I22" s="649"/>
      <c r="J22" s="649"/>
      <c r="K22" s="649"/>
      <c r="L22" s="251"/>
      <c r="M22" s="251"/>
      <c r="N22" s="251"/>
      <c r="O22" s="251"/>
      <c r="P22" s="261"/>
      <c r="Q22" s="263"/>
      <c r="R22" s="265"/>
      <c r="S22" s="257"/>
      <c r="T22" s="263"/>
      <c r="U22" s="257"/>
      <c r="V22" s="193">
        <v>2</v>
      </c>
      <c r="W22" s="194" t="s">
        <v>181</v>
      </c>
      <c r="X22" s="195" t="s">
        <v>182</v>
      </c>
      <c r="Y22" s="196" t="str">
        <f t="shared" si="1"/>
        <v>Probabilidad</v>
      </c>
      <c r="Z22" s="197" t="s">
        <v>119</v>
      </c>
      <c r="AA22" s="197" t="s">
        <v>120</v>
      </c>
      <c r="AB22" s="198" t="str">
        <f t="shared" si="2"/>
        <v>40%</v>
      </c>
      <c r="AC22" s="197" t="s">
        <v>121</v>
      </c>
      <c r="AD22" s="197" t="s">
        <v>122</v>
      </c>
      <c r="AE22" s="197" t="s">
        <v>123</v>
      </c>
      <c r="AF22" s="219" t="s">
        <v>183</v>
      </c>
      <c r="AG22" s="199">
        <f>IFERROR(IF(Y22="Probabilidad",(Q21-(+ Q22*AB22)),IF(Y22="Impacto",Q22,"")),"")</f>
        <v>0.8</v>
      </c>
      <c r="AH22" s="200" t="str">
        <f t="shared" si="3"/>
        <v>Alta</v>
      </c>
      <c r="AI22" s="198">
        <f t="shared" si="4"/>
        <v>0.8</v>
      </c>
      <c r="AJ22" s="200" t="str">
        <f t="shared" si="5"/>
        <v>Moderado</v>
      </c>
      <c r="AK22" s="198">
        <f>IFERROR(IF(Y22="Impacto",(T21-(+T21*AB22)),IF(Y22="Probabilidad",T21,"")),"")</f>
        <v>0.6</v>
      </c>
      <c r="AL22" s="200" t="str">
        <f t="shared" si="6"/>
        <v>Alto</v>
      </c>
      <c r="AM22" s="259"/>
      <c r="AN22" s="202">
        <v>2</v>
      </c>
      <c r="AO22" s="234" t="s">
        <v>184</v>
      </c>
      <c r="AP22" s="235" t="s">
        <v>185</v>
      </c>
      <c r="AQ22" s="236"/>
      <c r="AR22" s="236">
        <v>46369</v>
      </c>
      <c r="AS22" s="324"/>
      <c r="AT22" s="229"/>
      <c r="AU22" s="229"/>
      <c r="AV22" s="229"/>
      <c r="AW22" s="229"/>
      <c r="AX22" s="229"/>
      <c r="AY22" s="229"/>
      <c r="AZ22" s="318"/>
      <c r="BA22" s="228"/>
      <c r="BB22" s="228"/>
      <c r="BC22" s="321"/>
      <c r="BD22" s="224"/>
      <c r="BE22" s="185"/>
      <c r="BF22" s="185"/>
      <c r="BG22" s="185"/>
      <c r="BH22" s="185"/>
      <c r="BI22" s="185"/>
      <c r="BJ22" s="185"/>
      <c r="BK22" s="185"/>
      <c r="BL22" s="185"/>
      <c r="BM22" s="185"/>
      <c r="BN22" s="185"/>
      <c r="BO22" s="185"/>
      <c r="BP22" s="185"/>
      <c r="BQ22" s="185"/>
      <c r="BR22" s="185"/>
      <c r="BS22" s="185"/>
      <c r="BT22" s="185"/>
      <c r="BU22" s="185"/>
      <c r="BV22" s="185"/>
      <c r="BW22" s="185"/>
      <c r="BX22" s="185"/>
      <c r="BY22" s="185"/>
      <c r="BZ22" s="185"/>
      <c r="CA22" s="185"/>
      <c r="CB22" s="185"/>
      <c r="CC22" s="185"/>
      <c r="CD22" s="185"/>
    </row>
    <row r="23" spans="2:82" s="183" customFormat="1" ht="95.1" customHeight="1">
      <c r="D23" s="308">
        <v>5</v>
      </c>
      <c r="E23" s="254" t="s">
        <v>186</v>
      </c>
      <c r="F23" s="254" t="s">
        <v>151</v>
      </c>
      <c r="G23" s="254"/>
      <c r="H23" s="254" t="s">
        <v>187</v>
      </c>
      <c r="I23" s="305" t="s">
        <v>188</v>
      </c>
      <c r="J23" s="305" t="s">
        <v>189</v>
      </c>
      <c r="K23" s="307" t="s">
        <v>190</v>
      </c>
      <c r="L23" s="250" t="s">
        <v>191</v>
      </c>
      <c r="M23" s="250" t="s">
        <v>137</v>
      </c>
      <c r="N23" s="250" t="s">
        <v>138</v>
      </c>
      <c r="O23" s="250">
        <v>1000</v>
      </c>
      <c r="P23" s="256" t="str">
        <f t="shared" ref="P23:P31" si="14">IF(O23&lt;=0,"",IF(O23&lt;=2,"Muy Baja",IF(O23&lt;=24,"Baja",IF(O23&lt;=500,"Media",IF(O23&lt;=5000,"Alta","Muy Alta")))))</f>
        <v>Alta</v>
      </c>
      <c r="Q23" s="262">
        <f t="shared" ref="Q23" si="15">IF(P23="","",IF(P23="Muy Baja",0.2,IF(P23="Baja",0.4,IF(P23="Media",0.6,IF(P23="Alta",0.8,IF(P23="Muy Alta",1,))))))</f>
        <v>0.8</v>
      </c>
      <c r="R23" s="264" t="s">
        <v>192</v>
      </c>
      <c r="S23" s="256" t="str">
        <f>IFERROR(VLOOKUP(R23,Criterios[],2,FALSE),"")</f>
        <v>Mayor</v>
      </c>
      <c r="T23" s="262">
        <f t="shared" ref="T23" si="16">IF(S23="","",IF(S23="Leve",0.2,IF(S23="Menor",0.4,IF(S23="Moderado",0.6,IF(S23="Mayor",0.8,IF(S23="Catastrófico",1,))))))</f>
        <v>0.8</v>
      </c>
      <c r="U23" s="256" t="str">
        <f>IF(OR(AND(P23="Muy Baja",S23="Leve"),AND(P23="Muy Baja",S23="Menor"),AND(P23="Baja",S23="Leve")),"Bajo",IF(OR(AND(P23="Muy baja",S23="Moderado"),AND(P23="Baja",S23="Menor"),AND(P23="Baja",S23="Moderado"),AND(P23="Media",S23="Leve"),AND(P23="Media",S23="Menor"),AND(P23="Media",S23="Moderado"),AND(P23="Alta",S23="Leve"),AND(P23="Alta",S23="Menor")),"Moderado",IF(OR(AND(P23="Muy Baja",S23="Mayor"),AND(P23="Baja",S23="Mayor"),AND(P23="Media",S23="Mayor"),AND(P23="Alta",S23="Moderado"),AND(P23="Alta",S23="Mayor"),AND(P23="Muy Alta",S23="Leve"),AND(P23="Muy Alta",S23="Menor"),AND(P23="Muy Alta",S23="Moderado"),AND(P23="Muy Alta",S23="Mayor")),"Alto",IF(OR(AND(P23="Muy Baja",S23="Catastrófico"),AND(P23="Baja",S23="Catastrófico"),AND(P23="Media",S23="Catastrófico"),AND(P23="Alta",S23="Catastrófico"),AND(P23="Muy Alta",S23="Catastrófico")),"Extremo",""))))</f>
        <v>Alto</v>
      </c>
      <c r="V23" s="193">
        <v>1</v>
      </c>
      <c r="W23" s="194" t="s">
        <v>193</v>
      </c>
      <c r="X23" s="195" t="s">
        <v>194</v>
      </c>
      <c r="Y23" s="196" t="str">
        <f t="shared" si="1"/>
        <v>Probabilidad</v>
      </c>
      <c r="Z23" s="197" t="s">
        <v>119</v>
      </c>
      <c r="AA23" s="197" t="s">
        <v>120</v>
      </c>
      <c r="AB23" s="198" t="str">
        <f t="shared" si="2"/>
        <v>40%</v>
      </c>
      <c r="AC23" s="197" t="s">
        <v>121</v>
      </c>
      <c r="AD23" s="197" t="s">
        <v>122</v>
      </c>
      <c r="AE23" s="197" t="s">
        <v>123</v>
      </c>
      <c r="AF23" s="219" t="s">
        <v>195</v>
      </c>
      <c r="AG23" s="199">
        <f>IFERROR(IF(Y23="Probabilidad",(Q23-(+ Q23*AB23)),IF(Y23="Impacto",Q23,"")),"")</f>
        <v>0.48</v>
      </c>
      <c r="AH23" s="200" t="str">
        <f t="shared" si="3"/>
        <v>Media</v>
      </c>
      <c r="AI23" s="198">
        <f t="shared" si="4"/>
        <v>0.48</v>
      </c>
      <c r="AJ23" s="200" t="str">
        <f t="shared" si="5"/>
        <v>Mayor</v>
      </c>
      <c r="AK23" s="198">
        <f>IFERROR(IF(Y23="Impacto",(T23-(+T23*AB23)),IF(Y23="Probabilidad",T23,"")),"")</f>
        <v>0.8</v>
      </c>
      <c r="AL23" s="200" t="str">
        <f t="shared" si="6"/>
        <v>Alto</v>
      </c>
      <c r="AM23" s="258" t="s">
        <v>125</v>
      </c>
      <c r="AN23" s="193">
        <v>1</v>
      </c>
      <c r="AO23" s="234" t="s">
        <v>196</v>
      </c>
      <c r="AP23" s="235" t="s">
        <v>197</v>
      </c>
      <c r="AQ23" s="236"/>
      <c r="AR23" s="236">
        <v>46370</v>
      </c>
      <c r="AS23" s="324"/>
      <c r="AT23" s="229"/>
      <c r="AU23" s="229"/>
      <c r="AV23" s="229"/>
      <c r="AW23" s="229"/>
      <c r="AX23" s="229"/>
      <c r="AY23" s="229"/>
      <c r="AZ23" s="318"/>
      <c r="BA23" s="228"/>
      <c r="BB23" s="228"/>
      <c r="BC23" s="321"/>
      <c r="BD23" s="224"/>
      <c r="BE23" s="185"/>
      <c r="BF23" s="185"/>
      <c r="BG23" s="185"/>
      <c r="BH23" s="185"/>
      <c r="BI23" s="185"/>
      <c r="BJ23" s="185"/>
      <c r="BK23" s="185"/>
      <c r="BL23" s="185"/>
      <c r="BM23" s="185"/>
      <c r="BN23" s="185"/>
      <c r="BO23" s="185"/>
      <c r="BP23" s="185"/>
      <c r="BQ23" s="185"/>
      <c r="BR23" s="185"/>
      <c r="BS23" s="185"/>
      <c r="BT23" s="185"/>
      <c r="BU23" s="185"/>
      <c r="BV23" s="185"/>
      <c r="BW23" s="185"/>
      <c r="BX23" s="185"/>
      <c r="BY23" s="185"/>
      <c r="BZ23" s="185"/>
      <c r="CA23" s="185"/>
      <c r="CB23" s="185"/>
      <c r="CC23" s="185"/>
      <c r="CD23" s="185"/>
    </row>
    <row r="24" spans="2:82" s="183" customFormat="1" ht="108.95" customHeight="1">
      <c r="D24" s="309"/>
      <c r="E24" s="255"/>
      <c r="F24" s="255"/>
      <c r="G24" s="255"/>
      <c r="H24" s="255"/>
      <c r="I24" s="306"/>
      <c r="J24" s="306"/>
      <c r="K24" s="306"/>
      <c r="L24" s="251"/>
      <c r="M24" s="251"/>
      <c r="N24" s="251"/>
      <c r="O24" s="251"/>
      <c r="P24" s="257"/>
      <c r="Q24" s="263"/>
      <c r="R24" s="265"/>
      <c r="S24" s="257"/>
      <c r="T24" s="263"/>
      <c r="U24" s="257"/>
      <c r="V24" s="202">
        <v>2</v>
      </c>
      <c r="W24" s="194" t="s">
        <v>198</v>
      </c>
      <c r="X24" s="195" t="s">
        <v>199</v>
      </c>
      <c r="Y24" s="196" t="str">
        <f t="shared" si="1"/>
        <v>Probabilidad</v>
      </c>
      <c r="Z24" s="197" t="s">
        <v>119</v>
      </c>
      <c r="AA24" s="197" t="s">
        <v>120</v>
      </c>
      <c r="AB24" s="198" t="str">
        <f t="shared" si="2"/>
        <v>40%</v>
      </c>
      <c r="AC24" s="197" t="s">
        <v>121</v>
      </c>
      <c r="AD24" s="197" t="s">
        <v>122</v>
      </c>
      <c r="AE24" s="197" t="s">
        <v>123</v>
      </c>
      <c r="AF24" s="219" t="s">
        <v>183</v>
      </c>
      <c r="AG24" s="199">
        <f>IFERROR(IF(Y24="Probabilidad",(Q23-(+ Q24*AB24)),IF(Y24="Impacto",Q24,"")),"")</f>
        <v>0.8</v>
      </c>
      <c r="AH24" s="200" t="str">
        <f t="shared" si="3"/>
        <v>Alta</v>
      </c>
      <c r="AI24" s="198">
        <f t="shared" si="4"/>
        <v>0.8</v>
      </c>
      <c r="AJ24" s="200" t="str">
        <f t="shared" si="5"/>
        <v>Mayor</v>
      </c>
      <c r="AK24" s="198">
        <f t="shared" si="11"/>
        <v>0.8</v>
      </c>
      <c r="AL24" s="200" t="str">
        <f t="shared" si="6"/>
        <v>Alto</v>
      </c>
      <c r="AM24" s="259"/>
      <c r="AN24" s="202">
        <v>2</v>
      </c>
      <c r="AO24" s="234" t="s">
        <v>200</v>
      </c>
      <c r="AP24" s="235" t="s">
        <v>197</v>
      </c>
      <c r="AQ24" s="236"/>
      <c r="AR24" s="236">
        <v>46371</v>
      </c>
      <c r="AS24" s="324"/>
      <c r="AT24" s="229"/>
      <c r="AU24" s="229"/>
      <c r="AV24" s="229"/>
      <c r="AW24" s="229"/>
      <c r="AX24" s="229"/>
      <c r="AY24" s="229"/>
      <c r="AZ24" s="318"/>
      <c r="BA24" s="228"/>
      <c r="BB24" s="228"/>
      <c r="BC24" s="321"/>
      <c r="BD24" s="224"/>
      <c r="BE24" s="185"/>
      <c r="BF24" s="185"/>
      <c r="BG24" s="185"/>
      <c r="BH24" s="185"/>
      <c r="BI24" s="185"/>
      <c r="BJ24" s="185"/>
      <c r="BK24" s="185"/>
      <c r="BL24" s="185"/>
      <c r="BM24" s="185"/>
      <c r="BN24" s="185"/>
      <c r="BO24" s="185"/>
      <c r="BP24" s="185"/>
      <c r="BQ24" s="185"/>
      <c r="BR24" s="185"/>
      <c r="BS24" s="185"/>
      <c r="BT24" s="185"/>
      <c r="BU24" s="185"/>
      <c r="BV24" s="185"/>
      <c r="BW24" s="185"/>
      <c r="BX24" s="185"/>
      <c r="BY24" s="185"/>
      <c r="BZ24" s="185"/>
      <c r="CA24" s="185"/>
      <c r="CB24" s="185"/>
      <c r="CC24" s="185"/>
      <c r="CD24" s="185"/>
    </row>
    <row r="25" spans="2:82" s="183" customFormat="1" ht="39.75" customHeight="1">
      <c r="D25" s="252">
        <v>6</v>
      </c>
      <c r="E25" s="254"/>
      <c r="F25" s="254"/>
      <c r="G25" s="254"/>
      <c r="H25" s="254"/>
      <c r="I25" s="305"/>
      <c r="J25" s="305"/>
      <c r="K25" s="312"/>
      <c r="L25" s="250"/>
      <c r="M25" s="250"/>
      <c r="N25" s="250"/>
      <c r="O25" s="250"/>
      <c r="P25" s="256" t="str">
        <f t="shared" si="14"/>
        <v/>
      </c>
      <c r="Q25" s="262" t="str">
        <f t="shared" ref="Q25" si="17">IF(P25="","",IF(P25="Muy Baja",0.2,IF(P25="Baja",0.4,IF(P25="Media",0.6,IF(P25="Alta",0.8,IF(P25="Muy Alta",1,))))))</f>
        <v/>
      </c>
      <c r="R25" s="264"/>
      <c r="S25" s="256" t="str">
        <f>IFERROR(VLOOKUP(R25,Criterios[],2,FALSE),"")</f>
        <v/>
      </c>
      <c r="T25" s="262" t="str">
        <f t="shared" ref="T25" si="18">IF(S25="","",IF(S25="Leve",0.2,IF(S25="Menor",0.4,IF(S25="Moderado",0.6,IF(S25="Mayor",0.8,IF(S25="Catastrófico",1,))))))</f>
        <v/>
      </c>
      <c r="U25" s="256" t="str">
        <f>IF(OR(AND(P25="Muy Baja",S25="Leve"),AND(P25="Muy Baja",S25="Menor"),AND(P25="Baja",S25="Leve")),"Bajo",IF(OR(AND(P25="Muy baja",S25="Moderado"),AND(P25="Baja",S25="Menor"),AND(P25="Baja",S25="Moderado"),AND(P25="Media",S25="Leve"),AND(P25="Media",S25="Menor"),AND(P25="Media",S25="Moderado"),AND(P25="Alta",S25="Leve"),AND(P25="Alta",S25="Menor")),"Moderado",IF(OR(AND(P25="Muy Baja",S25="Mayor"),AND(P25="Baja",S25="Mayor"),AND(P25="Media",S25="Mayor"),AND(P25="Alta",S25="Moderado"),AND(P25="Alta",S25="Mayor"),AND(P25="Muy Alta",S25="Leve"),AND(P25="Muy Alta",S25="Menor"),AND(P25="Muy Alta",S25="Moderado"),AND(P25="Muy Alta",S25="Mayor")),"Alto",IF(OR(AND(P25="Muy Baja",S25="Catastrófico"),AND(P25="Baja",S25="Catastrófico"),AND(P25="Media",S25="Catastrófico"),AND(P25="Alta",S25="Catastrófico"),AND(P25="Muy Alta",S25="Catastrófico")),"Extremo",""))))</f>
        <v/>
      </c>
      <c r="V25" s="193">
        <v>1</v>
      </c>
      <c r="W25" s="194"/>
      <c r="X25" s="195"/>
      <c r="Y25" s="196" t="str">
        <f t="shared" si="1"/>
        <v/>
      </c>
      <c r="Z25" s="197"/>
      <c r="AA25" s="197"/>
      <c r="AB25" s="198" t="str">
        <f t="shared" si="2"/>
        <v/>
      </c>
      <c r="AC25" s="197"/>
      <c r="AD25" s="197"/>
      <c r="AE25" s="184"/>
      <c r="AF25" s="219"/>
      <c r="AG25" s="199" t="str">
        <f>IFERROR(IF(Y25="Probabilidad",(Q25-(+Q25*AB25)),IF(Y25="Impacto",Q25,"")),"")</f>
        <v/>
      </c>
      <c r="AH25" s="200" t="str">
        <f t="shared" si="3"/>
        <v/>
      </c>
      <c r="AI25" s="198" t="str">
        <f t="shared" si="4"/>
        <v/>
      </c>
      <c r="AJ25" s="200" t="str">
        <f t="shared" si="5"/>
        <v/>
      </c>
      <c r="AK25" s="198" t="str">
        <f>IFERROR(IF(Y25="Impacto",(T25-(+T25*AB25)),IF(Y25="Probabilidad",T25,"")),"")</f>
        <v/>
      </c>
      <c r="AL25" s="200" t="str">
        <f t="shared" si="6"/>
        <v/>
      </c>
      <c r="AM25" s="258" t="s">
        <v>125</v>
      </c>
      <c r="AN25" s="193">
        <v>1</v>
      </c>
      <c r="AO25" s="305"/>
      <c r="AP25" s="313"/>
      <c r="AQ25" s="315"/>
      <c r="AR25" s="236"/>
      <c r="AS25" s="324"/>
      <c r="AT25" s="229"/>
      <c r="AU25" s="229"/>
      <c r="AV25" s="229"/>
      <c r="AW25" s="229"/>
      <c r="AX25" s="229"/>
      <c r="AY25" s="229"/>
      <c r="AZ25" s="318"/>
      <c r="BA25" s="228"/>
      <c r="BB25" s="228"/>
      <c r="BC25" s="321"/>
      <c r="BD25" s="224"/>
      <c r="BE25" s="185"/>
      <c r="BF25" s="185"/>
      <c r="BG25" s="185"/>
      <c r="BH25" s="185"/>
      <c r="BI25" s="185"/>
      <c r="BJ25" s="185"/>
      <c r="BK25" s="185"/>
      <c r="BL25" s="185"/>
      <c r="BM25" s="185"/>
      <c r="BN25" s="185"/>
      <c r="BO25" s="185"/>
      <c r="BP25" s="185"/>
      <c r="BQ25" s="185"/>
      <c r="BR25" s="185"/>
      <c r="BS25" s="185"/>
      <c r="BT25" s="185"/>
      <c r="BU25" s="185"/>
      <c r="BV25" s="185"/>
      <c r="BW25" s="185"/>
      <c r="BX25" s="185"/>
      <c r="BY25" s="185"/>
      <c r="BZ25" s="185"/>
      <c r="CA25" s="185"/>
      <c r="CB25" s="185"/>
      <c r="CC25" s="185"/>
      <c r="CD25" s="185"/>
    </row>
    <row r="26" spans="2:82" s="183" customFormat="1" ht="39.75" customHeight="1">
      <c r="D26" s="253"/>
      <c r="E26" s="255"/>
      <c r="F26" s="255"/>
      <c r="G26" s="255"/>
      <c r="H26" s="255"/>
      <c r="I26" s="306"/>
      <c r="J26" s="306"/>
      <c r="K26" s="306"/>
      <c r="L26" s="251"/>
      <c r="M26" s="251"/>
      <c r="N26" s="251"/>
      <c r="O26" s="251"/>
      <c r="P26" s="257"/>
      <c r="Q26" s="263"/>
      <c r="R26" s="265"/>
      <c r="S26" s="257"/>
      <c r="T26" s="263"/>
      <c r="U26" s="257"/>
      <c r="V26" s="202">
        <v>2</v>
      </c>
      <c r="W26" s="194"/>
      <c r="X26" s="195"/>
      <c r="Y26" s="196" t="str">
        <f t="shared" si="1"/>
        <v/>
      </c>
      <c r="Z26" s="197"/>
      <c r="AA26" s="197"/>
      <c r="AB26" s="198" t="str">
        <f t="shared" si="2"/>
        <v/>
      </c>
      <c r="AC26" s="197"/>
      <c r="AD26" s="197"/>
      <c r="AE26" s="184"/>
      <c r="AF26" s="219"/>
      <c r="AG26" s="199" t="str">
        <f>IFERROR(IF(Y26="Probabilidad",(Q25-(+Q26*AB26)),IF(Y26="Impacto",Q26,"")),"")</f>
        <v/>
      </c>
      <c r="AH26" s="200" t="str">
        <f t="shared" si="3"/>
        <v/>
      </c>
      <c r="AI26" s="198" t="str">
        <f t="shared" si="4"/>
        <v/>
      </c>
      <c r="AJ26" s="200" t="str">
        <f t="shared" si="5"/>
        <v/>
      </c>
      <c r="AK26" s="198" t="str">
        <f t="shared" si="11"/>
        <v/>
      </c>
      <c r="AL26" s="200" t="str">
        <f t="shared" si="6"/>
        <v/>
      </c>
      <c r="AM26" s="259"/>
      <c r="AN26" s="202">
        <v>2</v>
      </c>
      <c r="AO26" s="306"/>
      <c r="AP26" s="314"/>
      <c r="AQ26" s="316"/>
      <c r="AR26" s="236"/>
      <c r="AS26" s="324"/>
      <c r="AT26" s="229"/>
      <c r="AU26" s="229"/>
      <c r="AV26" s="229"/>
      <c r="AW26" s="229"/>
      <c r="AX26" s="229"/>
      <c r="AY26" s="229"/>
      <c r="AZ26" s="318"/>
      <c r="BA26" s="228"/>
      <c r="BB26" s="228"/>
      <c r="BC26" s="321"/>
      <c r="BD26" s="224"/>
      <c r="BE26" s="185"/>
      <c r="BF26" s="185"/>
      <c r="BG26" s="185"/>
      <c r="BH26" s="185"/>
      <c r="BI26" s="185"/>
      <c r="BJ26" s="185"/>
      <c r="BK26" s="185"/>
      <c r="BL26" s="185"/>
      <c r="BM26" s="185"/>
      <c r="BN26" s="185"/>
      <c r="BO26" s="185"/>
      <c r="BP26" s="185"/>
      <c r="BQ26" s="185"/>
      <c r="BR26" s="185"/>
      <c r="BS26" s="185"/>
      <c r="BT26" s="185"/>
      <c r="BU26" s="185"/>
      <c r="BV26" s="185"/>
      <c r="BW26" s="185"/>
      <c r="BX26" s="185"/>
      <c r="BY26" s="185"/>
      <c r="BZ26" s="185"/>
      <c r="CA26" s="185"/>
      <c r="CB26" s="185"/>
      <c r="CC26" s="185"/>
      <c r="CD26" s="185"/>
    </row>
    <row r="27" spans="2:82" s="183" customFormat="1" ht="39.75" customHeight="1">
      <c r="D27" s="252">
        <v>7</v>
      </c>
      <c r="E27" s="254"/>
      <c r="F27" s="254"/>
      <c r="G27" s="254"/>
      <c r="H27" s="254"/>
      <c r="I27" s="305"/>
      <c r="J27" s="305"/>
      <c r="K27" s="312"/>
      <c r="L27" s="250"/>
      <c r="M27" s="250"/>
      <c r="N27" s="250"/>
      <c r="O27" s="250"/>
      <c r="P27" s="256" t="str">
        <f t="shared" si="14"/>
        <v/>
      </c>
      <c r="Q27" s="262" t="str">
        <f t="shared" ref="Q27" si="19">IF(P27="","",IF(P27="Muy Baja",0.2,IF(P27="Baja",0.4,IF(P27="Media",0.6,IF(P27="Alta",0.8,IF(P27="Muy Alta",1,))))))</f>
        <v/>
      </c>
      <c r="R27" s="264"/>
      <c r="S27" s="256" t="str">
        <f>IFERROR(VLOOKUP(R27,Criterios[],2,FALSE),"")</f>
        <v/>
      </c>
      <c r="T27" s="262" t="str">
        <f t="shared" ref="T27" si="20">IF(S27="","",IF(S27="Leve",0.2,IF(S27="Menor",0.4,IF(S27="Moderado",0.6,IF(S27="Mayor",0.8,IF(S27="Catastrófico",1,))))))</f>
        <v/>
      </c>
      <c r="U27" s="256" t="str">
        <f>IF(OR(AND(P27="Muy Baja",S27="Leve"),AND(P27="Muy Baja",S27="Menor"),AND(P27="Baja",S27="Leve")),"Bajo",IF(OR(AND(P27="Muy baja",S27="Moderado"),AND(P27="Baja",S27="Menor"),AND(P27="Baja",S27="Moderado"),AND(P27="Media",S27="Leve"),AND(P27="Media",S27="Menor"),AND(P27="Media",S27="Moderado"),AND(P27="Alta",S27="Leve"),AND(P27="Alta",S27="Menor")),"Moderado",IF(OR(AND(P27="Muy Baja",S27="Mayor"),AND(P27="Baja",S27="Mayor"),AND(P27="Media",S27="Mayor"),AND(P27="Alta",S27="Moderado"),AND(P27="Alta",S27="Mayor"),AND(P27="Muy Alta",S27="Leve"),AND(P27="Muy Alta",S27="Menor"),AND(P27="Muy Alta",S27="Moderado"),AND(P27="Muy Alta",S27="Mayor")),"Alto",IF(OR(AND(P27="Muy Baja",S27="Catastrófico"),AND(P27="Baja",S27="Catastrófico"),AND(P27="Media",S27="Catastrófico"),AND(P27="Alta",S27="Catastrófico"),AND(P27="Muy Alta",S27="Catastrófico")),"Extremo",""))))</f>
        <v/>
      </c>
      <c r="V27" s="193">
        <v>1</v>
      </c>
      <c r="W27" s="194"/>
      <c r="X27" s="195"/>
      <c r="Y27" s="196" t="str">
        <f t="shared" si="1"/>
        <v/>
      </c>
      <c r="Z27" s="197"/>
      <c r="AA27" s="197"/>
      <c r="AB27" s="198" t="str">
        <f t="shared" si="2"/>
        <v/>
      </c>
      <c r="AC27" s="197"/>
      <c r="AD27" s="197"/>
      <c r="AE27" s="184"/>
      <c r="AF27" s="219"/>
      <c r="AG27" s="199" t="str">
        <f>IFERROR(IF(Y27="Probabilidad",(Q27-(+Q27*AB27)),IF(Y27="Impacto",Q27,"")),"")</f>
        <v/>
      </c>
      <c r="AH27" s="200" t="str">
        <f t="shared" si="3"/>
        <v/>
      </c>
      <c r="AI27" s="198" t="str">
        <f t="shared" si="4"/>
        <v/>
      </c>
      <c r="AJ27" s="200" t="str">
        <f t="shared" si="5"/>
        <v/>
      </c>
      <c r="AK27" s="198" t="str">
        <f>IFERROR(IF(Y27="Impacto",(T27-(+T27*AB27)),IF(Y27="Probabilidad",T27,"")),"")</f>
        <v/>
      </c>
      <c r="AL27" s="200" t="str">
        <f t="shared" si="6"/>
        <v/>
      </c>
      <c r="AM27" s="258" t="s">
        <v>125</v>
      </c>
      <c r="AN27" s="193">
        <v>1</v>
      </c>
      <c r="AO27" s="305"/>
      <c r="AP27" s="313"/>
      <c r="AQ27" s="315"/>
      <c r="AR27" s="236"/>
      <c r="AS27" s="324"/>
      <c r="AT27" s="229"/>
      <c r="AU27" s="229"/>
      <c r="AV27" s="229"/>
      <c r="AW27" s="229"/>
      <c r="AX27" s="229"/>
      <c r="AY27" s="229"/>
      <c r="AZ27" s="318"/>
      <c r="BA27" s="228"/>
      <c r="BB27" s="228"/>
      <c r="BC27" s="321"/>
      <c r="BD27" s="224"/>
      <c r="BE27" s="185"/>
      <c r="BF27" s="185"/>
      <c r="BG27" s="185"/>
      <c r="BH27" s="185"/>
      <c r="BI27" s="185"/>
      <c r="BJ27" s="185"/>
      <c r="BK27" s="185"/>
      <c r="BL27" s="185"/>
      <c r="BM27" s="185"/>
      <c r="BN27" s="185"/>
      <c r="BO27" s="185"/>
      <c r="BP27" s="185"/>
      <c r="BQ27" s="185"/>
      <c r="BR27" s="185"/>
      <c r="BS27" s="185"/>
      <c r="BT27" s="185"/>
      <c r="BU27" s="185"/>
      <c r="BV27" s="185"/>
      <c r="BW27" s="185"/>
      <c r="BX27" s="185"/>
      <c r="BY27" s="185"/>
      <c r="BZ27" s="185"/>
      <c r="CA27" s="185"/>
      <c r="CB27" s="185"/>
      <c r="CC27" s="185"/>
      <c r="CD27" s="185"/>
    </row>
    <row r="28" spans="2:82" s="183" customFormat="1" ht="58.5" customHeight="1">
      <c r="D28" s="253"/>
      <c r="E28" s="255"/>
      <c r="F28" s="255"/>
      <c r="G28" s="255"/>
      <c r="H28" s="255"/>
      <c r="I28" s="306"/>
      <c r="J28" s="306"/>
      <c r="K28" s="306"/>
      <c r="L28" s="251"/>
      <c r="M28" s="251"/>
      <c r="N28" s="251"/>
      <c r="O28" s="251"/>
      <c r="P28" s="257"/>
      <c r="Q28" s="263"/>
      <c r="R28" s="265"/>
      <c r="S28" s="257"/>
      <c r="T28" s="263"/>
      <c r="U28" s="257"/>
      <c r="V28" s="202">
        <v>2</v>
      </c>
      <c r="W28" s="194"/>
      <c r="X28" s="195"/>
      <c r="Y28" s="196" t="str">
        <f t="shared" si="1"/>
        <v/>
      </c>
      <c r="Z28" s="197"/>
      <c r="AA28" s="197"/>
      <c r="AB28" s="198" t="str">
        <f t="shared" si="2"/>
        <v/>
      </c>
      <c r="AC28" s="197"/>
      <c r="AD28" s="197"/>
      <c r="AE28" s="184"/>
      <c r="AF28" s="219"/>
      <c r="AG28" s="199" t="str">
        <f>IFERROR(IF(Y28="Probabilidad",(Q27-(+Q28*AB28)),IF(Y28="Impacto",Q28,"")),"")</f>
        <v/>
      </c>
      <c r="AH28" s="200" t="str">
        <f t="shared" si="3"/>
        <v/>
      </c>
      <c r="AI28" s="198" t="str">
        <f t="shared" si="4"/>
        <v/>
      </c>
      <c r="AJ28" s="200" t="str">
        <f t="shared" si="5"/>
        <v/>
      </c>
      <c r="AK28" s="198" t="str">
        <f t="shared" si="11"/>
        <v/>
      </c>
      <c r="AL28" s="200" t="str">
        <f t="shared" si="6"/>
        <v/>
      </c>
      <c r="AM28" s="259"/>
      <c r="AN28" s="202">
        <v>2</v>
      </c>
      <c r="AO28" s="306"/>
      <c r="AP28" s="314"/>
      <c r="AQ28" s="316"/>
      <c r="AR28" s="236"/>
      <c r="AS28" s="324"/>
      <c r="AT28" s="229"/>
      <c r="AU28" s="229"/>
      <c r="AV28" s="229"/>
      <c r="AW28" s="229"/>
      <c r="AX28" s="229"/>
      <c r="AY28" s="229"/>
      <c r="AZ28" s="318"/>
      <c r="BA28" s="228"/>
      <c r="BB28" s="228"/>
      <c r="BC28" s="321"/>
      <c r="BD28" s="224"/>
      <c r="BE28" s="185"/>
      <c r="BF28" s="185"/>
      <c r="BG28" s="185"/>
      <c r="BH28" s="185"/>
      <c r="BI28" s="185"/>
      <c r="BJ28" s="185"/>
      <c r="BK28" s="185"/>
      <c r="BL28" s="185"/>
      <c r="BM28" s="185"/>
      <c r="BN28" s="185"/>
      <c r="BO28" s="185"/>
      <c r="BP28" s="185"/>
      <c r="BQ28" s="185"/>
      <c r="BR28" s="185"/>
      <c r="BS28" s="185"/>
      <c r="BT28" s="185"/>
      <c r="BU28" s="185"/>
      <c r="BV28" s="185"/>
      <c r="BW28" s="185"/>
      <c r="BX28" s="185"/>
      <c r="BY28" s="185"/>
      <c r="BZ28" s="185"/>
      <c r="CA28" s="185"/>
      <c r="CB28" s="185"/>
      <c r="CC28" s="185"/>
      <c r="CD28" s="185"/>
    </row>
    <row r="29" spans="2:82" s="183" customFormat="1" ht="39.75" customHeight="1">
      <c r="D29" s="310">
        <v>8</v>
      </c>
      <c r="E29" s="254"/>
      <c r="F29" s="254"/>
      <c r="G29" s="254"/>
      <c r="H29" s="254"/>
      <c r="I29" s="305"/>
      <c r="J29" s="305"/>
      <c r="K29" s="305"/>
      <c r="L29" s="250"/>
      <c r="M29" s="250"/>
      <c r="N29" s="250"/>
      <c r="O29" s="250"/>
      <c r="P29" s="256" t="str">
        <f t="shared" si="14"/>
        <v/>
      </c>
      <c r="Q29" s="262" t="str">
        <f t="shared" ref="Q29" si="21">IF(P29="","",IF(P29="Muy Baja",0.2,IF(P29="Baja",0.4,IF(P29="Media",0.6,IF(P29="Alta",0.8,IF(P29="Muy Alta",1,))))))</f>
        <v/>
      </c>
      <c r="R29" s="264"/>
      <c r="S29" s="256" t="str">
        <f>IFERROR(VLOOKUP(R29,Criterios[],2,FALSE),"")</f>
        <v/>
      </c>
      <c r="T29" s="262" t="str">
        <f t="shared" ref="T29" si="22">IF(S29="","",IF(S29="Leve",0.2,IF(S29="Menor",0.4,IF(S29="Moderado",0.6,IF(S29="Mayor",0.8,IF(S29="Catastrófico",1,))))))</f>
        <v/>
      </c>
      <c r="U29" s="256" t="str">
        <f>IF(OR(AND(P29="Muy Baja",S29="Leve"),AND(P29="Muy Baja",S29="Menor"),AND(P29="Baja",S29="Leve")),"Bajo",IF(OR(AND(P29="Muy baja",S29="Moderado"),AND(P29="Baja",S29="Menor"),AND(P29="Baja",S29="Moderado"),AND(P29="Media",S29="Leve"),AND(P29="Media",S29="Menor"),AND(P29="Media",S29="Moderado"),AND(P29="Alta",S29="Leve"),AND(P29="Alta",S29="Menor")),"Moderado",IF(OR(AND(P29="Muy Baja",S29="Mayor"),AND(P29="Baja",S29="Mayor"),AND(P29="Media",S29="Mayor"),AND(P29="Alta",S29="Moderado"),AND(P29="Alta",S29="Mayor"),AND(P29="Muy Alta",S29="Leve"),AND(P29="Muy Alta",S29="Menor"),AND(P29="Muy Alta",S29="Moderado"),AND(P29="Muy Alta",S29="Mayor")),"Alto",IF(OR(AND(P29="Muy Baja",S29="Catastrófico"),AND(P29="Baja",S29="Catastrófico"),AND(P29="Media",S29="Catastrófico"),AND(P29="Alta",S29="Catastrófico"),AND(P29="Muy Alta",S29="Catastrófico")),"Extremo",""))))</f>
        <v/>
      </c>
      <c r="V29" s="193">
        <v>1</v>
      </c>
      <c r="W29" s="194"/>
      <c r="X29" s="195"/>
      <c r="Y29" s="196" t="str">
        <f t="shared" si="1"/>
        <v/>
      </c>
      <c r="Z29" s="197"/>
      <c r="AA29" s="197"/>
      <c r="AB29" s="198" t="str">
        <f t="shared" si="2"/>
        <v/>
      </c>
      <c r="AC29" s="197"/>
      <c r="AD29" s="197"/>
      <c r="AE29" s="184"/>
      <c r="AF29" s="219"/>
      <c r="AG29" s="199" t="str">
        <f>IFERROR(IF(Y29="Probabilidad",(Q29-(+Q29*AB29)),IF(Y29="Impacto",Q29,"")),"")</f>
        <v/>
      </c>
      <c r="AH29" s="200" t="str">
        <f t="shared" si="3"/>
        <v/>
      </c>
      <c r="AI29" s="198" t="str">
        <f t="shared" si="4"/>
        <v/>
      </c>
      <c r="AJ29" s="200" t="str">
        <f t="shared" si="5"/>
        <v/>
      </c>
      <c r="AK29" s="198" t="str">
        <f>IFERROR(IF(Y29="Impacto",(T29-(+T29*AB29)),IF(Y29="Probabilidad",T29,"")),"")</f>
        <v/>
      </c>
      <c r="AL29" s="200" t="str">
        <f t="shared" si="6"/>
        <v/>
      </c>
      <c r="AM29" s="258" t="s">
        <v>125</v>
      </c>
      <c r="AN29" s="193">
        <v>1</v>
      </c>
      <c r="AO29" s="305"/>
      <c r="AP29" s="313"/>
      <c r="AQ29" s="315"/>
      <c r="AR29" s="236"/>
      <c r="AS29" s="324"/>
      <c r="AT29" s="229"/>
      <c r="AU29" s="229"/>
      <c r="AV29" s="229"/>
      <c r="AW29" s="229"/>
      <c r="AX29" s="229"/>
      <c r="AY29" s="229"/>
      <c r="AZ29" s="318"/>
      <c r="BA29" s="228"/>
      <c r="BB29" s="228"/>
      <c r="BC29" s="321"/>
      <c r="BD29" s="224"/>
      <c r="BE29" s="185"/>
      <c r="BF29" s="185"/>
      <c r="BG29" s="185"/>
      <c r="BH29" s="185"/>
      <c r="BI29" s="185"/>
      <c r="BJ29" s="185"/>
      <c r="BK29" s="185"/>
      <c r="BL29" s="185"/>
      <c r="BM29" s="185"/>
      <c r="BN29" s="185"/>
      <c r="BO29" s="185"/>
      <c r="BP29" s="185"/>
      <c r="BQ29" s="185"/>
      <c r="BR29" s="185"/>
      <c r="BS29" s="185"/>
      <c r="BT29" s="185"/>
      <c r="BU29" s="185"/>
      <c r="BV29" s="185"/>
      <c r="BW29" s="185"/>
      <c r="BX29" s="185"/>
      <c r="BY29" s="185"/>
      <c r="BZ29" s="185"/>
      <c r="CA29" s="185"/>
      <c r="CB29" s="185"/>
      <c r="CC29" s="185"/>
      <c r="CD29" s="185"/>
    </row>
    <row r="30" spans="2:82" s="183" customFormat="1" ht="39.75" customHeight="1">
      <c r="D30" s="311"/>
      <c r="E30" s="255"/>
      <c r="F30" s="255"/>
      <c r="G30" s="255"/>
      <c r="H30" s="255"/>
      <c r="I30" s="306"/>
      <c r="J30" s="306"/>
      <c r="K30" s="306"/>
      <c r="L30" s="251"/>
      <c r="M30" s="251"/>
      <c r="N30" s="251"/>
      <c r="O30" s="251"/>
      <c r="P30" s="257"/>
      <c r="Q30" s="263"/>
      <c r="R30" s="265"/>
      <c r="S30" s="257"/>
      <c r="T30" s="263"/>
      <c r="U30" s="257"/>
      <c r="V30" s="202">
        <v>2</v>
      </c>
      <c r="W30" s="194"/>
      <c r="X30" s="195"/>
      <c r="Y30" s="196" t="str">
        <f t="shared" si="1"/>
        <v/>
      </c>
      <c r="Z30" s="197"/>
      <c r="AA30" s="197"/>
      <c r="AB30" s="198" t="str">
        <f t="shared" si="2"/>
        <v/>
      </c>
      <c r="AC30" s="197"/>
      <c r="AD30" s="197"/>
      <c r="AE30" s="184"/>
      <c r="AF30" s="219"/>
      <c r="AG30" s="199" t="str">
        <f>IFERROR(IF(Y30="Probabilidad",(Q29-(+Q30*AB30)),IF(Y30="Impacto",Q30,"")),"")</f>
        <v/>
      </c>
      <c r="AH30" s="200" t="str">
        <f t="shared" si="3"/>
        <v/>
      </c>
      <c r="AI30" s="198" t="str">
        <f t="shared" si="4"/>
        <v/>
      </c>
      <c r="AJ30" s="200" t="str">
        <f t="shared" si="5"/>
        <v/>
      </c>
      <c r="AK30" s="198" t="str">
        <f t="shared" si="11"/>
        <v/>
      </c>
      <c r="AL30" s="200" t="str">
        <f t="shared" si="6"/>
        <v/>
      </c>
      <c r="AM30" s="259"/>
      <c r="AN30" s="202">
        <v>2</v>
      </c>
      <c r="AO30" s="306"/>
      <c r="AP30" s="314"/>
      <c r="AQ30" s="316"/>
      <c r="AR30" s="236"/>
      <c r="AS30" s="324"/>
      <c r="AT30" s="229"/>
      <c r="AU30" s="229"/>
      <c r="AV30" s="229"/>
      <c r="AW30" s="229"/>
      <c r="AX30" s="229"/>
      <c r="AY30" s="229"/>
      <c r="AZ30" s="318"/>
      <c r="BA30" s="228"/>
      <c r="BB30" s="228"/>
      <c r="BC30" s="321"/>
      <c r="BD30" s="224"/>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row>
    <row r="31" spans="2:82" s="183" customFormat="1" ht="39.75" customHeight="1">
      <c r="D31" s="308">
        <v>9</v>
      </c>
      <c r="E31" s="254"/>
      <c r="F31" s="254"/>
      <c r="G31" s="254"/>
      <c r="H31" s="254"/>
      <c r="I31" s="305"/>
      <c r="J31" s="305"/>
      <c r="K31" s="305"/>
      <c r="L31" s="250"/>
      <c r="M31" s="250"/>
      <c r="N31" s="250"/>
      <c r="O31" s="250"/>
      <c r="P31" s="256" t="str">
        <f t="shared" si="14"/>
        <v/>
      </c>
      <c r="Q31" s="262" t="str">
        <f t="shared" ref="Q31" si="23">IF(P31="","",IF(P31="Muy Baja",0.2,IF(P31="Baja",0.4,IF(P31="Media",0.6,IF(P31="Alta",0.8,IF(P31="Muy Alta",1,))))))</f>
        <v/>
      </c>
      <c r="R31" s="264"/>
      <c r="S31" s="256" t="str">
        <f>IFERROR(VLOOKUP(R31,Criterios[],2,FALSE),"")</f>
        <v/>
      </c>
      <c r="T31" s="262" t="str">
        <f t="shared" ref="T31" si="24">IF(S31="","",IF(S31="Leve",0.2,IF(S31="Menor",0.4,IF(S31="Moderado",0.6,IF(S31="Mayor",0.8,IF(S31="Catastrófico",1,))))))</f>
        <v/>
      </c>
      <c r="U31" s="256" t="str">
        <f>IF(OR(AND(P31="Muy Baja",S31="Leve"),AND(P31="Muy Baja",S31="Menor"),AND(P31="Baja",S31="Leve")),"Bajo",IF(OR(AND(P31="Muy baja",S31="Moderado"),AND(P31="Baja",S31="Menor"),AND(P31="Baja",S31="Moderado"),AND(P31="Media",S31="Leve"),AND(P31="Media",S31="Menor"),AND(P31="Media",S31="Moderado"),AND(P31="Alta",S31="Leve"),AND(P31="Alta",S31="Menor")),"Moderado",IF(OR(AND(P31="Muy Baja",S31="Mayor"),AND(P31="Baja",S31="Mayor"),AND(P31="Media",S31="Mayor"),AND(P31="Alta",S31="Moderado"),AND(P31="Alta",S31="Mayor"),AND(P31="Muy Alta",S31="Leve"),AND(P31="Muy Alta",S31="Menor"),AND(P31="Muy Alta",S31="Moderado"),AND(P31="Muy Alta",S31="Mayor")),"Alto",IF(OR(AND(P31="Muy Baja",S31="Catastrófico"),AND(P31="Baja",S31="Catastrófico"),AND(P31="Media",S31="Catastrófico"),AND(P31="Alta",S31="Catastrófico"),AND(P31="Muy Alta",S31="Catastrófico")),"Extremo",""))))</f>
        <v/>
      </c>
      <c r="V31" s="193">
        <v>1</v>
      </c>
      <c r="W31" s="194"/>
      <c r="X31" s="195"/>
      <c r="Y31" s="196" t="str">
        <f t="shared" si="1"/>
        <v/>
      </c>
      <c r="Z31" s="197"/>
      <c r="AA31" s="197"/>
      <c r="AB31" s="198" t="str">
        <f t="shared" si="2"/>
        <v/>
      </c>
      <c r="AC31" s="197"/>
      <c r="AD31" s="197"/>
      <c r="AE31" s="184"/>
      <c r="AF31" s="219"/>
      <c r="AG31" s="199" t="str">
        <f>IFERROR(IF(Y31="Probabilidad",(Q31-(+Q31*AB31)),IF(Y31="Impacto",Q31,"")),"")</f>
        <v/>
      </c>
      <c r="AH31" s="200" t="str">
        <f t="shared" si="3"/>
        <v/>
      </c>
      <c r="AI31" s="198" t="str">
        <f t="shared" si="4"/>
        <v/>
      </c>
      <c r="AJ31" s="200" t="str">
        <f t="shared" si="5"/>
        <v/>
      </c>
      <c r="AK31" s="198" t="str">
        <f>IFERROR(IF(Y31="Impacto",(T31-(+T31*AB31)),IF(Y31="Probabilidad",T31,"")),"")</f>
        <v/>
      </c>
      <c r="AL31" s="200" t="str">
        <f t="shared" si="6"/>
        <v/>
      </c>
      <c r="AM31" s="258" t="s">
        <v>125</v>
      </c>
      <c r="AN31" s="193">
        <v>1</v>
      </c>
      <c r="AO31" s="305"/>
      <c r="AP31" s="313"/>
      <c r="AQ31" s="315"/>
      <c r="AR31" s="236"/>
      <c r="AS31" s="324"/>
      <c r="AT31" s="229"/>
      <c r="AU31" s="229"/>
      <c r="AV31" s="229"/>
      <c r="AW31" s="229"/>
      <c r="AX31" s="229"/>
      <c r="AY31" s="229"/>
      <c r="AZ31" s="318"/>
      <c r="BA31" s="228"/>
      <c r="BB31" s="228"/>
      <c r="BC31" s="321"/>
      <c r="BD31" s="224"/>
      <c r="BE31" s="185"/>
      <c r="BF31" s="185"/>
      <c r="BG31" s="185"/>
      <c r="BH31" s="185"/>
      <c r="BI31" s="185"/>
      <c r="BJ31" s="185"/>
      <c r="BK31" s="185"/>
      <c r="BL31" s="185"/>
      <c r="BM31" s="185"/>
      <c r="BN31" s="185"/>
      <c r="BO31" s="185"/>
      <c r="BP31" s="185"/>
      <c r="BQ31" s="185"/>
      <c r="BR31" s="185"/>
      <c r="BS31" s="185"/>
      <c r="BT31" s="185"/>
      <c r="BU31" s="185"/>
      <c r="BV31" s="185"/>
      <c r="BW31" s="185"/>
      <c r="BX31" s="185"/>
      <c r="BY31" s="185"/>
      <c r="BZ31" s="185"/>
      <c r="CA31" s="185"/>
      <c r="CB31" s="185"/>
      <c r="CC31" s="185"/>
      <c r="CD31" s="185"/>
    </row>
    <row r="32" spans="2:82" s="183" customFormat="1" ht="39.75" customHeight="1">
      <c r="D32" s="309"/>
      <c r="E32" s="255"/>
      <c r="F32" s="255"/>
      <c r="G32" s="255"/>
      <c r="H32" s="255"/>
      <c r="I32" s="306"/>
      <c r="J32" s="306"/>
      <c r="K32" s="306"/>
      <c r="L32" s="251"/>
      <c r="M32" s="251"/>
      <c r="N32" s="251"/>
      <c r="O32" s="251"/>
      <c r="P32" s="257"/>
      <c r="Q32" s="263"/>
      <c r="R32" s="265"/>
      <c r="S32" s="257"/>
      <c r="T32" s="263"/>
      <c r="U32" s="257"/>
      <c r="V32" s="202">
        <v>2</v>
      </c>
      <c r="W32" s="194"/>
      <c r="X32" s="195"/>
      <c r="Y32" s="196" t="str">
        <f t="shared" si="1"/>
        <v/>
      </c>
      <c r="Z32" s="197"/>
      <c r="AA32" s="197"/>
      <c r="AB32" s="198" t="str">
        <f t="shared" si="2"/>
        <v/>
      </c>
      <c r="AC32" s="197"/>
      <c r="AD32" s="197"/>
      <c r="AE32" s="184"/>
      <c r="AF32" s="221"/>
      <c r="AG32" s="199" t="str">
        <f>IFERROR(IF(Y32="Probabilidad",(Q31-(+Q32*AB32)),IF(Y32="Impacto",Q32,"")),"")</f>
        <v/>
      </c>
      <c r="AH32" s="200" t="str">
        <f t="shared" si="3"/>
        <v/>
      </c>
      <c r="AI32" s="198" t="str">
        <f t="shared" si="4"/>
        <v/>
      </c>
      <c r="AJ32" s="200" t="str">
        <f t="shared" si="5"/>
        <v/>
      </c>
      <c r="AK32" s="198" t="str">
        <f t="shared" si="11"/>
        <v/>
      </c>
      <c r="AL32" s="200" t="str">
        <f t="shared" si="6"/>
        <v/>
      </c>
      <c r="AM32" s="259"/>
      <c r="AN32" s="202">
        <v>2</v>
      </c>
      <c r="AO32" s="306"/>
      <c r="AP32" s="314"/>
      <c r="AQ32" s="316"/>
      <c r="AR32" s="236"/>
      <c r="AS32" s="325"/>
      <c r="AT32" s="229"/>
      <c r="AU32" s="229"/>
      <c r="AV32" s="229"/>
      <c r="AW32" s="229"/>
      <c r="AX32" s="229"/>
      <c r="AY32" s="229"/>
      <c r="AZ32" s="319"/>
      <c r="BA32" s="228"/>
      <c r="BB32" s="228"/>
      <c r="BC32" s="322"/>
      <c r="BD32" s="224"/>
      <c r="BE32" s="185"/>
      <c r="BF32" s="185"/>
      <c r="BG32" s="185"/>
      <c r="BH32" s="185"/>
      <c r="BI32" s="185"/>
      <c r="BJ32" s="185"/>
      <c r="BK32" s="185"/>
      <c r="BL32" s="185"/>
      <c r="BM32" s="185"/>
      <c r="BN32" s="185"/>
      <c r="BO32" s="185"/>
      <c r="BP32" s="185"/>
      <c r="BQ32" s="185"/>
      <c r="BR32" s="185"/>
      <c r="BS32" s="185"/>
      <c r="BT32" s="185"/>
      <c r="BU32" s="185"/>
      <c r="BV32" s="185"/>
      <c r="BW32" s="185"/>
      <c r="BX32" s="185"/>
      <c r="BY32" s="185"/>
      <c r="BZ32" s="185"/>
      <c r="CA32" s="185"/>
      <c r="CB32" s="185"/>
      <c r="CC32" s="185"/>
      <c r="CD32" s="185"/>
    </row>
    <row r="33" spans="4:60" ht="49.5" customHeight="1">
      <c r="D33" s="186"/>
      <c r="E33" s="187"/>
      <c r="F33" s="187"/>
      <c r="G33" s="187"/>
      <c r="H33" s="187"/>
      <c r="I33" s="242" t="s">
        <v>201</v>
      </c>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row>
    <row r="35" spans="4:60" ht="15.6">
      <c r="D35" s="104"/>
      <c r="E35" s="105"/>
      <c r="F35" s="105"/>
      <c r="G35" s="105"/>
      <c r="H35" s="105"/>
      <c r="I35" s="105"/>
      <c r="J35" s="105"/>
      <c r="K35" s="105"/>
      <c r="L35" s="169"/>
      <c r="M35" s="169"/>
      <c r="N35" s="169"/>
      <c r="P35" s="106"/>
      <c r="Q35" s="105"/>
      <c r="R35" s="105"/>
      <c r="S35" s="105"/>
      <c r="T35" s="105"/>
      <c r="U35" s="105"/>
      <c r="V35" s="105"/>
      <c r="W35" s="105"/>
      <c r="X35" s="105"/>
      <c r="Y35" s="107"/>
      <c r="Z35" s="107"/>
      <c r="AA35" s="105"/>
      <c r="AB35" s="105"/>
      <c r="AC35" s="105"/>
      <c r="AD35" s="105"/>
      <c r="AE35" s="105"/>
      <c r="AF35" s="105"/>
      <c r="AG35" s="105"/>
      <c r="AH35" s="105"/>
      <c r="AI35" s="105"/>
      <c r="AJ35" s="105"/>
      <c r="AK35" s="105"/>
      <c r="AL35" s="105"/>
      <c r="AM35" s="108"/>
      <c r="AN35" s="108"/>
      <c r="AO35" s="108"/>
      <c r="AP35" s="105"/>
      <c r="AQ35" s="105"/>
      <c r="AR35" s="105"/>
      <c r="AS35" s="105"/>
      <c r="AT35" s="105"/>
      <c r="AU35" s="105"/>
      <c r="AV35" s="105"/>
      <c r="AW35" s="105"/>
      <c r="AX35" s="105"/>
      <c r="AY35" s="105"/>
      <c r="AZ35" s="105"/>
      <c r="BA35" s="105"/>
    </row>
    <row r="36" spans="4:60" ht="18">
      <c r="D36" s="304" t="s">
        <v>202</v>
      </c>
      <c r="E36" s="304"/>
      <c r="F36" s="304"/>
      <c r="G36" s="304"/>
      <c r="H36" s="304"/>
      <c r="I36" s="304"/>
      <c r="J36" s="304"/>
      <c r="K36" s="304"/>
      <c r="L36" s="169"/>
      <c r="M36" s="169"/>
      <c r="N36" s="169"/>
      <c r="O36" s="301"/>
      <c r="P36" s="302"/>
      <c r="Q36" s="302"/>
      <c r="R36" s="303"/>
      <c r="S36" s="105"/>
      <c r="T36" s="105"/>
      <c r="U36" s="105"/>
      <c r="V36" s="105"/>
      <c r="W36" s="105"/>
      <c r="X36" s="108"/>
      <c r="Y36" s="107"/>
      <c r="Z36" s="107"/>
      <c r="AA36" s="105"/>
      <c r="AB36" s="107"/>
      <c r="AC36" s="107"/>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H36" s="169" t="s">
        <v>203</v>
      </c>
    </row>
    <row r="37" spans="4:60" ht="14.45" thickBot="1">
      <c r="D37" s="169"/>
      <c r="E37" s="169"/>
      <c r="F37" s="169"/>
      <c r="G37" s="169"/>
      <c r="H37" s="169"/>
      <c r="I37" s="169"/>
      <c r="J37" s="169"/>
      <c r="L37" s="169"/>
      <c r="M37" s="169"/>
      <c r="N37" s="169"/>
      <c r="P37" s="171" t="str">
        <f>+IFERROR(VLOOKUP(L37,$L$192:$P$196,3,FALSE)*VLOOKUP(O37,$O$192:$P$196,3,FALSE),"")</f>
        <v/>
      </c>
      <c r="Y37" s="171"/>
      <c r="Z37" s="188"/>
      <c r="AB37" s="188"/>
      <c r="AC37" s="188"/>
      <c r="AD37" s="189"/>
      <c r="AE37" s="189"/>
      <c r="AF37" s="189"/>
      <c r="AG37" s="189"/>
      <c r="AH37" s="189"/>
      <c r="AI37" s="109"/>
      <c r="AJ37" s="109"/>
      <c r="AK37" s="189"/>
      <c r="AL37" s="190"/>
      <c r="AQ37" s="189"/>
      <c r="AY37" s="189"/>
      <c r="AZ37" s="189"/>
      <c r="BH37" s="169" t="s">
        <v>204</v>
      </c>
    </row>
    <row r="38" spans="4:60" ht="17.649999999999999" customHeight="1" thickTop="1" thickBot="1">
      <c r="D38" s="240" t="s">
        <v>205</v>
      </c>
      <c r="E38" s="240"/>
      <c r="F38" s="240"/>
      <c r="G38" s="240"/>
      <c r="H38" s="240"/>
      <c r="I38" s="240"/>
      <c r="J38" s="240"/>
      <c r="K38" s="210" t="s">
        <v>206</v>
      </c>
      <c r="L38" s="240" t="s">
        <v>207</v>
      </c>
      <c r="M38" s="240"/>
      <c r="N38" s="240"/>
      <c r="O38" s="240"/>
      <c r="P38" s="240"/>
      <c r="Q38" s="240"/>
      <c r="R38" s="240"/>
      <c r="S38" s="241" t="s">
        <v>208</v>
      </c>
      <c r="T38" s="241"/>
      <c r="U38" s="241"/>
      <c r="V38" s="240" t="s">
        <v>209</v>
      </c>
      <c r="W38" s="240"/>
      <c r="X38" s="240"/>
      <c r="Y38" s="240"/>
      <c r="Z38" s="241">
        <v>1</v>
      </c>
      <c r="AA38" s="241"/>
      <c r="AB38" s="241"/>
      <c r="AC38" s="241"/>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0"/>
      <c r="BH38" s="169" t="s">
        <v>210</v>
      </c>
    </row>
    <row r="39" spans="4:60" ht="13.5" customHeight="1" thickTop="1">
      <c r="D39" s="243" t="s">
        <v>211</v>
      </c>
      <c r="E39" s="244"/>
      <c r="F39" s="244"/>
      <c r="G39" s="244"/>
      <c r="H39" s="244"/>
      <c r="I39" s="244"/>
      <c r="J39" s="244"/>
      <c r="K39" s="244"/>
      <c r="L39" s="244"/>
      <c r="M39" s="244"/>
      <c r="N39" s="244"/>
      <c r="O39" s="244"/>
      <c r="P39" s="244"/>
      <c r="Q39" s="244"/>
      <c r="R39" s="244"/>
      <c r="S39" s="244"/>
      <c r="T39" s="244"/>
      <c r="U39" s="244"/>
      <c r="V39" s="244"/>
      <c r="W39" s="244"/>
      <c r="X39" s="244"/>
      <c r="Y39" s="244"/>
      <c r="Z39" s="244"/>
      <c r="AA39" s="244"/>
      <c r="AB39" s="244"/>
      <c r="AC39" s="244"/>
      <c r="BH39" s="169" t="s">
        <v>212</v>
      </c>
    </row>
  </sheetData>
  <sheetProtection formatCells="0" formatColumns="0" formatRows="0" selectLockedCells="1"/>
  <protectedRanges>
    <protectedRange sqref="P1:P1048576" name="Rango1"/>
  </protectedRanges>
  <dataConsolidate/>
  <mergeCells count="260">
    <mergeCell ref="AZ15:AZ32"/>
    <mergeCell ref="BC15:BC32"/>
    <mergeCell ref="AS15:AS32"/>
    <mergeCell ref="AP27:AP28"/>
    <mergeCell ref="AQ27:AQ28"/>
    <mergeCell ref="AP29:AP30"/>
    <mergeCell ref="AQ29:AQ30"/>
    <mergeCell ref="AP31:AP32"/>
    <mergeCell ref="AQ31:AQ32"/>
    <mergeCell ref="AO25:AO26"/>
    <mergeCell ref="AO27:AO28"/>
    <mergeCell ref="AO29:AO30"/>
    <mergeCell ref="AO31:AO32"/>
    <mergeCell ref="AP25:AP26"/>
    <mergeCell ref="AQ25:AQ26"/>
    <mergeCell ref="U23:U24"/>
    <mergeCell ref="U25:U26"/>
    <mergeCell ref="U27:U28"/>
    <mergeCell ref="U29:U30"/>
    <mergeCell ref="U31:U32"/>
    <mergeCell ref="T19:T20"/>
    <mergeCell ref="T21:T22"/>
    <mergeCell ref="T23:T24"/>
    <mergeCell ref="T25:T26"/>
    <mergeCell ref="T27:T28"/>
    <mergeCell ref="T29:T30"/>
    <mergeCell ref="T31:T32"/>
    <mergeCell ref="S19:S20"/>
    <mergeCell ref="S21:S22"/>
    <mergeCell ref="AM23:AM24"/>
    <mergeCell ref="AM25:AM26"/>
    <mergeCell ref="AM27:AM28"/>
    <mergeCell ref="AM29:AM30"/>
    <mergeCell ref="AM31:AM32"/>
    <mergeCell ref="S23:S24"/>
    <mergeCell ref="S25:S26"/>
    <mergeCell ref="S27:S28"/>
    <mergeCell ref="S29:S30"/>
    <mergeCell ref="S31:S32"/>
    <mergeCell ref="N27:N28"/>
    <mergeCell ref="N29:N30"/>
    <mergeCell ref="N31:N32"/>
    <mergeCell ref="O23:O24"/>
    <mergeCell ref="O25:O26"/>
    <mergeCell ref="O27:O28"/>
    <mergeCell ref="O29:O30"/>
    <mergeCell ref="O31:O32"/>
    <mergeCell ref="R23:R24"/>
    <mergeCell ref="R25:R26"/>
    <mergeCell ref="R27:R28"/>
    <mergeCell ref="R29:R30"/>
    <mergeCell ref="R31:R32"/>
    <mergeCell ref="P23:P24"/>
    <mergeCell ref="P25:P26"/>
    <mergeCell ref="P27:P28"/>
    <mergeCell ref="P29:P30"/>
    <mergeCell ref="P31:P32"/>
    <mergeCell ref="Q23:Q24"/>
    <mergeCell ref="Q25:Q26"/>
    <mergeCell ref="Q27:Q28"/>
    <mergeCell ref="Q29:Q30"/>
    <mergeCell ref="Q31:Q32"/>
    <mergeCell ref="D31:D32"/>
    <mergeCell ref="E31:E32"/>
    <mergeCell ref="D27:D28"/>
    <mergeCell ref="E27:E28"/>
    <mergeCell ref="F27:F28"/>
    <mergeCell ref="G27:G28"/>
    <mergeCell ref="H27:H28"/>
    <mergeCell ref="D29:D30"/>
    <mergeCell ref="E29:E30"/>
    <mergeCell ref="F29:F30"/>
    <mergeCell ref="G29:G30"/>
    <mergeCell ref="H29:H30"/>
    <mergeCell ref="F31:F32"/>
    <mergeCell ref="G31:G32"/>
    <mergeCell ref="H31:H32"/>
    <mergeCell ref="N17:N18"/>
    <mergeCell ref="P17:P18"/>
    <mergeCell ref="I17:I18"/>
    <mergeCell ref="O17:O18"/>
    <mergeCell ref="K17:K18"/>
    <mergeCell ref="M17:M18"/>
    <mergeCell ref="E23:E24"/>
    <mergeCell ref="D23:D24"/>
    <mergeCell ref="D25:D26"/>
    <mergeCell ref="E25:E26"/>
    <mergeCell ref="F25:F26"/>
    <mergeCell ref="G25:G26"/>
    <mergeCell ref="H25:H26"/>
    <mergeCell ref="K19:K20"/>
    <mergeCell ref="K21:K22"/>
    <mergeCell ref="K23:K24"/>
    <mergeCell ref="K25:K26"/>
    <mergeCell ref="L23:L24"/>
    <mergeCell ref="L25:L26"/>
    <mergeCell ref="M19:M20"/>
    <mergeCell ref="M21:M22"/>
    <mergeCell ref="M23:M24"/>
    <mergeCell ref="M25:M26"/>
    <mergeCell ref="L19:L20"/>
    <mergeCell ref="G15:G16"/>
    <mergeCell ref="H15:H16"/>
    <mergeCell ref="E17:E18"/>
    <mergeCell ref="D17:D18"/>
    <mergeCell ref="F17:F18"/>
    <mergeCell ref="G17:G18"/>
    <mergeCell ref="H17:H18"/>
    <mergeCell ref="J17:J18"/>
    <mergeCell ref="L17:L18"/>
    <mergeCell ref="I23:I24"/>
    <mergeCell ref="I25:I26"/>
    <mergeCell ref="I27:I28"/>
    <mergeCell ref="I29:I30"/>
    <mergeCell ref="I31:I32"/>
    <mergeCell ref="J23:J24"/>
    <mergeCell ref="J25:J26"/>
    <mergeCell ref="J27:J28"/>
    <mergeCell ref="P19:P20"/>
    <mergeCell ref="J29:J30"/>
    <mergeCell ref="J31:J32"/>
    <mergeCell ref="P21:P22"/>
    <mergeCell ref="K27:K28"/>
    <mergeCell ref="K29:K30"/>
    <mergeCell ref="K31:K32"/>
    <mergeCell ref="L27:L28"/>
    <mergeCell ref="L29:L30"/>
    <mergeCell ref="L31:L32"/>
    <mergeCell ref="M27:M28"/>
    <mergeCell ref="M29:M30"/>
    <mergeCell ref="M31:M32"/>
    <mergeCell ref="L21:L22"/>
    <mergeCell ref="N23:N24"/>
    <mergeCell ref="N25:N26"/>
    <mergeCell ref="D38:J38"/>
    <mergeCell ref="O36:R36"/>
    <mergeCell ref="L38:R38"/>
    <mergeCell ref="S38:U38"/>
    <mergeCell ref="D36:K36"/>
    <mergeCell ref="I15:I16"/>
    <mergeCell ref="J15:J16"/>
    <mergeCell ref="K15:K16"/>
    <mergeCell ref="F15:F16"/>
    <mergeCell ref="D19:D20"/>
    <mergeCell ref="E19:E20"/>
    <mergeCell ref="F19:F20"/>
    <mergeCell ref="G19:G20"/>
    <mergeCell ref="H19:H20"/>
    <mergeCell ref="E21:E22"/>
    <mergeCell ref="F21:F22"/>
    <mergeCell ref="G21:G22"/>
    <mergeCell ref="H21:H22"/>
    <mergeCell ref="F23:F24"/>
    <mergeCell ref="D21:D22"/>
    <mergeCell ref="N15:N16"/>
    <mergeCell ref="O15:O16"/>
    <mergeCell ref="N19:N20"/>
    <mergeCell ref="N21:N22"/>
    <mergeCell ref="R19:R20"/>
    <mergeCell ref="R21:R22"/>
    <mergeCell ref="Q17:Q18"/>
    <mergeCell ref="Q19:Q20"/>
    <mergeCell ref="Q21:Q22"/>
    <mergeCell ref="O19:O20"/>
    <mergeCell ref="O21:O22"/>
    <mergeCell ref="AS11:AY12"/>
    <mergeCell ref="S15:S16"/>
    <mergeCell ref="T15:T16"/>
    <mergeCell ref="U19:U20"/>
    <mergeCell ref="U21:U22"/>
    <mergeCell ref="AO13:AO14"/>
    <mergeCell ref="AG12:AM12"/>
    <mergeCell ref="Z13:AE13"/>
    <mergeCell ref="AO12:AR12"/>
    <mergeCell ref="R17:R18"/>
    <mergeCell ref="S17:S18"/>
    <mergeCell ref="U17:U18"/>
    <mergeCell ref="AN13:AN14"/>
    <mergeCell ref="AM17:AM18"/>
    <mergeCell ref="AM19:AM20"/>
    <mergeCell ref="AM21:AM22"/>
    <mergeCell ref="T17:T18"/>
    <mergeCell ref="D2:H5"/>
    <mergeCell ref="I2:BC5"/>
    <mergeCell ref="AM13:AM14"/>
    <mergeCell ref="AL13:AL14"/>
    <mergeCell ref="AK13:AK14"/>
    <mergeCell ref="AG13:AG14"/>
    <mergeCell ref="X13:X14"/>
    <mergeCell ref="L13:L14"/>
    <mergeCell ref="D12:O12"/>
    <mergeCell ref="P12:U12"/>
    <mergeCell ref="K13:K14"/>
    <mergeCell ref="J13:J14"/>
    <mergeCell ref="I13:I14"/>
    <mergeCell ref="R13:R14"/>
    <mergeCell ref="D7:G7"/>
    <mergeCell ref="V12:AE12"/>
    <mergeCell ref="V13:V14"/>
    <mergeCell ref="D8:G8"/>
    <mergeCell ref="D9:G9"/>
    <mergeCell ref="D13:D14"/>
    <mergeCell ref="AZ11:BB12"/>
    <mergeCell ref="BC11:BD12"/>
    <mergeCell ref="U13:U14"/>
    <mergeCell ref="BC13:BC14"/>
    <mergeCell ref="BB13:BB14"/>
    <mergeCell ref="BD13:BD14"/>
    <mergeCell ref="AZ13:AZ14"/>
    <mergeCell ref="AU13:AU14"/>
    <mergeCell ref="AV13:AV14"/>
    <mergeCell ref="AT13:AT14"/>
    <mergeCell ref="W13:W14"/>
    <mergeCell ref="AR13:AR14"/>
    <mergeCell ref="AQ13:AQ14"/>
    <mergeCell ref="AP13:AP14"/>
    <mergeCell ref="AJ13:AJ14"/>
    <mergeCell ref="AS13:AS14"/>
    <mergeCell ref="BA13:BA14"/>
    <mergeCell ref="AW13:AW14"/>
    <mergeCell ref="AY13:AY14"/>
    <mergeCell ref="AX13:AX14"/>
    <mergeCell ref="A11:C11"/>
    <mergeCell ref="F13:F14"/>
    <mergeCell ref="G13:G14"/>
    <mergeCell ref="AH13:AH14"/>
    <mergeCell ref="AI13:AI14"/>
    <mergeCell ref="O13:O14"/>
    <mergeCell ref="P13:P14"/>
    <mergeCell ref="Q13:Q14"/>
    <mergeCell ref="S13:S14"/>
    <mergeCell ref="T13:T14"/>
    <mergeCell ref="D11:AR11"/>
    <mergeCell ref="E13:E14"/>
    <mergeCell ref="Y13:Y14"/>
    <mergeCell ref="H13:H14"/>
    <mergeCell ref="H7:BB7"/>
    <mergeCell ref="H8:BB8"/>
    <mergeCell ref="H9:BB9"/>
    <mergeCell ref="V38:Y38"/>
    <mergeCell ref="Z38:AC38"/>
    <mergeCell ref="I33:AY33"/>
    <mergeCell ref="D39:AC39"/>
    <mergeCell ref="M13:N13"/>
    <mergeCell ref="AF12:AF14"/>
    <mergeCell ref="L15:L16"/>
    <mergeCell ref="M15:M16"/>
    <mergeCell ref="D15:D16"/>
    <mergeCell ref="E15:E16"/>
    <mergeCell ref="G23:G24"/>
    <mergeCell ref="H23:H24"/>
    <mergeCell ref="U15:U16"/>
    <mergeCell ref="AM15:AM16"/>
    <mergeCell ref="P15:P16"/>
    <mergeCell ref="Q15:Q16"/>
    <mergeCell ref="R15:R16"/>
    <mergeCell ref="I19:I20"/>
    <mergeCell ref="I21:I22"/>
    <mergeCell ref="J19:J20"/>
    <mergeCell ref="J21:J22"/>
  </mergeCells>
  <conditionalFormatting sqref="P15 AH15:AH32 P17 P19 P21 P23 P25 P27 P29 P31">
    <cfRule type="cellIs" dxfId="22" priority="51" operator="equal">
      <formula>"Muy Alta"</formula>
    </cfRule>
    <cfRule type="cellIs" dxfId="21" priority="52" operator="equal">
      <formula>"Alta"</formula>
    </cfRule>
    <cfRule type="cellIs" dxfId="20" priority="53" operator="equal">
      <formula>"Media"</formula>
    </cfRule>
    <cfRule type="cellIs" dxfId="19" priority="54" operator="equal">
      <formula>"Baja"</formula>
    </cfRule>
    <cfRule type="cellIs" dxfId="18" priority="55" operator="equal">
      <formula>"Muy Baja"</formula>
    </cfRule>
  </conditionalFormatting>
  <conditionalFormatting sqref="S15 AJ15:AJ32 S17 S19 S21 S23 S25 S27 S29 S31">
    <cfRule type="cellIs" dxfId="17" priority="46" operator="equal">
      <formula>"Catastrófico"</formula>
    </cfRule>
    <cfRule type="cellIs" dxfId="16" priority="47" operator="equal">
      <formula>"Mayor"</formula>
    </cfRule>
    <cfRule type="cellIs" dxfId="15" priority="48" operator="equal">
      <formula>"Moderado"</formula>
    </cfRule>
    <cfRule type="cellIs" dxfId="14" priority="49" operator="equal">
      <formula>"Menor"</formula>
    </cfRule>
    <cfRule type="cellIs" dxfId="13" priority="50" operator="equal">
      <formula>"Leve"</formula>
    </cfRule>
  </conditionalFormatting>
  <conditionalFormatting sqref="U15 AL15:AL32 U17 U19 U21 U23 U25 U27 U29 U31">
    <cfRule type="cellIs" dxfId="12" priority="42" operator="equal">
      <formula>"Extremo"</formula>
    </cfRule>
    <cfRule type="cellIs" dxfId="11" priority="43" operator="equal">
      <formula>"Alto"</formula>
    </cfRule>
    <cfRule type="cellIs" dxfId="10" priority="44" operator="equal">
      <formula>"Moderado"</formula>
    </cfRule>
    <cfRule type="cellIs" dxfId="9" priority="45" operator="equal">
      <formula>"Bajo"</formula>
    </cfRule>
  </conditionalFormatting>
  <conditionalFormatting sqref="AI35:AI37">
    <cfRule type="cellIs" dxfId="8" priority="16" operator="equal">
      <formula>#REF!</formula>
    </cfRule>
    <cfRule type="cellIs" dxfId="7" priority="17" operator="equal">
      <formula>#REF!</formula>
    </cfRule>
  </conditionalFormatting>
  <conditionalFormatting sqref="AI35:AJ37">
    <cfRule type="cellIs" dxfId="6" priority="15" stopIfTrue="1" operator="equal">
      <formula>#REF!</formula>
    </cfRule>
  </conditionalFormatting>
  <conditionalFormatting sqref="AJ35:AJ37">
    <cfRule type="cellIs" dxfId="5" priority="19" stopIfTrue="1" operator="equal">
      <formula>#REF!</formula>
    </cfRule>
    <cfRule type="cellIs" dxfId="4" priority="20" stopIfTrue="1" operator="equal">
      <formula>#REF!</formula>
    </cfRule>
  </conditionalFormatting>
  <dataValidations count="9">
    <dataValidation type="list" allowBlank="1" showInputMessage="1" showErrorMessage="1" sqref="K35" xr:uid="{408C691E-A947-4B4C-BE58-973B3DFA4E33}">
      <formula1>$K$192:$K$201</formula1>
    </dataValidation>
    <dataValidation type="list" allowBlank="1" showInputMessage="1" showErrorMessage="1" sqref="K37 AI37:AJ37" xr:uid="{39A642B1-C04B-4016-B1BC-C4CFF8FA7E81}">
      <formula1>#REF!</formula1>
    </dataValidation>
    <dataValidation type="list" allowBlank="1" showInputMessage="1" showErrorMessage="1" sqref="Y37" xr:uid="{9031228E-6A05-4898-A3ED-E14D91674E3A}">
      <formula1>$R$192:$R$193</formula1>
    </dataValidation>
    <dataValidation type="list" allowBlank="1" showInputMessage="1" showErrorMessage="1" sqref="O37" xr:uid="{F68FA3A0-3EF8-4997-AFE0-C34BE62DB6B5}">
      <formula1>$O$192:$O$196</formula1>
    </dataValidation>
    <dataValidation type="list" allowBlank="1" showInputMessage="1" showErrorMessage="1" sqref="L37:N37" xr:uid="{CB040AC8-6957-47C6-BBAB-4DF853D5DAC9}">
      <formula1>$L$192:$L$196</formula1>
    </dataValidation>
    <dataValidation type="list" allowBlank="1" showInputMessage="1" showErrorMessage="1" sqref="AB37:AH37 Z37 AQ37 AY37:AZ37" xr:uid="{DB8A6FF8-0458-4656-B40B-428CCA62DA01}">
      <formula1>$AQ$192:$AQ$199</formula1>
    </dataValidation>
    <dataValidation type="list" allowBlank="1" showInputMessage="1" showErrorMessage="1" error="Recuerde que las acciones se generan bajo la medida de mitigar el riesgo" sqref="AY15:AY20" xr:uid="{82762F92-CDEE-4FA6-AA53-0F4C1131C622}">
      <formula1>$BH$36:$BH$39</formula1>
    </dataValidation>
    <dataValidation type="custom" allowBlank="1" showInputMessage="1" showErrorMessage="1" error="Recuerde que las acciones se generan bajo la medida de mitigar el riesgo" sqref="AP15 AP31 AP29 AP27 AP25 AP23 AP21 AP19 AP17" xr:uid="{CDD03ADF-1C60-48D1-BA7E-193749E76C57}"/>
    <dataValidation type="list" allowBlank="1" showInputMessage="1" showErrorMessage="1" sqref="R15:R32" xr:uid="{FF6BA293-5A59-4796-AEDE-FC47CBA82030}">
      <formula1>Criterios_Impacto</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364D01BD-2838-4A6F-AD0C-568881239CC1}">
          <x14:formula1>
            <xm:f>'Opciones Tratamiento'!$B$9:$B$10</xm:f>
          </x14:formula1>
          <xm:sqref>BB21:BB32</xm:sqref>
        </x14:dataValidation>
        <x14:dataValidation type="list" allowBlank="1" showInputMessage="1" showErrorMessage="1" xr:uid="{DDC43149-4C4D-47B0-B668-03BACAFE245A}">
          <x14:formula1>
            <xm:f>'Opciones Tratamiento'!$B$13:$B$19</xm:f>
          </x14:formula1>
          <xm:sqref>L17:L32 L15</xm:sqref>
        </x14:dataValidation>
        <x14:dataValidation type="list" allowBlank="1" showInputMessage="1" showErrorMessage="1" xr:uid="{E012B887-2472-4459-AE52-63DE8627A4CE}">
          <x14:formula1>
            <xm:f>'Opciones Tratamiento'!$B$2:$B$5</xm:f>
          </x14:formula1>
          <xm:sqref>AM27 AM25 AM23 AM21 AM19 AM17 AM31 AM29 AM15</xm:sqref>
        </x14:dataValidation>
        <x14:dataValidation type="custom" allowBlank="1" showInputMessage="1" showErrorMessage="1" error="Recuerde que las acciones se generan bajo la medida de mitigar el riesgo" xr:uid="{01478FEC-95D9-4F9E-B29D-A2AA1B7BF8E6}">
          <x14:formula1>
            <xm:f>IF(OR(AM21='Opciones Tratamiento'!$B$2,AM21='Opciones Tratamiento'!$B$3,AM21='Opciones Tratamiento'!$B$4),ISBLANK(AM21),ISTEXT(AM21))</xm:f>
          </x14:formula1>
          <xm:sqref>AY21:AY32</xm:sqref>
        </x14:dataValidation>
        <x14:dataValidation type="list" allowBlank="1" showInputMessage="1" showErrorMessage="1" xr:uid="{6CA67B73-B6D4-42D4-A6D0-84C46E695EA9}">
          <x14:formula1>
            <xm:f>Listas!$B$2:$B$7</xm:f>
          </x14:formula1>
          <xm:sqref>H15 H17:H32</xm:sqref>
        </x14:dataValidation>
        <x14:dataValidation type="list" allowBlank="1" showInputMessage="1" showErrorMessage="1" xr:uid="{249D73BB-A511-4CAA-B899-DDA0ECB15505}">
          <x14:formula1>
            <xm:f>Listas!$C$2:$C$6</xm:f>
          </x14:formula1>
          <xm:sqref>M17:M32 M15</xm:sqref>
        </x14:dataValidation>
        <x14:dataValidation type="list" allowBlank="1" showInputMessage="1" showErrorMessage="1" xr:uid="{0B8C5EC2-A48B-4027-8C65-16247C0B39B6}">
          <x14:formula1>
            <xm:f>Listas!$D$2:$D$5</xm:f>
          </x14:formula1>
          <xm:sqref>N17:N32 N15</xm:sqref>
        </x14:dataValidation>
        <x14:dataValidation type="list" allowBlank="1" showInputMessage="1" showErrorMessage="1" xr:uid="{639293B1-C8B7-42F8-B0D3-E13E2631DB11}">
          <x14:formula1>
            <xm:f>Formulas!$B$3:$B$18</xm:f>
          </x14:formula1>
          <xm:sqref>E17:E32</xm:sqref>
        </x14:dataValidation>
        <x14:dataValidation type="list" allowBlank="1" showInputMessage="1" showErrorMessage="1" xr:uid="{3DABCBE8-1CD2-4D35-96EB-A6EE798407CE}">
          <x14:formula1>
            <xm:f>Formulas!$E$3:$E$23</xm:f>
          </x14:formula1>
          <xm:sqref>G17:G32</xm:sqref>
        </x14:dataValidation>
        <x14:dataValidation type="custom" allowBlank="1" showInputMessage="1" showErrorMessage="1" error="Recuerde que las acciones se generan bajo la medida de mitigar el riesgo" xr:uid="{0822A178-6867-4BC5-9CE2-958A9D04389C}">
          <x14:formula1>
            <xm:f>IF(OR(AQ17='Opciones Tratamiento'!$B$2,AQ17='Opciones Tratamiento'!$B$3,AQ17='Opciones Tratamiento'!$B$4),ISBLANK(AQ17),ISTEXT(AQ17))</xm:f>
          </x14:formula1>
          <xm:sqref>AV17:AX32</xm:sqref>
        </x14:dataValidation>
        <x14:dataValidation type="custom" allowBlank="1" showInputMessage="1" showErrorMessage="1" error="Recuerde que las acciones se generan bajo la medida de mitigar el riesgo" xr:uid="{3B3282AD-8AAB-4172-81D4-4723DA6440EC}">
          <x14:formula1>
            <xm:f>IF(OR(AM16='Opciones Tratamiento'!$B$2,AM16='Opciones Tratamiento'!$B$3,AM16='Opciones Tratamiento'!$B$4),ISBLANK(AM16),ISTEXT(AM16))</xm:f>
          </x14:formula1>
          <xm:sqref>AU16 AU18 AU20 AU22 AU24 AU26 AU28 AU30 AU32 AR16:AR17 AR19:AR32 AR15:AS15 AU15:AX15</xm:sqref>
        </x14:dataValidation>
        <x14:dataValidation type="list" allowBlank="1" showInputMessage="1" showErrorMessage="1" xr:uid="{3184CEB9-307A-4941-8783-811E15E82246}">
          <x14:formula1>
            <xm:f>'Tabla Valoración controles'!$D$4:$D$6</xm:f>
          </x14:formula1>
          <xm:sqref>Z15:Z32</xm:sqref>
        </x14:dataValidation>
        <x14:dataValidation type="list" allowBlank="1" showInputMessage="1" showErrorMessage="1" xr:uid="{CB1D46A3-D42A-4715-B5F2-E74EC9B922FD}">
          <x14:formula1>
            <xm:f>'Tabla Valoración controles'!$D$7:$D$8</xm:f>
          </x14:formula1>
          <xm:sqref>AA15:AA32</xm:sqref>
        </x14:dataValidation>
        <x14:dataValidation type="list" allowBlank="1" showInputMessage="1" showErrorMessage="1" xr:uid="{6B01B280-5073-4EC5-A313-ADD1B14A1AE3}">
          <x14:formula1>
            <xm:f>'Tabla Valoración controles'!$D$9:$D$10</xm:f>
          </x14:formula1>
          <xm:sqref>AC15:AC32</xm:sqref>
        </x14:dataValidation>
        <x14:dataValidation type="list" allowBlank="1" showInputMessage="1" showErrorMessage="1" xr:uid="{D338F724-66DD-4764-AEF2-CBF09314BF2B}">
          <x14:formula1>
            <xm:f>'Tabla Valoración controles'!$D$11:$D$12</xm:f>
          </x14:formula1>
          <xm:sqref>AD15:AD32</xm:sqref>
        </x14:dataValidation>
        <x14:dataValidation type="list" allowBlank="1" showInputMessage="1" showErrorMessage="1" xr:uid="{FB52A918-2871-4987-B7C9-0AE85A06004B}">
          <x14:formula1>
            <xm:f>'Tabla Valoración controles'!$D$13:$D$14</xm:f>
          </x14:formula1>
          <xm:sqref>AE15:AE32</xm:sqref>
        </x14:dataValidation>
        <x14:dataValidation type="custom" allowBlank="1" showInputMessage="1" showErrorMessage="1" error="Recuerde que las acciones se generan bajo la medida de mitigar el riesgo" xr:uid="{26D01BA2-59B4-464B-AB76-30529392A755}">
          <x14:formula1>
            <xm:f>IF(OR(#REF!='Opciones Tratamiento'!$B$2,#REF!='Opciones Tratamiento'!$B$3,#REF!='Opciones Tratamiento'!$B$4),ISBLANK(#REF!),ISTEXT(#REF!))</xm:f>
          </x14:formula1>
          <xm:sqref>BD15:BD32 BC15</xm:sqref>
        </x14:dataValidation>
        <x14:dataValidation type="custom" allowBlank="1" showInputMessage="1" showErrorMessage="1" error="Recuerde que las acciones se generan bajo la medida de mitigar el riesgo" xr:uid="{EE7BB833-9764-41FF-B007-3926648232E1}">
          <x14:formula1>
            <xm:f>IF(OR(AQ21='Opciones Tratamiento'!$B$2,AQ21='Opciones Tratamiento'!$B$3,AQ21='Opciones Tratamiento'!$B$4),ISBLANK(AQ21),ISTEXT(AQ21))</xm:f>
          </x14:formula1>
          <xm:sqref>BA21:BA32</xm:sqref>
        </x14:dataValidation>
        <x14:dataValidation type="list" allowBlank="1" showInputMessage="1" showErrorMessage="1" xr:uid="{AB1C5DE4-2203-4588-B629-0786D5138E5A}">
          <x14:formula1>
            <xm:f>Formulas!$B$3:$B$6</xm:f>
          </x14:formula1>
          <xm:sqref>E15:E16</xm:sqref>
        </x14:dataValidation>
        <x14:dataValidation type="list" allowBlank="1" showInputMessage="1" showErrorMessage="1" xr:uid="{5A455F28-5F2F-4215-8B34-E64C7C7848E5}">
          <x14:formula1>
            <xm:f>Formulas!$D$3:$D$6</xm:f>
          </x14:formula1>
          <xm:sqref>F15:F32</xm:sqref>
        </x14:dataValidation>
        <x14:dataValidation type="list" allowBlank="1" showInputMessage="1" showErrorMessage="1" xr:uid="{D1A28E82-EAA3-4F72-B29A-B3F8D1BA5B31}">
          <x14:formula1>
            <xm:f>Formulas!$E$3:$E$5</xm:f>
          </x14:formula1>
          <xm:sqref>G15:G16</xm:sqref>
        </x14:dataValidation>
        <x14:dataValidation type="custom" allowBlank="1" showInputMessage="1" showErrorMessage="1" error="Recuerde que las acciones se generan bajo la medida de mitigar el riesgo" xr:uid="{CB80FB53-FB6D-4A7C-BD42-99639A62552D}">
          <x14:formula1>
            <xm:f>IF(OR(AM16='Opciones Tratamiento'!$B$2,AM16='Opciones Tratamiento'!$B$3,AM16='Opciones Tratamiento'!$B$4),ISBLANK(AM16),ISTEXT(AM16))</xm:f>
          </x14:formula1>
          <xm:sqref>AQ15 AQ31 AQ29 AQ27 AQ25 AQ23 AQ21 AQ19 AQ17 AU17 AU19 AU21 AU23 AU25 AU27 AU29 AU31</xm:sqref>
        </x14:dataValidation>
        <x14:dataValidation type="list" allowBlank="1" showInputMessage="1" showErrorMessage="1" error="Recuerde que las acciones se generan bajo la medida de mitigar el riesgo" xr:uid="{25768860-97A5-4932-93B1-97F70B0EC9FE}">
          <x14:formula1>
            <xm:f>Formulas!$H$3:$H$4</xm:f>
          </x14:formula1>
          <xm:sqref>AT15:AT32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65A79-E3BF-4801-A67D-CFEFB6AABDB4}">
  <dimension ref="A1:B14"/>
  <sheetViews>
    <sheetView workbookViewId="0">
      <selection activeCell="A31" sqref="A31"/>
    </sheetView>
  </sheetViews>
  <sheetFormatPr defaultColWidth="11.42578125" defaultRowHeight="14.45"/>
  <cols>
    <col min="1" max="1" width="129.7109375" bestFit="1" customWidth="1"/>
  </cols>
  <sheetData>
    <row r="1" spans="1:2">
      <c r="A1" t="s">
        <v>213</v>
      </c>
      <c r="B1" t="s">
        <v>104</v>
      </c>
    </row>
    <row r="2" spans="1:2">
      <c r="A2" t="s">
        <v>214</v>
      </c>
      <c r="B2" t="s">
        <v>215</v>
      </c>
    </row>
    <row r="3" spans="1:2">
      <c r="A3" t="s">
        <v>216</v>
      </c>
      <c r="B3" t="s">
        <v>217</v>
      </c>
    </row>
    <row r="4" spans="1:2">
      <c r="A4" t="s">
        <v>218</v>
      </c>
      <c r="B4" t="s">
        <v>219</v>
      </c>
    </row>
    <row r="5" spans="1:2">
      <c r="A5" t="s">
        <v>220</v>
      </c>
      <c r="B5" t="s">
        <v>221</v>
      </c>
    </row>
    <row r="6" spans="1:2">
      <c r="A6" t="s">
        <v>222</v>
      </c>
      <c r="B6" t="s">
        <v>223</v>
      </c>
    </row>
    <row r="7" spans="1:2">
      <c r="A7" t="s">
        <v>224</v>
      </c>
      <c r="B7" t="s">
        <v>215</v>
      </c>
    </row>
    <row r="8" spans="1:2">
      <c r="A8" t="s">
        <v>225</v>
      </c>
      <c r="B8" t="s">
        <v>217</v>
      </c>
    </row>
    <row r="9" spans="1:2">
      <c r="A9" t="s">
        <v>116</v>
      </c>
      <c r="B9" t="s">
        <v>219</v>
      </c>
    </row>
    <row r="10" spans="1:2">
      <c r="A10" t="s">
        <v>226</v>
      </c>
      <c r="B10" t="s">
        <v>221</v>
      </c>
    </row>
    <row r="11" spans="1:2">
      <c r="A11" t="s">
        <v>227</v>
      </c>
      <c r="B11" t="s">
        <v>223</v>
      </c>
    </row>
    <row r="12" spans="1:2">
      <c r="A12" t="s">
        <v>228</v>
      </c>
      <c r="B12" t="s">
        <v>219</v>
      </c>
    </row>
    <row r="13" spans="1:2">
      <c r="A13" t="s">
        <v>192</v>
      </c>
      <c r="B13" t="s">
        <v>221</v>
      </c>
    </row>
    <row r="14" spans="1:2">
      <c r="A14" t="s">
        <v>229</v>
      </c>
      <c r="B14" t="s">
        <v>223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R13"/>
  <sheetViews>
    <sheetView workbookViewId="0">
      <selection activeCell="D22" sqref="D22"/>
    </sheetView>
  </sheetViews>
  <sheetFormatPr defaultColWidth="11.42578125" defaultRowHeight="14.45"/>
  <cols>
    <col min="1" max="1" width="4" customWidth="1"/>
    <col min="2" max="3" width="31.28515625" customWidth="1"/>
    <col min="4" max="4" width="30.42578125" customWidth="1"/>
    <col min="5" max="5" width="24.42578125" customWidth="1"/>
    <col min="6" max="6" width="22.7109375" customWidth="1"/>
    <col min="7" max="7" width="37" customWidth="1"/>
    <col min="8" max="8" width="21.28515625" customWidth="1"/>
    <col min="9" max="9" width="13.7109375" customWidth="1"/>
    <col min="10" max="10" width="17.28515625" customWidth="1"/>
    <col min="13" max="13" width="15.7109375" customWidth="1"/>
    <col min="14" max="14" width="14.7109375" customWidth="1"/>
    <col min="17" max="17" width="24.7109375" customWidth="1"/>
    <col min="18" max="18" width="29.5703125" customWidth="1"/>
  </cols>
  <sheetData>
    <row r="1" spans="2:18">
      <c r="B1" s="372" t="s">
        <v>52</v>
      </c>
      <c r="C1" s="372"/>
      <c r="D1" s="372"/>
      <c r="E1" s="372"/>
      <c r="F1" s="372"/>
      <c r="G1" s="372"/>
      <c r="H1" s="372"/>
      <c r="I1" s="372"/>
      <c r="J1" s="372"/>
      <c r="L1" s="372" t="s">
        <v>54</v>
      </c>
      <c r="M1" s="372"/>
      <c r="N1" s="372"/>
      <c r="O1" s="372"/>
      <c r="P1" s="372"/>
      <c r="Q1" s="372"/>
      <c r="R1" s="372"/>
    </row>
    <row r="2" spans="2:18" ht="50.25" customHeight="1">
      <c r="B2" s="167" t="s">
        <v>230</v>
      </c>
      <c r="C2" s="167" t="s">
        <v>231</v>
      </c>
      <c r="D2" s="166" t="s">
        <v>60</v>
      </c>
      <c r="E2" s="166" t="s">
        <v>232</v>
      </c>
      <c r="F2" s="166" t="s">
        <v>233</v>
      </c>
      <c r="G2" s="167" t="s">
        <v>234</v>
      </c>
      <c r="H2" s="167" t="s">
        <v>235</v>
      </c>
      <c r="I2" s="167" t="s">
        <v>236</v>
      </c>
      <c r="J2" s="166" t="s">
        <v>237</v>
      </c>
      <c r="L2" s="165" t="s">
        <v>102</v>
      </c>
      <c r="M2" s="165" t="s">
        <v>103</v>
      </c>
      <c r="N2" s="165" t="s">
        <v>55</v>
      </c>
      <c r="O2" s="165" t="s">
        <v>105</v>
      </c>
      <c r="P2" s="165" t="s">
        <v>106</v>
      </c>
      <c r="Q2" s="165" t="s">
        <v>83</v>
      </c>
      <c r="R2" s="168" t="s">
        <v>238</v>
      </c>
    </row>
    <row r="3" spans="2:18" ht="26.1">
      <c r="B3" s="18" t="s">
        <v>107</v>
      </c>
      <c r="C3" s="18" t="s">
        <v>239</v>
      </c>
      <c r="D3" s="111" t="s">
        <v>170</v>
      </c>
      <c r="E3" s="111" t="s">
        <v>171</v>
      </c>
      <c r="F3" t="s">
        <v>240</v>
      </c>
      <c r="G3" s="111" t="s">
        <v>175</v>
      </c>
      <c r="H3" t="s">
        <v>14</v>
      </c>
      <c r="I3" t="s">
        <v>241</v>
      </c>
      <c r="J3" t="s">
        <v>138</v>
      </c>
      <c r="L3" s="2" t="s">
        <v>119</v>
      </c>
      <c r="M3" s="2" t="s">
        <v>242</v>
      </c>
      <c r="N3" s="2" t="s">
        <v>121</v>
      </c>
      <c r="O3" s="2" t="s">
        <v>122</v>
      </c>
      <c r="P3" s="2" t="s">
        <v>243</v>
      </c>
      <c r="Q3" s="2" t="s">
        <v>244</v>
      </c>
      <c r="R3" t="s">
        <v>245</v>
      </c>
    </row>
    <row r="4" spans="2:18" ht="31.5" customHeight="1">
      <c r="B4" s="18" t="s">
        <v>186</v>
      </c>
      <c r="C4" s="18" t="s">
        <v>246</v>
      </c>
      <c r="D4" s="111" t="s">
        <v>108</v>
      </c>
      <c r="E4" s="111" t="s">
        <v>247</v>
      </c>
      <c r="F4" t="s">
        <v>248</v>
      </c>
      <c r="G4" s="111" t="s">
        <v>249</v>
      </c>
      <c r="H4" t="s">
        <v>15</v>
      </c>
      <c r="I4" t="s">
        <v>250</v>
      </c>
      <c r="J4" t="s">
        <v>115</v>
      </c>
      <c r="L4" s="2" t="s">
        <v>251</v>
      </c>
      <c r="M4" s="2" t="s">
        <v>120</v>
      </c>
      <c r="N4" s="2" t="s">
        <v>252</v>
      </c>
      <c r="O4" s="2" t="s">
        <v>253</v>
      </c>
      <c r="P4" s="2" t="s">
        <v>254</v>
      </c>
      <c r="Q4" s="2" t="s">
        <v>255</v>
      </c>
      <c r="R4" t="s">
        <v>256</v>
      </c>
    </row>
    <row r="5" spans="2:18" ht="26.25" customHeight="1">
      <c r="B5" s="18" t="s">
        <v>169</v>
      </c>
      <c r="C5" s="18" t="s">
        <v>257</v>
      </c>
      <c r="D5" s="111" t="s">
        <v>151</v>
      </c>
      <c r="E5" s="111" t="s">
        <v>258</v>
      </c>
      <c r="F5" t="s">
        <v>259</v>
      </c>
      <c r="G5" s="111" t="s">
        <v>113</v>
      </c>
      <c r="I5" t="s">
        <v>114</v>
      </c>
      <c r="J5" t="s">
        <v>260</v>
      </c>
      <c r="L5" s="2" t="s">
        <v>261</v>
      </c>
      <c r="P5" s="2" t="s">
        <v>262</v>
      </c>
      <c r="Q5" s="2" t="s">
        <v>263</v>
      </c>
    </row>
    <row r="6" spans="2:18" ht="24.75" customHeight="1">
      <c r="B6" s="18" t="s">
        <v>67</v>
      </c>
      <c r="C6" s="18" t="s">
        <v>264</v>
      </c>
      <c r="D6" s="111"/>
      <c r="F6" t="s">
        <v>187</v>
      </c>
      <c r="G6" s="111" t="s">
        <v>265</v>
      </c>
      <c r="I6" t="s">
        <v>155</v>
      </c>
      <c r="J6" t="s">
        <v>266</v>
      </c>
      <c r="Q6" s="2" t="s">
        <v>125</v>
      </c>
    </row>
    <row r="7" spans="2:18" ht="26.25" customHeight="1">
      <c r="B7" s="18"/>
      <c r="C7" s="18" t="s">
        <v>267</v>
      </c>
      <c r="D7" s="111"/>
      <c r="F7" t="s">
        <v>268</v>
      </c>
      <c r="G7" s="111" t="s">
        <v>191</v>
      </c>
      <c r="I7" t="s">
        <v>269</v>
      </c>
      <c r="Q7" s="2" t="s">
        <v>270</v>
      </c>
    </row>
    <row r="8" spans="2:18" ht="29.1">
      <c r="B8" s="18"/>
      <c r="C8" s="18"/>
      <c r="D8" s="111"/>
      <c r="F8" t="s">
        <v>109</v>
      </c>
      <c r="G8" s="111" t="s">
        <v>271</v>
      </c>
      <c r="I8" s="111" t="s">
        <v>272</v>
      </c>
    </row>
    <row r="9" spans="2:18" ht="31.5" customHeight="1">
      <c r="B9" s="18"/>
      <c r="C9" s="18"/>
      <c r="D9" s="111"/>
      <c r="G9" s="111" t="s">
        <v>273</v>
      </c>
      <c r="I9" t="s">
        <v>274</v>
      </c>
    </row>
    <row r="10" spans="2:18">
      <c r="B10" s="18"/>
      <c r="C10" s="18"/>
      <c r="D10" s="111"/>
      <c r="I10" t="s">
        <v>275</v>
      </c>
    </row>
    <row r="11" spans="2:18">
      <c r="B11" s="18"/>
      <c r="C11" s="18"/>
      <c r="D11" s="111"/>
    </row>
    <row r="12" spans="2:18">
      <c r="B12" s="18"/>
      <c r="C12" s="18"/>
      <c r="I12" t="s">
        <v>275</v>
      </c>
    </row>
    <row r="13" spans="2:18">
      <c r="B13" s="18"/>
      <c r="C13" s="18"/>
    </row>
  </sheetData>
  <mergeCells count="2">
    <mergeCell ref="B1:J1"/>
    <mergeCell ref="L1:R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B30"/>
  <sheetViews>
    <sheetView zoomScale="70" zoomScaleNormal="70" workbookViewId="0">
      <selection activeCell="G93" sqref="G93"/>
    </sheetView>
  </sheetViews>
  <sheetFormatPr defaultColWidth="11.42578125" defaultRowHeight="14.45"/>
  <sheetData>
    <row r="2" spans="2:2">
      <c r="B2" t="s">
        <v>276</v>
      </c>
    </row>
    <row r="30" spans="2:2">
      <c r="B30" t="s">
        <v>277</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1:D75"/>
  <sheetViews>
    <sheetView topLeftCell="K64" workbookViewId="0">
      <selection activeCell="C41" sqref="C41"/>
    </sheetView>
  </sheetViews>
  <sheetFormatPr defaultColWidth="11.42578125" defaultRowHeight="14.45"/>
  <cols>
    <col min="3" max="3" width="119" customWidth="1"/>
    <col min="4" max="4" width="33.28515625" customWidth="1"/>
  </cols>
  <sheetData>
    <row r="1" spans="3:4" ht="15" thickBot="1"/>
    <row r="2" spans="3:4">
      <c r="C2" s="373" t="s">
        <v>278</v>
      </c>
      <c r="D2" s="374"/>
    </row>
    <row r="3" spans="3:4">
      <c r="C3" s="375"/>
      <c r="D3" s="376"/>
    </row>
    <row r="4" spans="3:4" ht="15" thickBot="1">
      <c r="C4" s="150" t="s">
        <v>279</v>
      </c>
      <c r="D4" s="151" t="s">
        <v>280</v>
      </c>
    </row>
    <row r="5" spans="3:4" ht="30" customHeight="1">
      <c r="C5" s="152" t="s">
        <v>281</v>
      </c>
      <c r="D5" s="153">
        <v>1</v>
      </c>
    </row>
    <row r="6" spans="3:4" ht="28.5" customHeight="1">
      <c r="C6" s="154" t="s">
        <v>282</v>
      </c>
      <c r="D6" s="155">
        <v>1</v>
      </c>
    </row>
    <row r="7" spans="3:4" ht="28.5" customHeight="1">
      <c r="C7" s="156" t="s">
        <v>283</v>
      </c>
      <c r="D7" s="155">
        <v>1</v>
      </c>
    </row>
    <row r="8" spans="3:4" ht="28.5" customHeight="1">
      <c r="C8" s="156" t="s">
        <v>284</v>
      </c>
      <c r="D8" s="155">
        <v>1</v>
      </c>
    </row>
    <row r="9" spans="3:4" ht="18.600000000000001" customHeight="1">
      <c r="C9" s="156" t="s">
        <v>285</v>
      </c>
      <c r="D9" s="155">
        <v>1</v>
      </c>
    </row>
    <row r="10" spans="3:4" ht="28.5" customHeight="1">
      <c r="C10" s="156" t="s">
        <v>286</v>
      </c>
      <c r="D10" s="155">
        <v>1</v>
      </c>
    </row>
    <row r="11" spans="3:4" ht="21" customHeight="1">
      <c r="C11" s="154" t="s">
        <v>287</v>
      </c>
      <c r="D11" s="155">
        <v>1</v>
      </c>
    </row>
    <row r="12" spans="3:4" ht="21" customHeight="1">
      <c r="C12" s="154" t="s">
        <v>288</v>
      </c>
      <c r="D12" s="155">
        <v>1</v>
      </c>
    </row>
    <row r="13" spans="3:4" ht="21.6" customHeight="1">
      <c r="C13" s="154" t="s">
        <v>289</v>
      </c>
      <c r="D13" s="155">
        <v>1</v>
      </c>
    </row>
    <row r="14" spans="3:4" ht="28.5" customHeight="1">
      <c r="C14" s="154" t="s">
        <v>290</v>
      </c>
      <c r="D14" s="155">
        <v>1</v>
      </c>
    </row>
    <row r="15" spans="3:4" ht="22.5" customHeight="1">
      <c r="C15" s="157"/>
      <c r="D15" s="155">
        <v>1</v>
      </c>
    </row>
    <row r="16" spans="3:4" ht="28.5" customHeight="1">
      <c r="C16" s="158" t="s">
        <v>291</v>
      </c>
      <c r="D16" s="159"/>
    </row>
    <row r="17" spans="3:4" ht="28.5" customHeight="1">
      <c r="C17" s="152" t="s">
        <v>292</v>
      </c>
      <c r="D17" s="155">
        <v>1</v>
      </c>
    </row>
    <row r="18" spans="3:4" ht="28.5" customHeight="1">
      <c r="C18" s="152" t="s">
        <v>293</v>
      </c>
      <c r="D18" s="155">
        <v>1</v>
      </c>
    </row>
    <row r="19" spans="3:4" ht="28.5" customHeight="1">
      <c r="C19" s="152" t="s">
        <v>294</v>
      </c>
      <c r="D19" s="155">
        <v>1</v>
      </c>
    </row>
    <row r="20" spans="3:4" ht="28.5" customHeight="1">
      <c r="C20" s="154" t="s">
        <v>295</v>
      </c>
      <c r="D20" s="155">
        <v>1</v>
      </c>
    </row>
    <row r="21" spans="3:4" ht="28.5" customHeight="1">
      <c r="C21" s="152" t="s">
        <v>296</v>
      </c>
      <c r="D21" s="155">
        <v>1</v>
      </c>
    </row>
    <row r="22" spans="3:4" ht="28.5" customHeight="1">
      <c r="C22" s="160" t="s">
        <v>297</v>
      </c>
      <c r="D22" s="155">
        <v>1</v>
      </c>
    </row>
    <row r="23" spans="3:4" ht="28.5" customHeight="1">
      <c r="C23" s="152" t="s">
        <v>298</v>
      </c>
      <c r="D23" s="155">
        <v>1</v>
      </c>
    </row>
    <row r="24" spans="3:4" ht="28.5" customHeight="1">
      <c r="C24" s="152" t="s">
        <v>299</v>
      </c>
      <c r="D24" s="155">
        <v>1</v>
      </c>
    </row>
    <row r="25" spans="3:4" ht="28.5" customHeight="1">
      <c r="C25" s="157"/>
      <c r="D25" s="155">
        <v>1</v>
      </c>
    </row>
    <row r="26" spans="3:4" ht="28.5" customHeight="1">
      <c r="C26" s="157"/>
      <c r="D26" s="155">
        <v>1</v>
      </c>
    </row>
    <row r="27" spans="3:4" ht="28.5" customHeight="1">
      <c r="C27" s="158" t="s">
        <v>300</v>
      </c>
      <c r="D27" s="161"/>
    </row>
    <row r="28" spans="3:4" ht="28.5" customHeight="1">
      <c r="C28" s="156" t="s">
        <v>301</v>
      </c>
      <c r="D28" s="155">
        <v>1</v>
      </c>
    </row>
    <row r="29" spans="3:4" ht="28.5" customHeight="1">
      <c r="C29" s="156" t="s">
        <v>302</v>
      </c>
      <c r="D29" s="155">
        <v>1</v>
      </c>
    </row>
    <row r="30" spans="3:4" ht="28.5" customHeight="1">
      <c r="C30" s="156" t="s">
        <v>303</v>
      </c>
      <c r="D30" s="155">
        <v>1</v>
      </c>
    </row>
    <row r="31" spans="3:4" ht="28.5" customHeight="1">
      <c r="C31" s="156" t="s">
        <v>304</v>
      </c>
      <c r="D31" s="155">
        <v>1</v>
      </c>
    </row>
    <row r="32" spans="3:4" ht="28.5" customHeight="1">
      <c r="C32" s="156" t="s">
        <v>305</v>
      </c>
      <c r="D32" s="155">
        <v>1</v>
      </c>
    </row>
    <row r="33" spans="3:4" ht="28.5" customHeight="1">
      <c r="C33" s="162" t="s">
        <v>306</v>
      </c>
      <c r="D33" s="155">
        <v>1</v>
      </c>
    </row>
    <row r="34" spans="3:4" ht="28.5" customHeight="1">
      <c r="C34" s="154" t="s">
        <v>307</v>
      </c>
      <c r="D34" s="155">
        <v>1</v>
      </c>
    </row>
    <row r="35" spans="3:4" ht="28.5" customHeight="1">
      <c r="C35" s="156" t="s">
        <v>308</v>
      </c>
      <c r="D35" s="155">
        <v>1</v>
      </c>
    </row>
    <row r="36" spans="3:4" ht="28.5" customHeight="1">
      <c r="C36" s="156" t="s">
        <v>309</v>
      </c>
      <c r="D36" s="155">
        <v>1</v>
      </c>
    </row>
    <row r="37" spans="3:4" ht="28.5" customHeight="1">
      <c r="C37" s="156" t="s">
        <v>310</v>
      </c>
      <c r="D37" s="155">
        <v>1</v>
      </c>
    </row>
    <row r="38" spans="3:4" ht="28.5" customHeight="1">
      <c r="C38" s="154" t="s">
        <v>311</v>
      </c>
      <c r="D38" s="155">
        <v>1</v>
      </c>
    </row>
    <row r="39" spans="3:4" ht="28.5" customHeight="1">
      <c r="C39" s="162" t="s">
        <v>312</v>
      </c>
      <c r="D39" s="155">
        <v>1</v>
      </c>
    </row>
    <row r="40" spans="3:4" ht="28.5" customHeight="1">
      <c r="C40" s="162" t="s">
        <v>313</v>
      </c>
      <c r="D40" s="155">
        <v>1</v>
      </c>
    </row>
    <row r="41" spans="3:4" ht="28.5" customHeight="1">
      <c r="C41" s="162" t="s">
        <v>314</v>
      </c>
      <c r="D41" s="155">
        <v>1</v>
      </c>
    </row>
    <row r="42" spans="3:4" ht="28.5" customHeight="1">
      <c r="C42" s="162" t="s">
        <v>315</v>
      </c>
      <c r="D42" s="155">
        <v>1</v>
      </c>
    </row>
    <row r="43" spans="3:4" ht="28.5" customHeight="1">
      <c r="C43" s="163"/>
      <c r="D43" s="155"/>
    </row>
    <row r="44" spans="3:4" ht="28.5" customHeight="1">
      <c r="C44" s="163"/>
      <c r="D44" s="155"/>
    </row>
    <row r="45" spans="3:4" ht="28.5" customHeight="1">
      <c r="C45" s="158" t="s">
        <v>316</v>
      </c>
      <c r="D45" s="161"/>
    </row>
    <row r="46" spans="3:4" ht="28.5" customHeight="1">
      <c r="C46" s="162" t="s">
        <v>317</v>
      </c>
      <c r="D46" s="155">
        <v>1</v>
      </c>
    </row>
    <row r="47" spans="3:4" ht="28.5" customHeight="1">
      <c r="C47" s="162" t="s">
        <v>318</v>
      </c>
      <c r="D47" s="155">
        <v>1</v>
      </c>
    </row>
    <row r="48" spans="3:4" ht="28.5" customHeight="1">
      <c r="C48" s="162" t="s">
        <v>319</v>
      </c>
      <c r="D48" s="155">
        <v>1</v>
      </c>
    </row>
    <row r="49" spans="3:4" ht="28.5" customHeight="1">
      <c r="C49" s="162" t="s">
        <v>320</v>
      </c>
      <c r="D49" s="155">
        <v>1</v>
      </c>
    </row>
    <row r="50" spans="3:4" ht="28.5" customHeight="1">
      <c r="C50" s="164" t="s">
        <v>321</v>
      </c>
      <c r="D50" s="155">
        <v>1</v>
      </c>
    </row>
    <row r="51" spans="3:4" ht="28.5" customHeight="1">
      <c r="C51" s="164" t="s">
        <v>322</v>
      </c>
      <c r="D51" s="155">
        <v>1</v>
      </c>
    </row>
    <row r="52" spans="3:4" ht="28.5" customHeight="1">
      <c r="C52" s="164" t="s">
        <v>323</v>
      </c>
      <c r="D52" s="155">
        <v>1</v>
      </c>
    </row>
    <row r="53" spans="3:4" ht="28.5" customHeight="1">
      <c r="C53" s="152" t="s">
        <v>324</v>
      </c>
      <c r="D53" s="155">
        <v>1</v>
      </c>
    </row>
    <row r="54" spans="3:4" ht="28.5" customHeight="1">
      <c r="C54" s="152" t="s">
        <v>325</v>
      </c>
      <c r="D54" s="155">
        <v>1</v>
      </c>
    </row>
    <row r="55" spans="3:4" ht="28.5" customHeight="1"/>
    <row r="56" spans="3:4" ht="11.1" customHeight="1"/>
    <row r="57" spans="3:4" ht="11.1" customHeight="1"/>
    <row r="58" spans="3:4" ht="11.1" customHeight="1"/>
    <row r="59" spans="3:4" ht="11.1" customHeight="1"/>
    <row r="60" spans="3:4" ht="11.1" customHeight="1"/>
    <row r="61" spans="3:4" ht="11.1" customHeight="1"/>
    <row r="62" spans="3:4" ht="11.1" customHeight="1"/>
    <row r="63" spans="3:4" ht="11.1" customHeight="1"/>
    <row r="64" spans="3:4" ht="11.1" customHeight="1"/>
    <row r="65" ht="11.1" customHeight="1"/>
    <row r="66" ht="11.1" customHeight="1"/>
    <row r="67" ht="11.1" customHeight="1"/>
    <row r="68" ht="11.1" customHeight="1"/>
    <row r="69" ht="11.1" customHeight="1"/>
    <row r="70" ht="11.1" customHeight="1"/>
    <row r="71" ht="11.1" customHeight="1"/>
    <row r="72" ht="11.1" customHeight="1"/>
    <row r="73" ht="11.1" customHeight="1"/>
    <row r="74" ht="11.1" customHeight="1"/>
    <row r="75" ht="11.1" customHeight="1"/>
  </sheetData>
  <mergeCells count="1">
    <mergeCell ref="C2:D3"/>
  </mergeCells>
  <conditionalFormatting sqref="D5:D15 D17:D26 D43:D44">
    <cfRule type="iconSet" priority="6">
      <iconSet>
        <cfvo type="percent" val="0"/>
        <cfvo type="percent" val="33"/>
        <cfvo type="percent" val="67"/>
      </iconSet>
    </cfRule>
  </conditionalFormatting>
  <conditionalFormatting sqref="D28:D42">
    <cfRule type="iconSet" priority="4">
      <iconSet>
        <cfvo type="percent" val="0"/>
        <cfvo type="percent" val="33"/>
        <cfvo type="percent" val="67"/>
      </iconSet>
    </cfRule>
  </conditionalFormatting>
  <conditionalFormatting sqref="D46:D54">
    <cfRule type="iconSet" priority="2">
      <iconSet>
        <cfvo type="percent" val="0"/>
        <cfvo type="percent" val="33"/>
        <cfvo type="percent" val="67"/>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5" id="{06EB6435-C432-4D19-A0A0-EA03417474CA}">
            <x14:iconSet showValue="0" custom="1">
              <x14:cfvo type="percent">
                <xm:f>0</xm:f>
              </x14:cfvo>
              <x14:cfvo type="percent">
                <xm:f>0</xm:f>
              </x14:cfvo>
              <x14:cfvo type="num">
                <xm:f>1</xm:f>
              </x14:cfvo>
              <x14:cfIcon iconSet="3Symbols" iconId="0"/>
              <x14:cfIcon iconSet="3Symbols" iconId="0"/>
              <x14:cfIcon iconSet="3Symbols" iconId="2"/>
            </x14:iconSet>
          </x14:cfRule>
          <xm:sqref>D5:D15 D17:D26 D43:D44</xm:sqref>
        </x14:conditionalFormatting>
        <x14:conditionalFormatting xmlns:xm="http://schemas.microsoft.com/office/excel/2006/main">
          <x14:cfRule type="iconSet" priority="3" id="{381B375A-42D7-49A6-A52D-2130434D1021}">
            <x14:iconSet showValue="0" custom="1">
              <x14:cfvo type="percent">
                <xm:f>0</xm:f>
              </x14:cfvo>
              <x14:cfvo type="percent">
                <xm:f>0</xm:f>
              </x14:cfvo>
              <x14:cfvo type="num">
                <xm:f>1</xm:f>
              </x14:cfvo>
              <x14:cfIcon iconSet="3Symbols" iconId="0"/>
              <x14:cfIcon iconSet="3Symbols" iconId="0"/>
              <x14:cfIcon iconSet="3Symbols" iconId="2"/>
            </x14:iconSet>
          </x14:cfRule>
          <xm:sqref>D28:D42</xm:sqref>
        </x14:conditionalFormatting>
        <x14:conditionalFormatting xmlns:xm="http://schemas.microsoft.com/office/excel/2006/main">
          <x14:cfRule type="iconSet" priority="1" id="{05A66E2B-23A5-4AC3-BFE1-977F769F42E5}">
            <x14:iconSet showValue="0" custom="1">
              <x14:cfvo type="percent">
                <xm:f>0</xm:f>
              </x14:cfvo>
              <x14:cfvo type="percent">
                <xm:f>0</xm:f>
              </x14:cfvo>
              <x14:cfvo type="num">
                <xm:f>1</xm:f>
              </x14:cfvo>
              <x14:cfIcon iconSet="3Symbols" iconId="0"/>
              <x14:cfIcon iconSet="3Symbols" iconId="0"/>
              <x14:cfIcon iconSet="3Symbols" iconId="2"/>
            </x14:iconSet>
          </x14:cfRule>
          <xm:sqref>D46:D54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CW145"/>
  <sheetViews>
    <sheetView showGridLines="0" showRowColHeaders="0" zoomScale="60" zoomScaleNormal="60" workbookViewId="0">
      <pane ySplit="7" topLeftCell="A8" activePane="bottomLeft" state="frozen"/>
      <selection pane="bottomLeft" activeCell="AP3" sqref="AP3:AV3"/>
    </sheetView>
  </sheetViews>
  <sheetFormatPr defaultColWidth="11.42578125" defaultRowHeight="14.45"/>
  <cols>
    <col min="1" max="1" width="5.28515625" customWidth="1"/>
    <col min="2" max="2" width="8.7109375" customWidth="1"/>
    <col min="3" max="3" width="9" customWidth="1"/>
    <col min="4" max="41" width="5.7109375" customWidth="1"/>
    <col min="43" max="48" width="5.7109375" customWidth="1"/>
  </cols>
  <sheetData>
    <row r="1" spans="1:101" ht="15" thickBot="1"/>
    <row r="2" spans="1:101" ht="15" customHeight="1">
      <c r="D2" s="437" t="s">
        <v>326</v>
      </c>
      <c r="E2" s="438"/>
      <c r="F2" s="438"/>
      <c r="G2" s="438"/>
      <c r="H2" s="438"/>
      <c r="I2" s="438"/>
      <c r="J2" s="438"/>
      <c r="K2" s="439"/>
      <c r="L2" s="428" t="s">
        <v>39</v>
      </c>
      <c r="M2" s="429"/>
      <c r="N2" s="429"/>
      <c r="O2" s="429"/>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29"/>
      <c r="AO2" s="430"/>
      <c r="AP2" s="369" t="s">
        <v>327</v>
      </c>
      <c r="AQ2" s="425"/>
      <c r="AR2" s="425"/>
      <c r="AS2" s="425"/>
      <c r="AT2" s="425"/>
      <c r="AU2" s="425"/>
      <c r="AV2" s="343"/>
    </row>
    <row r="3" spans="1:101">
      <c r="D3" s="440"/>
      <c r="E3" s="441"/>
      <c r="F3" s="441"/>
      <c r="G3" s="441"/>
      <c r="H3" s="441"/>
      <c r="I3" s="441"/>
      <c r="J3" s="441"/>
      <c r="K3" s="442"/>
      <c r="L3" s="431"/>
      <c r="M3" s="432"/>
      <c r="N3" s="432"/>
      <c r="O3" s="432"/>
      <c r="P3" s="432"/>
      <c r="Q3" s="432"/>
      <c r="R3" s="432"/>
      <c r="S3" s="432"/>
      <c r="T3" s="432"/>
      <c r="U3" s="432"/>
      <c r="V3" s="432"/>
      <c r="W3" s="432"/>
      <c r="X3" s="432"/>
      <c r="Y3" s="432"/>
      <c r="Z3" s="432"/>
      <c r="AA3" s="432"/>
      <c r="AB3" s="432"/>
      <c r="AC3" s="432"/>
      <c r="AD3" s="432"/>
      <c r="AE3" s="432"/>
      <c r="AF3" s="432"/>
      <c r="AG3" s="432"/>
      <c r="AH3" s="432"/>
      <c r="AI3" s="432"/>
      <c r="AJ3" s="432"/>
      <c r="AK3" s="432"/>
      <c r="AL3" s="432"/>
      <c r="AM3" s="432"/>
      <c r="AN3" s="432"/>
      <c r="AO3" s="433"/>
      <c r="AP3" s="370" t="s">
        <v>3</v>
      </c>
      <c r="AQ3" s="426"/>
      <c r="AR3" s="426"/>
      <c r="AS3" s="426"/>
      <c r="AT3" s="426"/>
      <c r="AU3" s="426"/>
      <c r="AV3" s="345"/>
    </row>
    <row r="4" spans="1:101">
      <c r="D4" s="440"/>
      <c r="E4" s="441"/>
      <c r="F4" s="441"/>
      <c r="G4" s="441"/>
      <c r="H4" s="441"/>
      <c r="I4" s="441"/>
      <c r="J4" s="441"/>
      <c r="K4" s="442"/>
      <c r="L4" s="431"/>
      <c r="M4" s="432"/>
      <c r="N4" s="432"/>
      <c r="O4" s="432"/>
      <c r="P4" s="432"/>
      <c r="Q4" s="432"/>
      <c r="R4" s="432"/>
      <c r="S4" s="432"/>
      <c r="T4" s="432"/>
      <c r="U4" s="432"/>
      <c r="V4" s="432"/>
      <c r="W4" s="432"/>
      <c r="X4" s="432"/>
      <c r="Y4" s="432"/>
      <c r="Z4" s="432"/>
      <c r="AA4" s="432"/>
      <c r="AB4" s="432"/>
      <c r="AC4" s="432"/>
      <c r="AD4" s="432"/>
      <c r="AE4" s="432"/>
      <c r="AF4" s="432"/>
      <c r="AG4" s="432"/>
      <c r="AH4" s="432"/>
      <c r="AI4" s="432"/>
      <c r="AJ4" s="432"/>
      <c r="AK4" s="432"/>
      <c r="AL4" s="432"/>
      <c r="AM4" s="432"/>
      <c r="AN4" s="432"/>
      <c r="AO4" s="433"/>
      <c r="AP4" s="370" t="s">
        <v>4</v>
      </c>
      <c r="AQ4" s="426" t="s">
        <v>328</v>
      </c>
      <c r="AR4" s="426"/>
      <c r="AS4" s="426"/>
      <c r="AT4" s="426"/>
      <c r="AU4" s="426"/>
      <c r="AV4" s="345"/>
    </row>
    <row r="5" spans="1:101" ht="15" thickBot="1">
      <c r="D5" s="443"/>
      <c r="E5" s="444"/>
      <c r="F5" s="444"/>
      <c r="G5" s="444"/>
      <c r="H5" s="444"/>
      <c r="I5" s="444"/>
      <c r="J5" s="444"/>
      <c r="K5" s="445"/>
      <c r="L5" s="434"/>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6"/>
      <c r="AP5" s="371" t="s">
        <v>5</v>
      </c>
      <c r="AQ5" s="427" t="s">
        <v>5</v>
      </c>
      <c r="AR5" s="427"/>
      <c r="AS5" s="427"/>
      <c r="AT5" s="427"/>
      <c r="AU5" s="427"/>
      <c r="AV5" s="347"/>
    </row>
    <row r="7" spans="1:101" ht="18" customHeight="1">
      <c r="C7" s="68"/>
      <c r="D7" s="377" t="s">
        <v>329</v>
      </c>
      <c r="E7" s="377"/>
      <c r="F7" s="377"/>
      <c r="G7" s="377"/>
      <c r="H7" s="377"/>
      <c r="I7" s="377"/>
      <c r="J7" s="377"/>
      <c r="K7" s="377"/>
      <c r="L7" s="484" t="s">
        <v>60</v>
      </c>
      <c r="M7" s="484"/>
      <c r="N7" s="484"/>
      <c r="O7" s="484"/>
      <c r="P7" s="484"/>
      <c r="Q7" s="484"/>
      <c r="R7" s="484"/>
      <c r="S7" s="484"/>
      <c r="T7" s="484"/>
      <c r="U7" s="484"/>
      <c r="V7" s="484"/>
      <c r="W7" s="484"/>
      <c r="X7" s="484"/>
      <c r="Y7" s="484"/>
      <c r="Z7" s="484"/>
      <c r="AA7" s="484"/>
      <c r="AB7" s="484"/>
      <c r="AC7" s="484"/>
      <c r="AD7" s="484"/>
      <c r="AE7" s="484"/>
      <c r="AF7" s="484"/>
      <c r="AG7" s="484"/>
      <c r="AH7" s="484"/>
      <c r="AI7" s="484"/>
      <c r="AJ7" s="484"/>
      <c r="AK7" s="484"/>
      <c r="AL7" s="484"/>
      <c r="AM7" s="484"/>
      <c r="AN7" s="484"/>
      <c r="AO7" s="484"/>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row>
    <row r="8" spans="1:101" ht="18.75" customHeight="1">
      <c r="A8" s="266" t="s">
        <v>9</v>
      </c>
      <c r="B8" s="266"/>
      <c r="C8" s="267"/>
      <c r="D8" s="377"/>
      <c r="E8" s="377"/>
      <c r="F8" s="377"/>
      <c r="G8" s="377"/>
      <c r="H8" s="377"/>
      <c r="I8" s="377"/>
      <c r="J8" s="377"/>
      <c r="K8" s="377"/>
      <c r="L8" s="484"/>
      <c r="M8" s="484"/>
      <c r="N8" s="484"/>
      <c r="O8" s="484"/>
      <c r="P8" s="484"/>
      <c r="Q8" s="484"/>
      <c r="R8" s="484"/>
      <c r="S8" s="484"/>
      <c r="T8" s="484"/>
      <c r="U8" s="484"/>
      <c r="V8" s="484"/>
      <c r="W8" s="484"/>
      <c r="X8" s="484"/>
      <c r="Y8" s="484"/>
      <c r="Z8" s="484"/>
      <c r="AA8" s="484"/>
      <c r="AB8" s="484"/>
      <c r="AC8" s="484"/>
      <c r="AD8" s="484"/>
      <c r="AE8" s="484"/>
      <c r="AF8" s="484"/>
      <c r="AG8" s="484"/>
      <c r="AH8" s="484"/>
      <c r="AI8" s="484"/>
      <c r="AJ8" s="484"/>
      <c r="AK8" s="484"/>
      <c r="AL8" s="484"/>
      <c r="AM8" s="484"/>
      <c r="AN8" s="484"/>
      <c r="AO8" s="484"/>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row>
    <row r="9" spans="1:101" ht="15" customHeight="1">
      <c r="C9" s="68"/>
      <c r="D9" s="377"/>
      <c r="E9" s="377"/>
      <c r="F9" s="377"/>
      <c r="G9" s="377"/>
      <c r="H9" s="377"/>
      <c r="I9" s="377"/>
      <c r="J9" s="377"/>
      <c r="K9" s="377"/>
      <c r="L9" s="484"/>
      <c r="M9" s="484"/>
      <c r="N9" s="484"/>
      <c r="O9" s="484"/>
      <c r="P9" s="484"/>
      <c r="Q9" s="484"/>
      <c r="R9" s="484"/>
      <c r="S9" s="484"/>
      <c r="T9" s="484"/>
      <c r="U9" s="484"/>
      <c r="V9" s="484"/>
      <c r="W9" s="484"/>
      <c r="X9" s="484"/>
      <c r="Y9" s="484"/>
      <c r="Z9" s="484"/>
      <c r="AA9" s="484"/>
      <c r="AB9" s="484"/>
      <c r="AC9" s="484"/>
      <c r="AD9" s="484"/>
      <c r="AE9" s="484"/>
      <c r="AF9" s="484"/>
      <c r="AG9" s="484"/>
      <c r="AH9" s="484"/>
      <c r="AI9" s="484"/>
      <c r="AJ9" s="484"/>
      <c r="AK9" s="484"/>
      <c r="AL9" s="484"/>
      <c r="AM9" s="484"/>
      <c r="AN9" s="484"/>
      <c r="AO9" s="484"/>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row>
    <row r="10" spans="1:101" ht="15" thickBot="1">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row>
    <row r="11" spans="1:101" ht="15" customHeight="1">
      <c r="C11" s="68"/>
      <c r="D11" s="446" t="s">
        <v>330</v>
      </c>
      <c r="E11" s="446"/>
      <c r="F11" s="447"/>
      <c r="G11" s="414" t="s">
        <v>331</v>
      </c>
      <c r="H11" s="416"/>
      <c r="I11" s="416"/>
      <c r="J11" s="416"/>
      <c r="K11" s="416"/>
      <c r="L11" s="411"/>
      <c r="M11" s="412"/>
      <c r="N11" s="412" t="str">
        <f>IF(AND('Mapa final'!$K$15="Muy Alta",'Mapa final'!$O$15="Leve"),CONCATENATE("R",'Mapa final'!$A$16),"")</f>
        <v/>
      </c>
      <c r="O11" s="412"/>
      <c r="P11" s="412" t="str">
        <f>IF(AND('Mapa final'!$K$17="Muy Alta",'Mapa final'!$O$17="Leve"),CONCATENATE("R",'Mapa final'!$A$17),"")</f>
        <v/>
      </c>
      <c r="Q11" s="413"/>
      <c r="R11" s="411"/>
      <c r="S11" s="412"/>
      <c r="T11" s="412" t="str">
        <f>IF(AND('Mapa final'!$P$15="Muy Alta",'Mapa final'!$S$15="Menor"),CONCATENATE("R",'Mapa final'!$A$16),"")</f>
        <v/>
      </c>
      <c r="U11" s="412"/>
      <c r="V11" s="412" t="str">
        <f>IF(AND('Mapa final'!$P$17="Muy Alta",'Mapa final'!$S$17="Menor"),CONCATENATE("R",'Mapa final'!$A$17),"")</f>
        <v/>
      </c>
      <c r="W11" s="412"/>
      <c r="X11" s="411"/>
      <c r="Y11" s="412"/>
      <c r="Z11" s="412" t="str">
        <f>IF(AND('Mapa final'!P$15="Muy Alta",'Mapa final'!$S$15="Moderado"),CONCATENATE("R",'Mapa final'!$A$16),"")</f>
        <v/>
      </c>
      <c r="AA11" s="412"/>
      <c r="AB11" s="412" t="str">
        <f>IF(AND('Mapa final'!$P$17="Muy Alta",'Mapa final'!$S$17="Moderado"),CONCATENATE("R",'Mapa final'!$A$17),"")</f>
        <v/>
      </c>
      <c r="AC11" s="412"/>
      <c r="AD11" s="411"/>
      <c r="AE11" s="412"/>
      <c r="AF11" s="412" t="str">
        <f>IF(AND('Mapa final'!$P$15="Muy Alta",'Mapa final'!$S$15="Mayor"),CONCATENATE("R",'Mapa final'!$A$16),"")</f>
        <v/>
      </c>
      <c r="AG11" s="412"/>
      <c r="AH11" s="412" t="str">
        <f>IF(AND('Mapa final'!$P$17="Muy Alta",'Mapa final'!$S$17="Mayor"),CONCATENATE("R",'Mapa final'!$A$17),"")</f>
        <v/>
      </c>
      <c r="AI11" s="412"/>
      <c r="AJ11" s="402"/>
      <c r="AK11" s="403"/>
      <c r="AL11" s="403" t="str">
        <f>IF(AND('Mapa final'!$P$15="Muy Alta",'Mapa final'!$S$15="Catastrófico"),CONCATENATE("R",'Mapa final'!$A$16),"")</f>
        <v/>
      </c>
      <c r="AM11" s="403"/>
      <c r="AN11" s="403" t="str">
        <f>IF(AND('Mapa final'!$P$17="Muy Alta",'Mapa final'!$S$17="Catastrófico"),CONCATENATE("R",'Mapa final'!$A$17),"")</f>
        <v/>
      </c>
      <c r="AO11" s="404"/>
      <c r="AQ11" s="448" t="s">
        <v>332</v>
      </c>
      <c r="AR11" s="449"/>
      <c r="AS11" s="449"/>
      <c r="AT11" s="449"/>
      <c r="AU11" s="449"/>
      <c r="AV11" s="450"/>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row>
    <row r="12" spans="1:101" ht="15" customHeight="1">
      <c r="C12" s="68"/>
      <c r="D12" s="446"/>
      <c r="E12" s="446"/>
      <c r="F12" s="447"/>
      <c r="G12" s="418"/>
      <c r="H12" s="419"/>
      <c r="I12" s="419"/>
      <c r="J12" s="419"/>
      <c r="K12" s="419"/>
      <c r="L12" s="405"/>
      <c r="M12" s="406"/>
      <c r="N12" s="406"/>
      <c r="O12" s="406"/>
      <c r="P12" s="406"/>
      <c r="Q12" s="407"/>
      <c r="R12" s="405"/>
      <c r="S12" s="406"/>
      <c r="T12" s="406"/>
      <c r="U12" s="406"/>
      <c r="V12" s="406"/>
      <c r="W12" s="406"/>
      <c r="X12" s="405"/>
      <c r="Y12" s="406"/>
      <c r="Z12" s="406"/>
      <c r="AA12" s="406"/>
      <c r="AB12" s="406"/>
      <c r="AC12" s="406"/>
      <c r="AD12" s="405"/>
      <c r="AE12" s="406"/>
      <c r="AF12" s="406"/>
      <c r="AG12" s="406"/>
      <c r="AH12" s="406"/>
      <c r="AI12" s="406"/>
      <c r="AJ12" s="396"/>
      <c r="AK12" s="397"/>
      <c r="AL12" s="397"/>
      <c r="AM12" s="397"/>
      <c r="AN12" s="397"/>
      <c r="AO12" s="398"/>
      <c r="AP12" s="68"/>
      <c r="AQ12" s="451"/>
      <c r="AR12" s="452"/>
      <c r="AS12" s="452"/>
      <c r="AT12" s="452"/>
      <c r="AU12" s="452"/>
      <c r="AV12" s="453"/>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row>
    <row r="13" spans="1:101" ht="15" customHeight="1">
      <c r="C13" s="68"/>
      <c r="D13" s="446"/>
      <c r="E13" s="446"/>
      <c r="F13" s="447"/>
      <c r="G13" s="418"/>
      <c r="H13" s="419"/>
      <c r="I13" s="419"/>
      <c r="J13" s="419"/>
      <c r="K13" s="419"/>
      <c r="L13" s="405" t="str">
        <f>IF(AND('Mapa final'!$P$20="Muy Alta",'Mapa final'!$S$20="Leve"),CONCATENATE("R",'Mapa final'!$A$20),"")</f>
        <v/>
      </c>
      <c r="M13" s="406"/>
      <c r="N13" s="406" t="str">
        <f>IF(AND('Mapa final'!$K$21="Muy Alta",'Mapa final'!$O$21="Leve"),CONCATENATE("R",'Mapa final'!$A$21),"")</f>
        <v/>
      </c>
      <c r="O13" s="406"/>
      <c r="P13" s="406" t="str">
        <f>IF(AND('Mapa final'!$K$22="Muy Alta",'Mapa final'!$O$22="Leve"),CONCATENATE("R",'Mapa final'!$A$22),"")</f>
        <v/>
      </c>
      <c r="Q13" s="407"/>
      <c r="R13" s="405" t="str">
        <f>IF(AND('Mapa final'!$P$20="Muy Alta",'Mapa final'!$S$20="Menor"),CONCATENATE("R",'Mapa final'!$A$20),"")</f>
        <v/>
      </c>
      <c r="S13" s="406"/>
      <c r="T13" s="406" t="str">
        <f>IF(AND('Mapa final'!$P$21="Muy Alta",'Mapa final'!$S$21="Menor"),CONCATENATE("R",'Mapa final'!$A$21),"")</f>
        <v/>
      </c>
      <c r="U13" s="406"/>
      <c r="V13" s="406" t="str">
        <f>IF(AND('Mapa final'!$P$22="Muy Alta",'Mapa final'!$S$22="Menor"),CONCATENATE("R",'Mapa final'!$A$22),"")</f>
        <v/>
      </c>
      <c r="W13" s="406"/>
      <c r="X13" s="405" t="str">
        <f>IF(AND('Mapa final'!$P$20="Muy Alta",'Mapa final'!$S$20="Moderado"),CONCATENATE("R",'Mapa final'!$A$20),"")</f>
        <v/>
      </c>
      <c r="Y13" s="406"/>
      <c r="Z13" s="406" t="str">
        <f>IF(AND('Mapa final'!$P$21="Muy Alta",'Mapa final'!$S$21="Moderado"),CONCATENATE("R",'Mapa final'!$A$21),"")</f>
        <v/>
      </c>
      <c r="AA13" s="406"/>
      <c r="AB13" s="406" t="str">
        <f>IF(AND('Mapa final'!$P$22="Muy Alta",'Mapa final'!$S$22="Moderado"),CONCATENATE("R",'Mapa final'!$A$22),"")</f>
        <v/>
      </c>
      <c r="AC13" s="406"/>
      <c r="AD13" s="405" t="str">
        <f>IF(AND('Mapa final'!$P$20="Muy Alta",'Mapa final'!$S$20="Mayor"),CONCATENATE("R",'Mapa final'!$A$20),"")</f>
        <v/>
      </c>
      <c r="AE13" s="406"/>
      <c r="AF13" s="406" t="str">
        <f>IF(AND('Mapa final'!$P$21="Muy Alta",'Mapa final'!$S$21="Mayor"),CONCATENATE("R",'Mapa final'!$A$21),"")</f>
        <v/>
      </c>
      <c r="AG13" s="406"/>
      <c r="AH13" s="406" t="str">
        <f>IF(AND('Mapa final'!$P$22="Muy Alta",'Mapa final'!$S$22="Mayor"),CONCATENATE("R",'Mapa final'!$A$22),"")</f>
        <v/>
      </c>
      <c r="AI13" s="406"/>
      <c r="AJ13" s="396" t="str">
        <f>IF(AND('Mapa final'!$P$20="Muy Alta",'Mapa final'!$S$20="Catastrófico"),CONCATENATE("R",'Mapa final'!$A$20),"")</f>
        <v/>
      </c>
      <c r="AK13" s="397"/>
      <c r="AL13" s="397" t="str">
        <f>IF(AND('Mapa final'!$P$21="Muy Alta",'Mapa final'!$S$21="Catastrófico"),CONCATENATE("R",'Mapa final'!$A$21),"")</f>
        <v/>
      </c>
      <c r="AM13" s="397"/>
      <c r="AN13" s="397" t="str">
        <f>IF(AND('Mapa final'!$P$22="Muy Alta",'Mapa final'!$K$22="Catastrófico"),CONCATENATE("R",'Mapa final'!$A$22),"")</f>
        <v/>
      </c>
      <c r="AO13" s="398"/>
      <c r="AP13" s="68"/>
      <c r="AQ13" s="451"/>
      <c r="AR13" s="452"/>
      <c r="AS13" s="452"/>
      <c r="AT13" s="452"/>
      <c r="AU13" s="452"/>
      <c r="AV13" s="453"/>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row>
    <row r="14" spans="1:101" ht="15" customHeight="1">
      <c r="C14" s="68"/>
      <c r="D14" s="446"/>
      <c r="E14" s="446"/>
      <c r="F14" s="447"/>
      <c r="G14" s="418"/>
      <c r="H14" s="419"/>
      <c r="I14" s="419"/>
      <c r="J14" s="419"/>
      <c r="K14" s="419"/>
      <c r="L14" s="405"/>
      <c r="M14" s="406"/>
      <c r="N14" s="406"/>
      <c r="O14" s="406"/>
      <c r="P14" s="406"/>
      <c r="Q14" s="407"/>
      <c r="R14" s="405"/>
      <c r="S14" s="406"/>
      <c r="T14" s="406"/>
      <c r="U14" s="406"/>
      <c r="V14" s="406"/>
      <c r="W14" s="406"/>
      <c r="X14" s="405"/>
      <c r="Y14" s="406"/>
      <c r="Z14" s="406"/>
      <c r="AA14" s="406"/>
      <c r="AB14" s="406"/>
      <c r="AC14" s="406"/>
      <c r="AD14" s="405"/>
      <c r="AE14" s="406"/>
      <c r="AF14" s="406"/>
      <c r="AG14" s="406"/>
      <c r="AH14" s="406"/>
      <c r="AI14" s="406"/>
      <c r="AJ14" s="396"/>
      <c r="AK14" s="397"/>
      <c r="AL14" s="397"/>
      <c r="AM14" s="397"/>
      <c r="AN14" s="397"/>
      <c r="AO14" s="398"/>
      <c r="AP14" s="68"/>
      <c r="AQ14" s="451"/>
      <c r="AR14" s="452"/>
      <c r="AS14" s="452"/>
      <c r="AT14" s="452"/>
      <c r="AU14" s="452"/>
      <c r="AV14" s="453"/>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row>
    <row r="15" spans="1:101" ht="15" customHeight="1">
      <c r="C15" s="68"/>
      <c r="D15" s="446"/>
      <c r="E15" s="446"/>
      <c r="F15" s="447"/>
      <c r="G15" s="418"/>
      <c r="H15" s="419"/>
      <c r="I15" s="419"/>
      <c r="J15" s="419"/>
      <c r="K15" s="419"/>
      <c r="L15" s="405" t="str">
        <f>IF(AND('Mapa final'!$P$23="Muy Alta",'Mapa final'!$S$23="Leve"),CONCATENATE("R",'Mapa final'!$A$23),"")</f>
        <v/>
      </c>
      <c r="M15" s="406"/>
      <c r="N15" s="406" t="str">
        <f>IF(AND('Mapa final'!$K$24="Muy Alta",'Mapa final'!$O$24="Leve"),CONCATENATE("R",'Mapa final'!$A$24),"")</f>
        <v/>
      </c>
      <c r="O15" s="406"/>
      <c r="P15" s="406" t="str">
        <f>IF(AND('Mapa final'!$K$33="Muy Alta",'Mapa final'!$O$33="Leve"),CONCATENATE("R",'Mapa final'!$A$33),"")</f>
        <v/>
      </c>
      <c r="Q15" s="407"/>
      <c r="R15" s="405" t="str">
        <f>IF(AND('Mapa final'!$P$23="Muy Alta",'Mapa final'!$S$23="Menor"),CONCATENATE("R",'Mapa final'!$A$23),"")</f>
        <v/>
      </c>
      <c r="S15" s="406"/>
      <c r="T15" s="406" t="str">
        <f>IF(AND('Mapa final'!$LT$24="Muy Alta",'Mapa final'!$S$24="Menor"),CONCATENATE("R",'Mapa final'!$A$24),"")</f>
        <v/>
      </c>
      <c r="U15" s="406"/>
      <c r="V15" s="406" t="str">
        <f>IF(AND('Mapa final'!$P$33="Muy Alta",'Mapa final'!$S$33="Menor"),CONCATENATE("R",'Mapa final'!$A$33),"")</f>
        <v/>
      </c>
      <c r="W15" s="406"/>
      <c r="X15" s="405" t="str">
        <f>IF(AND('Mapa final'!$P$23="Muy Alta",'Mapa final'!$S$23="Moderado"),CONCATENATE("R",'Mapa final'!$A$23),"")</f>
        <v/>
      </c>
      <c r="Y15" s="406"/>
      <c r="Z15" s="406" t="str">
        <f>IF(AND('Mapa final'!$P$24="Muy Alta",'Mapa final'!$S$24="Moderado"),CONCATENATE("R",'Mapa final'!$A$24),"")</f>
        <v/>
      </c>
      <c r="AA15" s="406"/>
      <c r="AB15" s="406" t="str">
        <f>IF(AND('Mapa final'!$P$33="Muy Alta",'Mapa final'!$S$33="Moderado"),CONCATENATE("R",'Mapa final'!$A$33),"")</f>
        <v/>
      </c>
      <c r="AC15" s="406"/>
      <c r="AD15" s="405" t="str">
        <f>IF(AND('Mapa final'!$P$23="Muy Alta",'Mapa final'!$S$23="Mayor"),CONCATENATE("R",'Mapa final'!$A$23),"")</f>
        <v/>
      </c>
      <c r="AE15" s="406"/>
      <c r="AF15" s="406" t="str">
        <f>IF(AND('Mapa final'!$P$24="Muy Alta",'Mapa final'!$S$24="Mayor"),CONCATENATE("R",'Mapa final'!$A$24),"")</f>
        <v/>
      </c>
      <c r="AG15" s="406"/>
      <c r="AH15" s="406" t="str">
        <f>IF(AND('Mapa final'!$P$33="Muy Alta",'Mapa final'!$S$33="Mayor"),CONCATENATE("R",'Mapa final'!$A$33),"")</f>
        <v/>
      </c>
      <c r="AI15" s="406"/>
      <c r="AJ15" s="396" t="str">
        <f>IF(AND('Mapa final'!$P$23="Muy Alta",'Mapa final'!$S$23="Catastrófico"),CONCATENATE("R",'Mapa final'!$A$23),"")</f>
        <v/>
      </c>
      <c r="AK15" s="397"/>
      <c r="AL15" s="397" t="str">
        <f>IF(AND('Mapa final'!$P$24="Muy Alta",'Mapa final'!$S$24="Catastrófico"),CONCATENATE("R",'Mapa final'!$A$24),"")</f>
        <v/>
      </c>
      <c r="AM15" s="397"/>
      <c r="AN15" s="397" t="str">
        <f>IF(AND('Mapa final'!$P$33="Muy Alta",'Mapa final'!$S$33="Catastrófico"),CONCATENATE("R",'Mapa final'!$A$33),"")</f>
        <v/>
      </c>
      <c r="AO15" s="398"/>
      <c r="AP15" s="68"/>
      <c r="AQ15" s="451"/>
      <c r="AR15" s="452"/>
      <c r="AS15" s="452"/>
      <c r="AT15" s="452"/>
      <c r="AU15" s="452"/>
      <c r="AV15" s="453"/>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row>
    <row r="16" spans="1:101" ht="15" customHeight="1">
      <c r="C16" s="68"/>
      <c r="D16" s="446"/>
      <c r="E16" s="446"/>
      <c r="F16" s="447"/>
      <c r="G16" s="418"/>
      <c r="H16" s="419"/>
      <c r="I16" s="419"/>
      <c r="J16" s="419"/>
      <c r="K16" s="419"/>
      <c r="L16" s="405"/>
      <c r="M16" s="406"/>
      <c r="N16" s="406"/>
      <c r="O16" s="406"/>
      <c r="P16" s="406"/>
      <c r="Q16" s="407"/>
      <c r="R16" s="405"/>
      <c r="S16" s="406"/>
      <c r="T16" s="406"/>
      <c r="U16" s="406"/>
      <c r="V16" s="406"/>
      <c r="W16" s="406"/>
      <c r="X16" s="405"/>
      <c r="Y16" s="406"/>
      <c r="Z16" s="406"/>
      <c r="AA16" s="406"/>
      <c r="AB16" s="406"/>
      <c r="AC16" s="406"/>
      <c r="AD16" s="405"/>
      <c r="AE16" s="406"/>
      <c r="AF16" s="406"/>
      <c r="AG16" s="406"/>
      <c r="AH16" s="406"/>
      <c r="AI16" s="406"/>
      <c r="AJ16" s="396"/>
      <c r="AK16" s="397"/>
      <c r="AL16" s="397"/>
      <c r="AM16" s="397"/>
      <c r="AN16" s="397"/>
      <c r="AO16" s="398"/>
      <c r="AP16" s="68"/>
      <c r="AQ16" s="451"/>
      <c r="AR16" s="452"/>
      <c r="AS16" s="452"/>
      <c r="AT16" s="452"/>
      <c r="AU16" s="452"/>
      <c r="AV16" s="453"/>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row>
    <row r="17" spans="3:82" ht="15" customHeight="1">
      <c r="C17" s="68"/>
      <c r="D17" s="446"/>
      <c r="E17" s="446"/>
      <c r="F17" s="447"/>
      <c r="G17" s="418"/>
      <c r="H17" s="419"/>
      <c r="I17" s="419"/>
      <c r="J17" s="419"/>
      <c r="K17" s="419"/>
      <c r="L17" s="405" t="str">
        <f>IF(AND('Mapa final'!$P$34="Muy Alta",'Mapa final'!$S$34="Leve"),CONCATENATE("R",'Mapa final'!$A$34),"")</f>
        <v/>
      </c>
      <c r="M17" s="406"/>
      <c r="N17" s="406" t="str">
        <f>IF(AND('Mapa final'!$K$35="Muy Alta",'Mapa final'!$O$35="Leve"),CONCATENATE("R",'Mapa final'!$A$35),"")</f>
        <v/>
      </c>
      <c r="O17" s="406"/>
      <c r="P17" s="406" t="str">
        <f>IF(AND('Mapa final'!$K$36="Muy Alta",'Mapa final'!$O$36="Leve"),CONCATENATE("R",'Mapa final'!$A$36),"")</f>
        <v/>
      </c>
      <c r="Q17" s="407"/>
      <c r="R17" s="405" t="str">
        <f>IF(AND('Mapa final'!$P$34="Muy Alta",'Mapa final'!$S$34="Menor"),CONCATENATE("R",'Mapa final'!$A$34),"")</f>
        <v/>
      </c>
      <c r="S17" s="406"/>
      <c r="T17" s="406" t="str">
        <f>IF(AND('Mapa final'!$P$35="Muy Alta",'Mapa final'!$S$35="Menor"),CONCATENATE("R",'Mapa final'!$A$35),"")</f>
        <v/>
      </c>
      <c r="U17" s="406"/>
      <c r="V17" s="406" t="str">
        <f>IF(AND('Mapa final'!$P$36="Muy Alta",'Mapa final'!$S$36="Menor"),CONCATENATE("R",'Mapa final'!$A$36),"")</f>
        <v/>
      </c>
      <c r="W17" s="406"/>
      <c r="X17" s="405" t="str">
        <f>IF(AND('Mapa final'!$P$34="Muy Alta",'Mapa final'!$S$34="Moderado"),CONCATENATE("R",'Mapa final'!$A$34),"")</f>
        <v/>
      </c>
      <c r="Y17" s="406"/>
      <c r="Z17" s="406" t="str">
        <f>IF(AND('Mapa final'!$P$35="Muy Alta",'Mapa final'!$S$35="Moderado"),CONCATENATE("R",'Mapa final'!$A$35),"")</f>
        <v/>
      </c>
      <c r="AA17" s="406"/>
      <c r="AB17" s="406" t="str">
        <f>IF(AND('Mapa final'!$P$36="Muy Alta",'Mapa final'!$S$36="Moderado"),CONCATENATE("R",'Mapa final'!$A$36),"")</f>
        <v/>
      </c>
      <c r="AC17" s="406"/>
      <c r="AD17" s="405" t="str">
        <f>IF(AND('Mapa final'!$P$34="Muy Alta",'Mapa final'!$S$34="Mayor"),CONCATENATE("R",'Mapa final'!$A$34),"")</f>
        <v/>
      </c>
      <c r="AE17" s="406"/>
      <c r="AF17" s="406" t="str">
        <f>IF(AND('Mapa final'!$P$35="Muy Alta",'Mapa final'!$S$35="Mayor"),CONCATENATE("R",'Mapa final'!$A$35),"")</f>
        <v/>
      </c>
      <c r="AG17" s="406"/>
      <c r="AH17" s="406" t="str">
        <f>IF(AND('Mapa final'!$P$36="Muy Alta",'Mapa final'!$S$36="Mayor"),CONCATENATE("R",'Mapa final'!$A$36),"")</f>
        <v/>
      </c>
      <c r="AI17" s="406"/>
      <c r="AJ17" s="396" t="str">
        <f>IF(AND('Mapa final'!$P$34="Muy Alta",'Mapa final'!$S$34="Catastrófico"),CONCATENATE("R",'Mapa final'!$A$34),"")</f>
        <v/>
      </c>
      <c r="AK17" s="397"/>
      <c r="AL17" s="397" t="str">
        <f>IF(AND('Mapa final'!$P$35="Muy Alta",'Mapa final'!$S$35="Catastrófico"),CONCATENATE("R",'Mapa final'!$A$35),"")</f>
        <v/>
      </c>
      <c r="AM17" s="397"/>
      <c r="AN17" s="397" t="str">
        <f>IF(AND('Mapa final'!$P$36="Muy Alta",'Mapa final'!$S$36="Catastrófico"),CONCATENATE("R",'Mapa final'!$A$36),"")</f>
        <v/>
      </c>
      <c r="AO17" s="398"/>
      <c r="AP17" s="68"/>
      <c r="AQ17" s="451"/>
      <c r="AR17" s="452"/>
      <c r="AS17" s="452"/>
      <c r="AT17" s="452"/>
      <c r="AU17" s="452"/>
      <c r="AV17" s="453"/>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row>
    <row r="18" spans="3:82" ht="15.75" customHeight="1" thickBot="1">
      <c r="C18" s="68"/>
      <c r="D18" s="446"/>
      <c r="E18" s="446"/>
      <c r="F18" s="447"/>
      <c r="G18" s="421"/>
      <c r="H18" s="422"/>
      <c r="I18" s="422"/>
      <c r="J18" s="422"/>
      <c r="K18" s="422"/>
      <c r="L18" s="408"/>
      <c r="M18" s="409"/>
      <c r="N18" s="409"/>
      <c r="O18" s="409"/>
      <c r="P18" s="409"/>
      <c r="Q18" s="410"/>
      <c r="R18" s="408"/>
      <c r="S18" s="409"/>
      <c r="T18" s="409"/>
      <c r="U18" s="409"/>
      <c r="V18" s="409"/>
      <c r="W18" s="409"/>
      <c r="X18" s="405"/>
      <c r="Y18" s="406"/>
      <c r="Z18" s="406"/>
      <c r="AA18" s="406"/>
      <c r="AB18" s="406"/>
      <c r="AC18" s="406"/>
      <c r="AD18" s="405"/>
      <c r="AE18" s="406"/>
      <c r="AF18" s="406"/>
      <c r="AG18" s="406"/>
      <c r="AH18" s="406"/>
      <c r="AI18" s="406"/>
      <c r="AJ18" s="396"/>
      <c r="AK18" s="397"/>
      <c r="AL18" s="397"/>
      <c r="AM18" s="397"/>
      <c r="AN18" s="397"/>
      <c r="AO18" s="398"/>
      <c r="AP18" s="68"/>
      <c r="AQ18" s="454"/>
      <c r="AR18" s="455"/>
      <c r="AS18" s="455"/>
      <c r="AT18" s="455"/>
      <c r="AU18" s="455"/>
      <c r="AV18" s="456"/>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row>
    <row r="19" spans="3:82" ht="15" customHeight="1">
      <c r="C19" s="68"/>
      <c r="D19" s="446"/>
      <c r="E19" s="446"/>
      <c r="F19" s="447"/>
      <c r="G19" s="414" t="s">
        <v>333</v>
      </c>
      <c r="H19" s="416"/>
      <c r="I19" s="416"/>
      <c r="J19" s="416"/>
      <c r="K19" s="416"/>
      <c r="L19" s="393"/>
      <c r="M19" s="394"/>
      <c r="N19" s="394" t="str">
        <f>IF(AND('Mapa final'!$K$15="Alta",'Mapa final'!$O$15="Leve"),CONCATENATE("R",'Mapa final'!$A$16),"")</f>
        <v/>
      </c>
      <c r="O19" s="394"/>
      <c r="P19" s="394" t="str">
        <f>IF(AND('Mapa final'!$K$17="Alta",'Mapa final'!$O$17="Leve"),CONCATENATE("R",'Mapa final'!$A$17),"")</f>
        <v/>
      </c>
      <c r="Q19" s="395"/>
      <c r="R19" s="393"/>
      <c r="S19" s="394"/>
      <c r="T19" s="388" t="str">
        <f>IF(AND('Mapa final'!$P$15="Alta",'Mapa final'!$S$15="Menor"),CONCATENATE("R",'Mapa final'!$A$16),"")</f>
        <v/>
      </c>
      <c r="U19" s="388"/>
      <c r="V19" s="388" t="str">
        <f>IF(AND('Mapa final'!$P$17="Alta",'Mapa final'!$S$17="Menor"),CONCATENATE("R",'Mapa final'!$A$17),"")</f>
        <v/>
      </c>
      <c r="W19" s="388"/>
      <c r="X19" s="411"/>
      <c r="Y19" s="412"/>
      <c r="Z19" s="412" t="str">
        <f>IF(AND('Mapa final'!P$15="Alta",'Mapa final'!$S$15="Moderado"),CONCATENATE("R",'Mapa final'!$A$16),"")</f>
        <v>R</v>
      </c>
      <c r="AA19" s="412"/>
      <c r="AB19" s="412" t="str">
        <f>IF(AND('Mapa final'!$P$17="Alta",'Mapa final'!$S$17="Moderado"),CONCATENATE("R",'Mapa final'!$A$17),"")</f>
        <v>R</v>
      </c>
      <c r="AC19" s="412"/>
      <c r="AD19" s="411"/>
      <c r="AE19" s="412"/>
      <c r="AF19" s="412" t="str">
        <f>IF(AND('Mapa final'!$P$15="Alta",'Mapa final'!$S$15="Mayor"),CONCATENATE("R",'Mapa final'!$A$16),"")</f>
        <v/>
      </c>
      <c r="AG19" s="412"/>
      <c r="AH19" s="412" t="str">
        <f>IF(AND('Mapa final'!$P$17="Alta",'Mapa final'!$S$17="Mayor"),CONCATENATE("R",'Mapa final'!$A$17),"")</f>
        <v/>
      </c>
      <c r="AI19" s="412"/>
      <c r="AJ19" s="402"/>
      <c r="AK19" s="403"/>
      <c r="AL19" s="403" t="str">
        <f>IF(AND('Mapa final'!$P$15="Alta",'Mapa final'!$S$15="Catastrófico"),CONCATENATE("R",'Mapa final'!$A$16),"")</f>
        <v/>
      </c>
      <c r="AM19" s="403"/>
      <c r="AN19" s="403" t="str">
        <f>IF(AND('Mapa final'!$P$17="Alta",'Mapa final'!$S$17="Catastrófico"),CONCATENATE("R",'Mapa final'!$A$17),"")</f>
        <v/>
      </c>
      <c r="AO19" s="404"/>
      <c r="AP19" s="68"/>
      <c r="AQ19" s="457" t="s">
        <v>334</v>
      </c>
      <c r="AR19" s="458"/>
      <c r="AS19" s="458"/>
      <c r="AT19" s="458"/>
      <c r="AU19" s="458"/>
      <c r="AV19" s="459"/>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row>
    <row r="20" spans="3:82" ht="15" customHeight="1">
      <c r="C20" s="68"/>
      <c r="D20" s="446"/>
      <c r="E20" s="446"/>
      <c r="F20" s="447"/>
      <c r="G20" s="418"/>
      <c r="H20" s="419"/>
      <c r="I20" s="419"/>
      <c r="J20" s="419"/>
      <c r="K20" s="419"/>
      <c r="L20" s="387"/>
      <c r="M20" s="388"/>
      <c r="N20" s="388"/>
      <c r="O20" s="388"/>
      <c r="P20" s="388"/>
      <c r="Q20" s="389"/>
      <c r="R20" s="387"/>
      <c r="S20" s="388"/>
      <c r="T20" s="388"/>
      <c r="U20" s="388"/>
      <c r="V20" s="388"/>
      <c r="W20" s="388"/>
      <c r="X20" s="405"/>
      <c r="Y20" s="406"/>
      <c r="Z20" s="406"/>
      <c r="AA20" s="406"/>
      <c r="AB20" s="406"/>
      <c r="AC20" s="406"/>
      <c r="AD20" s="405"/>
      <c r="AE20" s="406"/>
      <c r="AF20" s="406"/>
      <c r="AG20" s="406"/>
      <c r="AH20" s="406"/>
      <c r="AI20" s="406"/>
      <c r="AJ20" s="396"/>
      <c r="AK20" s="397"/>
      <c r="AL20" s="397"/>
      <c r="AM20" s="397"/>
      <c r="AN20" s="397"/>
      <c r="AO20" s="398"/>
      <c r="AP20" s="68"/>
      <c r="AQ20" s="460"/>
      <c r="AR20" s="461"/>
      <c r="AS20" s="461"/>
      <c r="AT20" s="461"/>
      <c r="AU20" s="461"/>
      <c r="AV20" s="462"/>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row>
    <row r="21" spans="3:82" ht="15" customHeight="1">
      <c r="C21" s="68"/>
      <c r="D21" s="446"/>
      <c r="E21" s="446"/>
      <c r="F21" s="447"/>
      <c r="G21" s="418"/>
      <c r="H21" s="419"/>
      <c r="I21" s="419"/>
      <c r="J21" s="419"/>
      <c r="K21" s="419"/>
      <c r="L21" s="387" t="str">
        <f>IF(AND('Mapa final'!$P$20="Alta",'Mapa final'!$S$20="Leve"),CONCATENATE("R",'Mapa final'!$A$20),"")</f>
        <v/>
      </c>
      <c r="M21" s="388"/>
      <c r="N21" s="388" t="str">
        <f>IF(AND('Mapa final'!$K$21="Alta",'Mapa final'!$O$21="Leve"),CONCATENATE("R",'Mapa final'!$A$21),"")</f>
        <v/>
      </c>
      <c r="O21" s="388"/>
      <c r="P21" s="388" t="str">
        <f>IF(AND('Mapa final'!$K$22="Alta",'Mapa final'!$O$22="Leve"),CONCATENATE("R",'Mapa final'!$A$22),"")</f>
        <v/>
      </c>
      <c r="Q21" s="389"/>
      <c r="R21" s="387" t="str">
        <f>IF(AND('Mapa final'!$P$20="Alta",'Mapa final'!$S$20="Menor"),CONCATENATE("R",'Mapa final'!$A$20),"")</f>
        <v/>
      </c>
      <c r="S21" s="388"/>
      <c r="T21" s="388" t="str">
        <f>IF(AND('Mapa final'!$P$21="Alta",'Mapa final'!$S$21="Menor"),CONCATENATE("R",'Mapa final'!$A$21),"")</f>
        <v/>
      </c>
      <c r="U21" s="388"/>
      <c r="V21" s="388" t="str">
        <f>IF(AND('Mapa final'!$P$22="Alta",'Mapa final'!$S$22="Menor"),CONCATENATE("R",'Mapa final'!$A$22),"")</f>
        <v/>
      </c>
      <c r="W21" s="388"/>
      <c r="X21" s="405" t="str">
        <f>IF(AND('Mapa final'!$P$20="Alta",'Mapa final'!$S$20="Moderado"),CONCATENATE("R",'Mapa final'!$A$20),"")</f>
        <v/>
      </c>
      <c r="Y21" s="406"/>
      <c r="Z21" s="406" t="str">
        <f>IF(AND('Mapa final'!$P$21="Alta",'Mapa final'!$S$21="Moderado"),CONCATENATE("R",'Mapa final'!$A$21),"")</f>
        <v>R</v>
      </c>
      <c r="AA21" s="406"/>
      <c r="AB21" s="406" t="str">
        <f>IF(AND('Mapa final'!$P$22="Alta",'Mapa final'!$S$22="Moderado"),CONCATENATE("R",'Mapa final'!$A$22),"")</f>
        <v/>
      </c>
      <c r="AC21" s="406"/>
      <c r="AD21" s="405" t="str">
        <f>IF(AND('Mapa final'!$P$20="Alta",'Mapa final'!$S$20="Mayor"),CONCATENATE("R",'Mapa final'!$A$20),"")</f>
        <v/>
      </c>
      <c r="AE21" s="406"/>
      <c r="AF21" s="406" t="str">
        <f>IF(AND('Mapa final'!$P$21="Alta",'Mapa final'!$S$21="Mayor"),CONCATENATE("R",'Mapa final'!$A$21),"")</f>
        <v/>
      </c>
      <c r="AG21" s="406"/>
      <c r="AH21" s="406" t="str">
        <f>IF(AND('Mapa final'!$P$22="Alta",'Mapa final'!$S$22="Mayor"),CONCATENATE("R",'Mapa final'!$A$22),"")</f>
        <v/>
      </c>
      <c r="AI21" s="406"/>
      <c r="AJ21" s="396" t="str">
        <f>IF(AND('Mapa final'!$P$20="Alta",'Mapa final'!$S$20="Catastrófico"),CONCATENATE("R",'Mapa final'!$A$20),"")</f>
        <v/>
      </c>
      <c r="AK21" s="397"/>
      <c r="AL21" s="397" t="str">
        <f>IF(AND('Mapa final'!$P$21="Alta",'Mapa final'!$S$21="Catastrófico"),CONCATENATE("R",'Mapa final'!$A$21),"")</f>
        <v/>
      </c>
      <c r="AM21" s="397"/>
      <c r="AN21" s="397" t="str">
        <f>IF(AND('Mapa final'!$P$22="Alta",'Mapa final'!$K$22="Catastrófico"),CONCATENATE("R",'Mapa final'!$A$22),"")</f>
        <v/>
      </c>
      <c r="AO21" s="398"/>
      <c r="AP21" s="68"/>
      <c r="AQ21" s="460"/>
      <c r="AR21" s="461"/>
      <c r="AS21" s="461"/>
      <c r="AT21" s="461"/>
      <c r="AU21" s="461"/>
      <c r="AV21" s="462"/>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row>
    <row r="22" spans="3:82" ht="15" customHeight="1">
      <c r="C22" s="68"/>
      <c r="D22" s="446"/>
      <c r="E22" s="446"/>
      <c r="F22" s="447"/>
      <c r="G22" s="418"/>
      <c r="H22" s="419"/>
      <c r="I22" s="419"/>
      <c r="J22" s="419"/>
      <c r="K22" s="419"/>
      <c r="L22" s="387"/>
      <c r="M22" s="388"/>
      <c r="N22" s="388"/>
      <c r="O22" s="388"/>
      <c r="P22" s="388"/>
      <c r="Q22" s="389"/>
      <c r="R22" s="387"/>
      <c r="S22" s="388"/>
      <c r="T22" s="388"/>
      <c r="U22" s="388"/>
      <c r="V22" s="388"/>
      <c r="W22" s="388"/>
      <c r="X22" s="405"/>
      <c r="Y22" s="406"/>
      <c r="Z22" s="406"/>
      <c r="AA22" s="406"/>
      <c r="AB22" s="406"/>
      <c r="AC22" s="406"/>
      <c r="AD22" s="405"/>
      <c r="AE22" s="406"/>
      <c r="AF22" s="406"/>
      <c r="AG22" s="406"/>
      <c r="AH22" s="406"/>
      <c r="AI22" s="406"/>
      <c r="AJ22" s="396"/>
      <c r="AK22" s="397"/>
      <c r="AL22" s="397"/>
      <c r="AM22" s="397"/>
      <c r="AN22" s="397"/>
      <c r="AO22" s="398"/>
      <c r="AP22" s="68"/>
      <c r="AQ22" s="460"/>
      <c r="AR22" s="461"/>
      <c r="AS22" s="461"/>
      <c r="AT22" s="461"/>
      <c r="AU22" s="461"/>
      <c r="AV22" s="462"/>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row>
    <row r="23" spans="3:82" ht="15" customHeight="1">
      <c r="C23" s="68"/>
      <c r="D23" s="446"/>
      <c r="E23" s="446"/>
      <c r="F23" s="447"/>
      <c r="G23" s="418"/>
      <c r="H23" s="419"/>
      <c r="I23" s="419"/>
      <c r="J23" s="419"/>
      <c r="K23" s="419"/>
      <c r="L23" s="387" t="str">
        <f>IF(AND('Mapa final'!$P$23="Alta",'Mapa final'!$S$23="Leve"),CONCATENATE("R",'Mapa final'!$A$23),"")</f>
        <v/>
      </c>
      <c r="M23" s="388"/>
      <c r="N23" s="388" t="str">
        <f>IF(AND('Mapa final'!$K$24="Alta",'Mapa final'!$O$24="Leve"),CONCATENATE("R",'Mapa final'!$A$24),"")</f>
        <v/>
      </c>
      <c r="O23" s="388"/>
      <c r="P23" s="388" t="str">
        <f>IF(AND('Mapa final'!$K$33="Alta",'Mapa final'!$O$33="Leve"),CONCATENATE("R",'Mapa final'!$A$33),"")</f>
        <v/>
      </c>
      <c r="Q23" s="389"/>
      <c r="R23" s="387" t="str">
        <f>IF(AND('Mapa final'!$P$23="Alta",'Mapa final'!$S$23="Menor"),CONCATENATE("R",'Mapa final'!$A$23),"")</f>
        <v/>
      </c>
      <c r="S23" s="388"/>
      <c r="T23" s="388" t="str">
        <f>IF(AND('Mapa final'!$LT$24="Alta",'Mapa final'!$S$24="Menor"),CONCATENATE("R",'Mapa final'!$A$24),"")</f>
        <v/>
      </c>
      <c r="U23" s="388"/>
      <c r="V23" s="388" t="str">
        <f>IF(AND('Mapa final'!$P$33="Alta",'Mapa final'!$S$33="Menor"),CONCATENATE("R",'Mapa final'!$A$33),"")</f>
        <v/>
      </c>
      <c r="W23" s="388"/>
      <c r="X23" s="405" t="str">
        <f>IF(AND('Mapa final'!$P$23="Alta",'Mapa final'!$S$23="Moderado"),CONCATENATE("R",'Mapa final'!$A$23),"")</f>
        <v/>
      </c>
      <c r="Y23" s="406"/>
      <c r="Z23" s="406" t="str">
        <f>IF(AND('Mapa final'!$P$24="Alta",'Mapa final'!$S$24="Moderado"),CONCATENATE("R",'Mapa final'!$A$24),"")</f>
        <v/>
      </c>
      <c r="AA23" s="406"/>
      <c r="AB23" s="406" t="str">
        <f>IF(AND('Mapa final'!$P$33="Alta",'Mapa final'!$S$33="Moderado"),CONCATENATE("R",'Mapa final'!$A$33),"")</f>
        <v/>
      </c>
      <c r="AC23" s="406"/>
      <c r="AD23" s="405" t="str">
        <f>IF(AND('Mapa final'!$P$23="Alta",'Mapa final'!$S$23="Mayor"),CONCATENATE("R",'Mapa final'!$A$23),"")</f>
        <v>R</v>
      </c>
      <c r="AE23" s="406"/>
      <c r="AF23" s="406" t="str">
        <f>IF(AND('Mapa final'!$P$24="Alta",'Mapa final'!$S$24="Mayor"),CONCATENATE("R",'Mapa final'!$A$24),"")</f>
        <v/>
      </c>
      <c r="AG23" s="406"/>
      <c r="AH23" s="406" t="str">
        <f>IF(AND('Mapa final'!$P$33="Alta",'Mapa final'!$S$33="Mayor"),CONCATENATE("R",'Mapa final'!$A$33),"")</f>
        <v/>
      </c>
      <c r="AI23" s="406"/>
      <c r="AJ23" s="396" t="str">
        <f>IF(AND('Mapa final'!$P$23="Alta",'Mapa final'!$S$23="Catastrófico"),CONCATENATE("R",'Mapa final'!$A$23),"")</f>
        <v/>
      </c>
      <c r="AK23" s="397"/>
      <c r="AL23" s="397" t="str">
        <f>IF(AND('Mapa final'!$P$24="Alta",'Mapa final'!$S$24="Catastrófico"),CONCATENATE("R",'Mapa final'!$A$24),"")</f>
        <v/>
      </c>
      <c r="AM23" s="397"/>
      <c r="AN23" s="397" t="str">
        <f>IF(AND('Mapa final'!$P$33="Alta",'Mapa final'!$S$33="Catastrófico"),CONCATENATE("R",'Mapa final'!$A$33),"")</f>
        <v/>
      </c>
      <c r="AO23" s="398"/>
      <c r="AP23" s="68"/>
      <c r="AQ23" s="460"/>
      <c r="AR23" s="461"/>
      <c r="AS23" s="461"/>
      <c r="AT23" s="461"/>
      <c r="AU23" s="461"/>
      <c r="AV23" s="462"/>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row>
    <row r="24" spans="3:82" ht="15" customHeight="1">
      <c r="C24" s="68"/>
      <c r="D24" s="446"/>
      <c r="E24" s="446"/>
      <c r="F24" s="447"/>
      <c r="G24" s="418"/>
      <c r="H24" s="419"/>
      <c r="I24" s="419"/>
      <c r="J24" s="419"/>
      <c r="K24" s="419"/>
      <c r="L24" s="387"/>
      <c r="M24" s="388"/>
      <c r="N24" s="388"/>
      <c r="O24" s="388"/>
      <c r="P24" s="388"/>
      <c r="Q24" s="389"/>
      <c r="R24" s="387"/>
      <c r="S24" s="388"/>
      <c r="T24" s="388"/>
      <c r="U24" s="388"/>
      <c r="V24" s="388"/>
      <c r="W24" s="388"/>
      <c r="X24" s="405"/>
      <c r="Y24" s="406"/>
      <c r="Z24" s="406"/>
      <c r="AA24" s="406"/>
      <c r="AB24" s="406"/>
      <c r="AC24" s="406"/>
      <c r="AD24" s="405"/>
      <c r="AE24" s="406"/>
      <c r="AF24" s="406"/>
      <c r="AG24" s="406"/>
      <c r="AH24" s="406"/>
      <c r="AI24" s="406"/>
      <c r="AJ24" s="396"/>
      <c r="AK24" s="397"/>
      <c r="AL24" s="397"/>
      <c r="AM24" s="397"/>
      <c r="AN24" s="397"/>
      <c r="AO24" s="398"/>
      <c r="AP24" s="68"/>
      <c r="AQ24" s="460"/>
      <c r="AR24" s="461"/>
      <c r="AS24" s="461"/>
      <c r="AT24" s="461"/>
      <c r="AU24" s="461"/>
      <c r="AV24" s="462"/>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row>
    <row r="25" spans="3:82" ht="15" customHeight="1">
      <c r="C25" s="68"/>
      <c r="D25" s="446"/>
      <c r="E25" s="446"/>
      <c r="F25" s="447"/>
      <c r="G25" s="418"/>
      <c r="H25" s="419"/>
      <c r="I25" s="419"/>
      <c r="J25" s="419"/>
      <c r="K25" s="419"/>
      <c r="L25" s="387" t="str">
        <f>IF(AND('Mapa final'!$P$34="Alta",'Mapa final'!$S$34="Leve"),CONCATENATE("R",'Mapa final'!$A$34),"")</f>
        <v/>
      </c>
      <c r="M25" s="388"/>
      <c r="N25" s="388" t="str">
        <f>IF(AND('Mapa final'!$K$35="Alta",'Mapa final'!$O$35="Leve"),CONCATENATE("R",'Mapa final'!$A$35),"")</f>
        <v/>
      </c>
      <c r="O25" s="388"/>
      <c r="P25" s="388" t="str">
        <f>IF(AND('Mapa final'!$K$36="Alta",'Mapa final'!$O$36="Leve"),CONCATENATE("R",'Mapa final'!$A$36),"")</f>
        <v/>
      </c>
      <c r="Q25" s="389"/>
      <c r="R25" s="387" t="str">
        <f>IF(AND('Mapa final'!$P$34="Alta",'Mapa final'!$S$34="Menor"),CONCATENATE("R",'Mapa final'!$A$34),"")</f>
        <v/>
      </c>
      <c r="S25" s="388"/>
      <c r="T25" s="388" t="str">
        <f>IF(AND('Mapa final'!$P$35="Alta",'Mapa final'!$S$35="Menor"),CONCATENATE("R",'Mapa final'!$A$35),"")</f>
        <v/>
      </c>
      <c r="U25" s="388"/>
      <c r="V25" s="388" t="str">
        <f>IF(AND('Mapa final'!$P$36="Alta",'Mapa final'!$S$36="Menor"),CONCATENATE("R",'Mapa final'!$A$36),"")</f>
        <v/>
      </c>
      <c r="W25" s="388"/>
      <c r="X25" s="405" t="str">
        <f>IF(AND('Mapa final'!$P$34="Alta",'Mapa final'!$S$34="Moderado"),CONCATENATE("R",'Mapa final'!$A$34),"")</f>
        <v/>
      </c>
      <c r="Y25" s="406"/>
      <c r="Z25" s="406" t="str">
        <f>IF(AND('Mapa final'!$P$35="Alta",'Mapa final'!$S$35="Moderado"),CONCATENATE("R",'Mapa final'!$A$35),"")</f>
        <v/>
      </c>
      <c r="AA25" s="406"/>
      <c r="AB25" s="406" t="str">
        <f>IF(AND('Mapa final'!$P$36="Alta",'Mapa final'!$S$36="Moderado"),CONCATENATE("R",'Mapa final'!$A$36),"")</f>
        <v/>
      </c>
      <c r="AC25" s="406"/>
      <c r="AD25" s="405" t="str">
        <f>IF(AND('Mapa final'!$P$34="Alta",'Mapa final'!$S$34="Mayor"),CONCATENATE("R",'Mapa final'!$A$34),"")</f>
        <v/>
      </c>
      <c r="AE25" s="406"/>
      <c r="AF25" s="406" t="str">
        <f>IF(AND('Mapa final'!$P$35="Alta",'Mapa final'!$S$35="Mayor"),CONCATENATE("R",'Mapa final'!$A$35),"")</f>
        <v/>
      </c>
      <c r="AG25" s="406"/>
      <c r="AH25" s="406" t="str">
        <f>IF(AND('Mapa final'!$P$36="Alta",'Mapa final'!$S$36="Mayor"),CONCATENATE("R",'Mapa final'!$A$36),"")</f>
        <v/>
      </c>
      <c r="AI25" s="406"/>
      <c r="AJ25" s="396" t="str">
        <f>IF(AND('Mapa final'!$P$34="Alta",'Mapa final'!$S$34="Catastrófico"),CONCATENATE("R",'Mapa final'!$A$34),"")</f>
        <v/>
      </c>
      <c r="AK25" s="397"/>
      <c r="AL25" s="397" t="str">
        <f>IF(AND('Mapa final'!$P$35="Alta",'Mapa final'!$S$35="Catastrófico"),CONCATENATE("R",'Mapa final'!$A$35),"")</f>
        <v/>
      </c>
      <c r="AM25" s="397"/>
      <c r="AN25" s="397" t="str">
        <f>IF(AND('Mapa final'!$P$36="Alta",'Mapa final'!$S$36="Catastrófico"),CONCATENATE("R",'Mapa final'!$A$36),"")</f>
        <v/>
      </c>
      <c r="AO25" s="398"/>
      <c r="AP25" s="68"/>
      <c r="AQ25" s="460"/>
      <c r="AR25" s="461"/>
      <c r="AS25" s="461"/>
      <c r="AT25" s="461"/>
      <c r="AU25" s="461"/>
      <c r="AV25" s="462"/>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row>
    <row r="26" spans="3:82" ht="15.75" customHeight="1" thickBot="1">
      <c r="C26" s="68"/>
      <c r="D26" s="446"/>
      <c r="E26" s="446"/>
      <c r="F26" s="447"/>
      <c r="G26" s="421"/>
      <c r="H26" s="422"/>
      <c r="I26" s="422"/>
      <c r="J26" s="422"/>
      <c r="K26" s="422"/>
      <c r="L26" s="390"/>
      <c r="M26" s="391"/>
      <c r="N26" s="391"/>
      <c r="O26" s="391"/>
      <c r="P26" s="391"/>
      <c r="Q26" s="392"/>
      <c r="R26" s="390"/>
      <c r="S26" s="391"/>
      <c r="T26" s="388"/>
      <c r="U26" s="388"/>
      <c r="V26" s="388"/>
      <c r="W26" s="388"/>
      <c r="X26" s="405"/>
      <c r="Y26" s="406"/>
      <c r="Z26" s="406"/>
      <c r="AA26" s="406"/>
      <c r="AB26" s="406"/>
      <c r="AC26" s="406"/>
      <c r="AD26" s="405"/>
      <c r="AE26" s="406"/>
      <c r="AF26" s="406"/>
      <c r="AG26" s="406"/>
      <c r="AH26" s="406"/>
      <c r="AI26" s="406"/>
      <c r="AJ26" s="396"/>
      <c r="AK26" s="397"/>
      <c r="AL26" s="397"/>
      <c r="AM26" s="397"/>
      <c r="AN26" s="397"/>
      <c r="AO26" s="398"/>
      <c r="AP26" s="68"/>
      <c r="AQ26" s="463"/>
      <c r="AR26" s="464"/>
      <c r="AS26" s="464"/>
      <c r="AT26" s="464"/>
      <c r="AU26" s="464"/>
      <c r="AV26" s="465"/>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row>
    <row r="27" spans="3:82" ht="15" customHeight="1">
      <c r="C27" s="68"/>
      <c r="D27" s="446"/>
      <c r="E27" s="446"/>
      <c r="F27" s="447"/>
      <c r="G27" s="414" t="s">
        <v>335</v>
      </c>
      <c r="H27" s="416"/>
      <c r="I27" s="416"/>
      <c r="J27" s="416"/>
      <c r="K27" s="416"/>
      <c r="L27" s="393"/>
      <c r="M27" s="394"/>
      <c r="N27" s="394" t="str">
        <f>IF(AND('Mapa final'!$K$15="Media",'Mapa final'!$O$15="Leve"),CONCATENATE("R",'Mapa final'!$A$16),"")</f>
        <v/>
      </c>
      <c r="O27" s="394"/>
      <c r="P27" s="394" t="str">
        <f>IF(AND('Mapa final'!$K$17="Media",'Mapa final'!$O$17="Leve"),CONCATENATE("R",'Mapa final'!$A$17),"")</f>
        <v/>
      </c>
      <c r="Q27" s="395"/>
      <c r="R27" s="393"/>
      <c r="S27" s="394"/>
      <c r="T27" s="394" t="str">
        <f>IF(AND('Mapa final'!$P$15="Media",'Mapa final'!$S$15="Menor"),CONCATENATE("R",'Mapa final'!$A$16),"")</f>
        <v/>
      </c>
      <c r="U27" s="394"/>
      <c r="V27" s="394" t="str">
        <f>IF(AND('Mapa final'!$P$17="Media",'Mapa final'!$S$17="Menor"),CONCATENATE("R",'Mapa final'!$A$17),"")</f>
        <v/>
      </c>
      <c r="W27" s="394"/>
      <c r="X27" s="393"/>
      <c r="Y27" s="394"/>
      <c r="Z27" s="394" t="str">
        <f>IF(AND('Mapa final'!P$15="Media",'Mapa final'!$S$15="Moderado"),CONCATENATE("R",'Mapa final'!$A$16),"")</f>
        <v/>
      </c>
      <c r="AA27" s="394"/>
      <c r="AB27" s="394" t="str">
        <f>IF(AND('Mapa final'!$P$17="Media",'Mapa final'!$S$17="Moderado"),CONCATENATE("R",'Mapa final'!$A$17),"")</f>
        <v/>
      </c>
      <c r="AC27" s="394"/>
      <c r="AD27" s="411"/>
      <c r="AE27" s="412"/>
      <c r="AF27" s="412" t="str">
        <f>IF(AND('Mapa final'!$P$15="Media",'Mapa final'!$S$15="Mayor"),CONCATENATE("R",'Mapa final'!$A$16),"")</f>
        <v/>
      </c>
      <c r="AG27" s="412"/>
      <c r="AH27" s="412" t="str">
        <f>IF(AND('Mapa final'!$P$17="Media",'Mapa final'!$S$17="Mayor"),CONCATENATE("R",'Mapa final'!$A$17),"")</f>
        <v/>
      </c>
      <c r="AI27" s="412"/>
      <c r="AJ27" s="402"/>
      <c r="AK27" s="403"/>
      <c r="AL27" s="403" t="str">
        <f>IF(AND('Mapa final'!$P$15="Media",'Mapa final'!$S$15="Catastrófico"),CONCATENATE("R",'Mapa final'!$A$16),"")</f>
        <v/>
      </c>
      <c r="AM27" s="403"/>
      <c r="AN27" s="403" t="str">
        <f>IF(AND('Mapa final'!$P$17="Media",'Mapa final'!$S$17="Catastrófico"),CONCATENATE("R",'Mapa final'!$A$17),"")</f>
        <v/>
      </c>
      <c r="AO27" s="404"/>
      <c r="AP27" s="68"/>
      <c r="AQ27" s="466" t="s">
        <v>219</v>
      </c>
      <c r="AR27" s="467"/>
      <c r="AS27" s="467"/>
      <c r="AT27" s="467"/>
      <c r="AU27" s="467"/>
      <c r="AV27" s="4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row>
    <row r="28" spans="3:82" ht="15" customHeight="1">
      <c r="C28" s="68"/>
      <c r="D28" s="446"/>
      <c r="E28" s="446"/>
      <c r="F28" s="447"/>
      <c r="G28" s="418"/>
      <c r="H28" s="419"/>
      <c r="I28" s="419"/>
      <c r="J28" s="419"/>
      <c r="K28" s="419"/>
      <c r="L28" s="387"/>
      <c r="M28" s="388"/>
      <c r="N28" s="388"/>
      <c r="O28" s="388"/>
      <c r="P28" s="388"/>
      <c r="Q28" s="389"/>
      <c r="R28" s="387"/>
      <c r="S28" s="388"/>
      <c r="T28" s="388"/>
      <c r="U28" s="388"/>
      <c r="V28" s="388"/>
      <c r="W28" s="388"/>
      <c r="X28" s="387"/>
      <c r="Y28" s="388"/>
      <c r="Z28" s="388"/>
      <c r="AA28" s="388"/>
      <c r="AB28" s="388"/>
      <c r="AC28" s="388"/>
      <c r="AD28" s="405"/>
      <c r="AE28" s="406"/>
      <c r="AF28" s="406"/>
      <c r="AG28" s="406"/>
      <c r="AH28" s="406"/>
      <c r="AI28" s="406"/>
      <c r="AJ28" s="396"/>
      <c r="AK28" s="397"/>
      <c r="AL28" s="397"/>
      <c r="AM28" s="397"/>
      <c r="AN28" s="397"/>
      <c r="AO28" s="398"/>
      <c r="AP28" s="68"/>
      <c r="AQ28" s="469"/>
      <c r="AR28" s="470"/>
      <c r="AS28" s="470"/>
      <c r="AT28" s="470"/>
      <c r="AU28" s="470"/>
      <c r="AV28" s="471"/>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row>
    <row r="29" spans="3:82" ht="15" customHeight="1">
      <c r="C29" s="68"/>
      <c r="D29" s="446"/>
      <c r="E29" s="446"/>
      <c r="F29" s="447"/>
      <c r="G29" s="418"/>
      <c r="H29" s="419"/>
      <c r="I29" s="419"/>
      <c r="J29" s="419"/>
      <c r="K29" s="419"/>
      <c r="L29" s="387" t="str">
        <f>IF(AND('Mapa final'!$P$20="Media",'Mapa final'!$S$20="Leve"),CONCATENATE("R",'Mapa final'!$A$20),"")</f>
        <v/>
      </c>
      <c r="M29" s="388"/>
      <c r="N29" s="388" t="str">
        <f>IF(AND('Mapa final'!$K$21="Media",'Mapa final'!$O$21="Leve"),CONCATENATE("R",'Mapa final'!$A$21),"")</f>
        <v/>
      </c>
      <c r="O29" s="388"/>
      <c r="P29" s="388" t="str">
        <f>IF(AND('Mapa final'!$K$22="Media",'Mapa final'!$O$22="Leve"),CONCATENATE("R",'Mapa final'!$A$22),"")</f>
        <v/>
      </c>
      <c r="Q29" s="389"/>
      <c r="R29" s="387" t="str">
        <f>IF(AND('Mapa final'!$P$20="Media",'Mapa final'!$S$20="Menor"),CONCATENATE("R",'Mapa final'!$A$20),"")</f>
        <v/>
      </c>
      <c r="S29" s="388"/>
      <c r="T29" s="388" t="str">
        <f>IF(AND('Mapa final'!$P$21="Media",'Mapa final'!$S$21="Menor"),CONCATENATE("R",'Mapa final'!$A$21),"")</f>
        <v/>
      </c>
      <c r="U29" s="388"/>
      <c r="V29" s="388" t="str">
        <f>IF(AND('Mapa final'!$P$22="Media",'Mapa final'!$S$22="Menor"),CONCATENATE("R",'Mapa final'!$A$22),"")</f>
        <v/>
      </c>
      <c r="W29" s="388"/>
      <c r="X29" s="387" t="str">
        <f>IF(AND('Mapa final'!$P$20="Media",'Mapa final'!$S$20="Moderado"),CONCATENATE("R",'Mapa final'!$A$20),"")</f>
        <v/>
      </c>
      <c r="Y29" s="388"/>
      <c r="Z29" s="388" t="str">
        <f>IF(AND('Mapa final'!$P$21="Media",'Mapa final'!$S$21="Moderado"),CONCATENATE("R",'Mapa final'!$A$21),"")</f>
        <v/>
      </c>
      <c r="AA29" s="388"/>
      <c r="AB29" s="388" t="str">
        <f>IF(AND('Mapa final'!$P$22="Media",'Mapa final'!$S$22="Moderado"),CONCATENATE("R",'Mapa final'!$A$22),"")</f>
        <v/>
      </c>
      <c r="AC29" s="388"/>
      <c r="AD29" s="405" t="str">
        <f>IF(AND('Mapa final'!$P$20="Media",'Mapa final'!$S$20="Mayor"),CONCATENATE("R",'Mapa final'!$A$20),"")</f>
        <v/>
      </c>
      <c r="AE29" s="406"/>
      <c r="AF29" s="406" t="str">
        <f>IF(AND('Mapa final'!$P$21="Media",'Mapa final'!$S$21="Mayor"),CONCATENATE("R",'Mapa final'!$A$21),"")</f>
        <v/>
      </c>
      <c r="AG29" s="406"/>
      <c r="AH29" s="406" t="str">
        <f>IF(AND('Mapa final'!$P$22="Media",'Mapa final'!$S$22="Mayor"),CONCATENATE("R",'Mapa final'!$A$22),"")</f>
        <v/>
      </c>
      <c r="AI29" s="406"/>
      <c r="AJ29" s="396" t="str">
        <f>IF(AND('Mapa final'!$P$20="Media",'Mapa final'!$S$20="Catastrófico"),CONCATENATE("R",'Mapa final'!$A$20),"")</f>
        <v/>
      </c>
      <c r="AK29" s="397"/>
      <c r="AL29" s="397" t="str">
        <f>IF(AND('Mapa final'!$P$21="Media",'Mapa final'!$S$21="Catastrófico"),CONCATENATE("R",'Mapa final'!$A$21),"")</f>
        <v/>
      </c>
      <c r="AM29" s="397"/>
      <c r="AN29" s="397" t="str">
        <f>IF(AND('Mapa final'!$P$22="Media",'Mapa final'!$K$22="Catastrófico"),CONCATENATE("R",'Mapa final'!$A$22),"")</f>
        <v/>
      </c>
      <c r="AO29" s="398"/>
      <c r="AP29" s="68"/>
      <c r="AQ29" s="469"/>
      <c r="AR29" s="470"/>
      <c r="AS29" s="470"/>
      <c r="AT29" s="470"/>
      <c r="AU29" s="470"/>
      <c r="AV29" s="471"/>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row>
    <row r="30" spans="3:82" ht="15" customHeight="1">
      <c r="C30" s="68"/>
      <c r="D30" s="446"/>
      <c r="E30" s="446"/>
      <c r="F30" s="447"/>
      <c r="G30" s="418"/>
      <c r="H30" s="419"/>
      <c r="I30" s="419"/>
      <c r="J30" s="419"/>
      <c r="K30" s="419"/>
      <c r="L30" s="387"/>
      <c r="M30" s="388"/>
      <c r="N30" s="388"/>
      <c r="O30" s="388"/>
      <c r="P30" s="388"/>
      <c r="Q30" s="389"/>
      <c r="R30" s="387"/>
      <c r="S30" s="388"/>
      <c r="T30" s="388"/>
      <c r="U30" s="388"/>
      <c r="V30" s="388"/>
      <c r="W30" s="388"/>
      <c r="X30" s="387"/>
      <c r="Y30" s="388"/>
      <c r="Z30" s="388"/>
      <c r="AA30" s="388"/>
      <c r="AB30" s="388"/>
      <c r="AC30" s="388"/>
      <c r="AD30" s="405"/>
      <c r="AE30" s="406"/>
      <c r="AF30" s="406"/>
      <c r="AG30" s="406"/>
      <c r="AH30" s="406"/>
      <c r="AI30" s="406"/>
      <c r="AJ30" s="396"/>
      <c r="AK30" s="397"/>
      <c r="AL30" s="397"/>
      <c r="AM30" s="397"/>
      <c r="AN30" s="397"/>
      <c r="AO30" s="398"/>
      <c r="AP30" s="68"/>
      <c r="AQ30" s="469"/>
      <c r="AR30" s="470"/>
      <c r="AS30" s="470"/>
      <c r="AT30" s="470"/>
      <c r="AU30" s="470"/>
      <c r="AV30" s="471"/>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row>
    <row r="31" spans="3:82" ht="15" customHeight="1">
      <c r="C31" s="68"/>
      <c r="D31" s="446"/>
      <c r="E31" s="446"/>
      <c r="F31" s="447"/>
      <c r="G31" s="418"/>
      <c r="H31" s="419"/>
      <c r="I31" s="419"/>
      <c r="J31" s="419"/>
      <c r="K31" s="419"/>
      <c r="L31" s="387" t="str">
        <f>IF(AND('Mapa final'!$P$23="Media",'Mapa final'!$S$23="Leve"),CONCATENATE("R",'Mapa final'!$A$23),"")</f>
        <v/>
      </c>
      <c r="M31" s="388"/>
      <c r="N31" s="388" t="str">
        <f>IF(AND('Mapa final'!$K$24="Media",'Mapa final'!$O$24="Leve"),CONCATENATE("R",'Mapa final'!$A$24),"")</f>
        <v/>
      </c>
      <c r="O31" s="388"/>
      <c r="P31" s="388" t="str">
        <f>IF(AND('Mapa final'!$K$33="Media",'Mapa final'!$O$33="Leve"),CONCATENATE("R",'Mapa final'!$A$33),"")</f>
        <v/>
      </c>
      <c r="Q31" s="389"/>
      <c r="R31" s="387" t="str">
        <f>IF(AND('Mapa final'!$P$23="Media",'Mapa final'!$S$23="Menor"),CONCATENATE("R",'Mapa final'!$A$23),"")</f>
        <v/>
      </c>
      <c r="S31" s="388"/>
      <c r="T31" s="388" t="str">
        <f>IF(AND('Mapa final'!$LT$24="Media",'Mapa final'!$S$24="Menor"),CONCATENATE("R",'Mapa final'!$A$24),"")</f>
        <v/>
      </c>
      <c r="U31" s="388"/>
      <c r="V31" s="388" t="str">
        <f>IF(AND('Mapa final'!$P$33="Media",'Mapa final'!$S$33="Menor"),CONCATENATE("R",'Mapa final'!$A$33),"")</f>
        <v/>
      </c>
      <c r="W31" s="388"/>
      <c r="X31" s="387" t="str">
        <f>IF(AND('Mapa final'!$P$23="Media",'Mapa final'!$S$23="Moderado"),CONCATENATE("R",'Mapa final'!$A$23),"")</f>
        <v/>
      </c>
      <c r="Y31" s="388"/>
      <c r="Z31" s="388" t="str">
        <f>IF(AND('Mapa final'!$P$24="Media",'Mapa final'!$S$24="Moderado"),CONCATENATE("R",'Mapa final'!$A$24),"")</f>
        <v/>
      </c>
      <c r="AA31" s="388"/>
      <c r="AB31" s="388" t="str">
        <f>IF(AND('Mapa final'!$P$33="Media",'Mapa final'!$S$33="Moderado"),CONCATENATE("R",'Mapa final'!$A$33),"")</f>
        <v/>
      </c>
      <c r="AC31" s="388"/>
      <c r="AD31" s="405" t="str">
        <f>IF(AND('Mapa final'!$P$23="Media",'Mapa final'!$S$23="Mayor"),CONCATENATE("R",'Mapa final'!$A$23),"")</f>
        <v/>
      </c>
      <c r="AE31" s="406"/>
      <c r="AF31" s="406" t="str">
        <f>IF(AND('Mapa final'!$P$24="Media",'Mapa final'!$S$24="Mayor"),CONCATENATE("R",'Mapa final'!$A$24),"")</f>
        <v/>
      </c>
      <c r="AG31" s="406"/>
      <c r="AH31" s="406" t="str">
        <f>IF(AND('Mapa final'!$P$33="Media",'Mapa final'!$S$33="Mayor"),CONCATENATE("R",'Mapa final'!$A$33),"")</f>
        <v/>
      </c>
      <c r="AI31" s="406"/>
      <c r="AJ31" s="396" t="str">
        <f>IF(AND('Mapa final'!$P$23="Media",'Mapa final'!$S$23="Catastrófico"),CONCATENATE("R",'Mapa final'!$A$23),"")</f>
        <v/>
      </c>
      <c r="AK31" s="397"/>
      <c r="AL31" s="397" t="str">
        <f>IF(AND('Mapa final'!$P$24="Media",'Mapa final'!$S$24="Catastrófico"),CONCATENATE("R",'Mapa final'!$A$24),"")</f>
        <v/>
      </c>
      <c r="AM31" s="397"/>
      <c r="AN31" s="397" t="str">
        <f>IF(AND('Mapa final'!$P$33="Media",'Mapa final'!$S$33="Catastrófico"),CONCATENATE("R",'Mapa final'!$A$33),"")</f>
        <v/>
      </c>
      <c r="AO31" s="398"/>
      <c r="AP31" s="68"/>
      <c r="AQ31" s="469"/>
      <c r="AR31" s="470"/>
      <c r="AS31" s="470"/>
      <c r="AT31" s="470"/>
      <c r="AU31" s="470"/>
      <c r="AV31" s="471"/>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row>
    <row r="32" spans="3:82" ht="15" customHeight="1">
      <c r="C32" s="68"/>
      <c r="D32" s="446"/>
      <c r="E32" s="446"/>
      <c r="F32" s="447"/>
      <c r="G32" s="418"/>
      <c r="H32" s="419"/>
      <c r="I32" s="419"/>
      <c r="J32" s="419"/>
      <c r="K32" s="419"/>
      <c r="L32" s="387"/>
      <c r="M32" s="388"/>
      <c r="N32" s="388"/>
      <c r="O32" s="388"/>
      <c r="P32" s="388"/>
      <c r="Q32" s="389"/>
      <c r="R32" s="387"/>
      <c r="S32" s="388"/>
      <c r="T32" s="388"/>
      <c r="U32" s="388"/>
      <c r="V32" s="388"/>
      <c r="W32" s="388"/>
      <c r="X32" s="387"/>
      <c r="Y32" s="388"/>
      <c r="Z32" s="388"/>
      <c r="AA32" s="388"/>
      <c r="AB32" s="388"/>
      <c r="AC32" s="388"/>
      <c r="AD32" s="405"/>
      <c r="AE32" s="406"/>
      <c r="AF32" s="406"/>
      <c r="AG32" s="406"/>
      <c r="AH32" s="406"/>
      <c r="AI32" s="406"/>
      <c r="AJ32" s="396"/>
      <c r="AK32" s="397"/>
      <c r="AL32" s="397"/>
      <c r="AM32" s="397"/>
      <c r="AN32" s="397"/>
      <c r="AO32" s="398"/>
      <c r="AP32" s="68"/>
      <c r="AQ32" s="469"/>
      <c r="AR32" s="470"/>
      <c r="AS32" s="470"/>
      <c r="AT32" s="470"/>
      <c r="AU32" s="470"/>
      <c r="AV32" s="471"/>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row>
    <row r="33" spans="3:82" ht="15" customHeight="1">
      <c r="C33" s="68"/>
      <c r="D33" s="446"/>
      <c r="E33" s="446"/>
      <c r="F33" s="447"/>
      <c r="G33" s="418"/>
      <c r="H33" s="419"/>
      <c r="I33" s="419"/>
      <c r="J33" s="419"/>
      <c r="K33" s="419"/>
      <c r="L33" s="387" t="str">
        <f>IF(AND('Mapa final'!$P$34="Mediaa",'Mapa final'!$S$34="Leve"),CONCATENATE("R",'Mapa final'!$A$34),"")</f>
        <v/>
      </c>
      <c r="M33" s="388"/>
      <c r="N33" s="388" t="str">
        <f>IF(AND('Mapa final'!$K$35="Media",'Mapa final'!$O$35="Leve"),CONCATENATE("R",'Mapa final'!$A$35),"")</f>
        <v/>
      </c>
      <c r="O33" s="388"/>
      <c r="P33" s="388" t="str">
        <f>IF(AND('Mapa final'!$K$36="Media",'Mapa final'!$O$36="Leve"),CONCATENATE("R",'Mapa final'!$A$36),"")</f>
        <v/>
      </c>
      <c r="Q33" s="389"/>
      <c r="R33" s="387" t="str">
        <f>IF(AND('Mapa final'!$P$34="Media",'Mapa final'!$S$34="Menor"),CONCATENATE("R",'Mapa final'!$A$34),"")</f>
        <v/>
      </c>
      <c r="S33" s="388"/>
      <c r="T33" s="388" t="str">
        <f>IF(AND('Mapa final'!$P$35="Media",'Mapa final'!$S$35="Menor"),CONCATENATE("R",'Mapa final'!$A$35),"")</f>
        <v/>
      </c>
      <c r="U33" s="388"/>
      <c r="V33" s="388" t="str">
        <f>IF(AND('Mapa final'!$P$36="Media",'Mapa final'!$S$36="Menor"),CONCATENATE("R",'Mapa final'!$A$36),"")</f>
        <v/>
      </c>
      <c r="W33" s="388"/>
      <c r="X33" s="387" t="str">
        <f>IF(AND('Mapa final'!$P$34="Media",'Mapa final'!$S$34="Moderado"),CONCATENATE("R",'Mapa final'!$A$34),"")</f>
        <v/>
      </c>
      <c r="Y33" s="388"/>
      <c r="Z33" s="388" t="str">
        <f>IF(AND('Mapa final'!$P$35="Media",'Mapa final'!$S$35="Moderado"),CONCATENATE("R",'Mapa final'!$A$35),"")</f>
        <v/>
      </c>
      <c r="AA33" s="388"/>
      <c r="AB33" s="388" t="str">
        <f>IF(AND('Mapa final'!$P$36="Media",'Mapa final'!$S$36="Moderado"),CONCATENATE("R",'Mapa final'!$A$36),"")</f>
        <v/>
      </c>
      <c r="AC33" s="388"/>
      <c r="AD33" s="405" t="str">
        <f>IF(AND('Mapa final'!$P$34="Media",'Mapa final'!$S$34="Mayor"),CONCATENATE("R",'Mapa final'!$A$34),"")</f>
        <v/>
      </c>
      <c r="AE33" s="406"/>
      <c r="AF33" s="406" t="str">
        <f>IF(AND('Mapa final'!$P$35="Media",'Mapa final'!$S$35="Mayor"),CONCATENATE("R",'Mapa final'!$A$35),"")</f>
        <v/>
      </c>
      <c r="AG33" s="406"/>
      <c r="AH33" s="406" t="str">
        <f>IF(AND('Mapa final'!$P$36="Media",'Mapa final'!$S$36="Mayor"),CONCATENATE("R",'Mapa final'!$A$36),"")</f>
        <v/>
      </c>
      <c r="AI33" s="406"/>
      <c r="AJ33" s="396" t="str">
        <f>IF(AND('Mapa final'!$P$34="Media",'Mapa final'!$S$34="Catastrófico"),CONCATENATE("R",'Mapa final'!$A$34),"")</f>
        <v/>
      </c>
      <c r="AK33" s="397"/>
      <c r="AL33" s="397" t="str">
        <f>IF(AND('Mapa final'!$P$35="Media",'Mapa final'!$S$35="Catastrófico"),CONCATENATE("R",'Mapa final'!$A$35),"")</f>
        <v/>
      </c>
      <c r="AM33" s="397"/>
      <c r="AN33" s="397" t="str">
        <f>IF(AND('Mapa final'!$P$36="Media",'Mapa final'!$S$36="Catastrófico"),CONCATENATE("R",'Mapa final'!$A$36),"")</f>
        <v/>
      </c>
      <c r="AO33" s="398"/>
      <c r="AP33" s="68"/>
      <c r="AQ33" s="469"/>
      <c r="AR33" s="470"/>
      <c r="AS33" s="470"/>
      <c r="AT33" s="470"/>
      <c r="AU33" s="470"/>
      <c r="AV33" s="471"/>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row>
    <row r="34" spans="3:82" ht="15.75" customHeight="1" thickBot="1">
      <c r="C34" s="68"/>
      <c r="D34" s="446"/>
      <c r="E34" s="446"/>
      <c r="F34" s="447"/>
      <c r="G34" s="421"/>
      <c r="H34" s="422"/>
      <c r="I34" s="422"/>
      <c r="J34" s="422"/>
      <c r="K34" s="422"/>
      <c r="L34" s="390"/>
      <c r="M34" s="391"/>
      <c r="N34" s="391"/>
      <c r="O34" s="391"/>
      <c r="P34" s="391"/>
      <c r="Q34" s="392"/>
      <c r="R34" s="390"/>
      <c r="S34" s="391"/>
      <c r="T34" s="391"/>
      <c r="U34" s="391"/>
      <c r="V34" s="391"/>
      <c r="W34" s="391"/>
      <c r="X34" s="390"/>
      <c r="Y34" s="391"/>
      <c r="Z34" s="391"/>
      <c r="AA34" s="391"/>
      <c r="AB34" s="391"/>
      <c r="AC34" s="391"/>
      <c r="AD34" s="408"/>
      <c r="AE34" s="409"/>
      <c r="AF34" s="409"/>
      <c r="AG34" s="409"/>
      <c r="AH34" s="409"/>
      <c r="AI34" s="409"/>
      <c r="AJ34" s="396"/>
      <c r="AK34" s="397"/>
      <c r="AL34" s="397"/>
      <c r="AM34" s="397"/>
      <c r="AN34" s="397"/>
      <c r="AO34" s="398"/>
      <c r="AP34" s="68"/>
      <c r="AQ34" s="472"/>
      <c r="AR34" s="473"/>
      <c r="AS34" s="473"/>
      <c r="AT34" s="473"/>
      <c r="AU34" s="473"/>
      <c r="AV34" s="474"/>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row>
    <row r="35" spans="3:82" ht="15" customHeight="1">
      <c r="C35" s="68"/>
      <c r="D35" s="446"/>
      <c r="E35" s="446"/>
      <c r="F35" s="447"/>
      <c r="G35" s="414" t="s">
        <v>336</v>
      </c>
      <c r="H35" s="416"/>
      <c r="I35" s="416"/>
      <c r="J35" s="416"/>
      <c r="K35" s="416"/>
      <c r="L35" s="383"/>
      <c r="M35" s="384"/>
      <c r="N35" s="384" t="str">
        <f>IF(AND('Mapa final'!$K$15="Baja",'Mapa final'!$O$15="Leve"),CONCATENATE("R",'Mapa final'!$A$16),"")</f>
        <v/>
      </c>
      <c r="O35" s="384"/>
      <c r="P35" s="384" t="str">
        <f>IF(AND('Mapa final'!$K$17="Baja",'Mapa final'!$O$17="Leve"),CONCATENATE("R",'Mapa final'!$A$17),"")</f>
        <v/>
      </c>
      <c r="Q35" s="385"/>
      <c r="R35" s="393"/>
      <c r="S35" s="394"/>
      <c r="T35" s="388" t="str">
        <f>IF(AND('Mapa final'!$P$15="Baja",'Mapa final'!$S$15="Menor"),CONCATENATE("R",'Mapa final'!$A$16),"")</f>
        <v/>
      </c>
      <c r="U35" s="388"/>
      <c r="V35" s="388" t="str">
        <f>IF(AND('Mapa final'!$P$17="Baja",'Mapa final'!$S$17="Menor"),CONCATENATE("R",'Mapa final'!$A$17),"")</f>
        <v/>
      </c>
      <c r="W35" s="389"/>
      <c r="X35" s="387"/>
      <c r="Y35" s="388"/>
      <c r="Z35" s="388" t="str">
        <f>IF(AND('Mapa final'!P$15="Baja",'Mapa final'!$S$15="Moderado"),CONCATENATE("R",'Mapa final'!$A$16),"")</f>
        <v/>
      </c>
      <c r="AA35" s="388"/>
      <c r="AB35" s="388" t="str">
        <f>IF(AND('Mapa final'!$P$17="Baja",'Mapa final'!$S$17="Moderado"),CONCATENATE("R",'Mapa final'!$A$17),"")</f>
        <v/>
      </c>
      <c r="AC35" s="389"/>
      <c r="AD35" s="405"/>
      <c r="AE35" s="406"/>
      <c r="AF35" s="406" t="str">
        <f>IF(AND('Mapa final'!$P$15="Baja",'Mapa final'!$S$15="Mayor"),CONCATENATE("R",'Mapa final'!$A$16),"")</f>
        <v/>
      </c>
      <c r="AG35" s="406"/>
      <c r="AH35" s="406" t="str">
        <f>IF(AND('Mapa final'!$P$17="Baja",'Mapa final'!$S$17="Mayor"),CONCATENATE("R",'Mapa final'!$A$17),"")</f>
        <v/>
      </c>
      <c r="AI35" s="406"/>
      <c r="AJ35" s="402"/>
      <c r="AK35" s="403"/>
      <c r="AL35" s="403" t="str">
        <f>IF(AND('Mapa final'!$P$15="Baja",'Mapa final'!$S$15="Catastrófico"),CONCATENATE("R",'Mapa final'!$A$16),"")</f>
        <v/>
      </c>
      <c r="AM35" s="403"/>
      <c r="AN35" s="403" t="str">
        <f>IF(AND('Mapa final'!$P$17="Baja",'Mapa final'!$S$17="Catastrófico"),CONCATENATE("R",'Mapa final'!$A$17),"")</f>
        <v/>
      </c>
      <c r="AO35" s="404"/>
      <c r="AP35" s="68"/>
      <c r="AQ35" s="475" t="s">
        <v>337</v>
      </c>
      <c r="AR35" s="476"/>
      <c r="AS35" s="476"/>
      <c r="AT35" s="476"/>
      <c r="AU35" s="476"/>
      <c r="AV35" s="477"/>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row>
    <row r="36" spans="3:82" ht="15" customHeight="1">
      <c r="C36" s="68"/>
      <c r="D36" s="446"/>
      <c r="E36" s="446"/>
      <c r="F36" s="447"/>
      <c r="G36" s="418"/>
      <c r="H36" s="419"/>
      <c r="I36" s="419"/>
      <c r="J36" s="419"/>
      <c r="K36" s="419"/>
      <c r="L36" s="378"/>
      <c r="M36" s="379"/>
      <c r="N36" s="379"/>
      <c r="O36" s="379"/>
      <c r="P36" s="379"/>
      <c r="Q36" s="380"/>
      <c r="R36" s="387"/>
      <c r="S36" s="388"/>
      <c r="T36" s="388"/>
      <c r="U36" s="388"/>
      <c r="V36" s="388"/>
      <c r="W36" s="389"/>
      <c r="X36" s="387"/>
      <c r="Y36" s="388"/>
      <c r="Z36" s="388"/>
      <c r="AA36" s="388"/>
      <c r="AB36" s="388"/>
      <c r="AC36" s="389"/>
      <c r="AD36" s="405"/>
      <c r="AE36" s="406"/>
      <c r="AF36" s="406"/>
      <c r="AG36" s="406"/>
      <c r="AH36" s="406"/>
      <c r="AI36" s="406"/>
      <c r="AJ36" s="396"/>
      <c r="AK36" s="397"/>
      <c r="AL36" s="397"/>
      <c r="AM36" s="397"/>
      <c r="AN36" s="397"/>
      <c r="AO36" s="398"/>
      <c r="AP36" s="68"/>
      <c r="AQ36" s="478"/>
      <c r="AR36" s="479"/>
      <c r="AS36" s="479"/>
      <c r="AT36" s="479"/>
      <c r="AU36" s="479"/>
      <c r="AV36" s="480"/>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row>
    <row r="37" spans="3:82" ht="15" customHeight="1">
      <c r="C37" s="68"/>
      <c r="D37" s="446"/>
      <c r="E37" s="446"/>
      <c r="F37" s="447"/>
      <c r="G37" s="418"/>
      <c r="H37" s="419"/>
      <c r="I37" s="419"/>
      <c r="J37" s="419"/>
      <c r="K37" s="419"/>
      <c r="L37" s="378" t="str">
        <f>IF(AND('Mapa final'!$P$20="Baja",'Mapa final'!$S$20="Leve"),CONCATENATE("R",'Mapa final'!$A$20),"")</f>
        <v/>
      </c>
      <c r="M37" s="379"/>
      <c r="N37" s="379" t="str">
        <f>IF(AND('Mapa final'!$K$21="Baja",'Mapa final'!$O$21="Leve"),CONCATENATE("R",'Mapa final'!$A$21),"")</f>
        <v/>
      </c>
      <c r="O37" s="379"/>
      <c r="P37" s="379" t="str">
        <f>IF(AND('Mapa final'!$K$22="Baja",'Mapa final'!$O$22="Leve"),CONCATENATE("R",'Mapa final'!$A$22),"")</f>
        <v/>
      </c>
      <c r="Q37" s="380"/>
      <c r="R37" s="387" t="str">
        <f>IF(AND('Mapa final'!$P$20="Baja",'Mapa final'!$S$20="Menor"),CONCATENATE("R",'Mapa final'!$A$20),"")</f>
        <v/>
      </c>
      <c r="S37" s="388"/>
      <c r="T37" s="388" t="str">
        <f>IF(AND('Mapa final'!$P$21="Baja",'Mapa final'!$S$21="Menor"),CONCATENATE("R",'Mapa final'!$A$21),"")</f>
        <v/>
      </c>
      <c r="U37" s="388"/>
      <c r="V37" s="388" t="str">
        <f>IF(AND('Mapa final'!$P$22="Baja",'Mapa final'!$S$22="Menor"),CONCATENATE("R",'Mapa final'!$A$22),"")</f>
        <v/>
      </c>
      <c r="W37" s="389"/>
      <c r="X37" s="387" t="str">
        <f>IF(AND('Mapa final'!$P$20="Baja",'Mapa final'!$S$20="Moderado"),CONCATENATE("R",'Mapa final'!$D$19),"")</f>
        <v/>
      </c>
      <c r="Y37" s="388"/>
      <c r="Z37" s="388" t="str">
        <f>IF(AND('Mapa final'!$P$21="Baja",'Mapa final'!$S$21="Moderado"),CONCATENATE("R",'Mapa final'!$A$21),"")</f>
        <v/>
      </c>
      <c r="AA37" s="388"/>
      <c r="AB37" s="388" t="str">
        <f>IF(AND('Mapa final'!$P$22="Baja",'Mapa final'!$S$22="Moderado"),CONCATENATE("R",'Mapa final'!$A$22),"")</f>
        <v/>
      </c>
      <c r="AC37" s="389"/>
      <c r="AD37" s="405" t="str">
        <f>IF(AND('Mapa final'!$P$20="Baja",'Mapa final'!$S$20="Mayor"),CONCATENATE("R",'Mapa final'!$A$20),"")</f>
        <v/>
      </c>
      <c r="AE37" s="406"/>
      <c r="AF37" s="406" t="str">
        <f>IF(AND('Mapa final'!$P$21="Baja",'Mapa final'!$S$21="Mayor"),CONCATENATE("R",'Mapa final'!$A$21),"")</f>
        <v/>
      </c>
      <c r="AG37" s="406"/>
      <c r="AH37" s="406" t="str">
        <f>IF(AND('Mapa final'!$P$22="Baja",'Mapa final'!$S$22="Mayor"),CONCATENATE("R",'Mapa final'!$A$22),"")</f>
        <v/>
      </c>
      <c r="AI37" s="406"/>
      <c r="AJ37" s="396" t="str">
        <f>IF(AND('Mapa final'!$P$20="Baja",'Mapa final'!$S$20="Catastrófico"),CONCATENATE("R",'Mapa final'!$A$20),"")</f>
        <v/>
      </c>
      <c r="AK37" s="397"/>
      <c r="AL37" s="397" t="str">
        <f>IF(AND('Mapa final'!$P$21="Baja",'Mapa final'!$S$21="Catastrófico"),CONCATENATE("R",'Mapa final'!$A$21),"")</f>
        <v/>
      </c>
      <c r="AM37" s="397"/>
      <c r="AN37" s="397" t="str">
        <f>IF(AND('Mapa final'!$P$22="Baja",'Mapa final'!$K$22="Catastrófico"),CONCATENATE("R",'Mapa final'!$A$22),"")</f>
        <v/>
      </c>
      <c r="AO37" s="398"/>
      <c r="AP37" s="68"/>
      <c r="AQ37" s="478"/>
      <c r="AR37" s="479"/>
      <c r="AS37" s="479"/>
      <c r="AT37" s="479"/>
      <c r="AU37" s="479"/>
      <c r="AV37" s="480"/>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row>
    <row r="38" spans="3:82" ht="15" customHeight="1">
      <c r="C38" s="68"/>
      <c r="D38" s="446"/>
      <c r="E38" s="446"/>
      <c r="F38" s="447"/>
      <c r="G38" s="418"/>
      <c r="H38" s="419"/>
      <c r="I38" s="419"/>
      <c r="J38" s="419"/>
      <c r="K38" s="419"/>
      <c r="L38" s="378"/>
      <c r="M38" s="379"/>
      <c r="N38" s="379"/>
      <c r="O38" s="379"/>
      <c r="P38" s="379"/>
      <c r="Q38" s="380"/>
      <c r="R38" s="387"/>
      <c r="S38" s="388"/>
      <c r="T38" s="388"/>
      <c r="U38" s="388"/>
      <c r="V38" s="388"/>
      <c r="W38" s="389"/>
      <c r="X38" s="387"/>
      <c r="Y38" s="388"/>
      <c r="Z38" s="388"/>
      <c r="AA38" s="388"/>
      <c r="AB38" s="388"/>
      <c r="AC38" s="389"/>
      <c r="AD38" s="405"/>
      <c r="AE38" s="406"/>
      <c r="AF38" s="406"/>
      <c r="AG38" s="406"/>
      <c r="AH38" s="406"/>
      <c r="AI38" s="406"/>
      <c r="AJ38" s="396"/>
      <c r="AK38" s="397"/>
      <c r="AL38" s="397"/>
      <c r="AM38" s="397"/>
      <c r="AN38" s="397"/>
      <c r="AO38" s="398"/>
      <c r="AP38" s="68"/>
      <c r="AQ38" s="478"/>
      <c r="AR38" s="479"/>
      <c r="AS38" s="479"/>
      <c r="AT38" s="479"/>
      <c r="AU38" s="479"/>
      <c r="AV38" s="480"/>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row>
    <row r="39" spans="3:82" ht="15" customHeight="1">
      <c r="C39" s="68"/>
      <c r="D39" s="446"/>
      <c r="E39" s="446"/>
      <c r="F39" s="447"/>
      <c r="G39" s="418"/>
      <c r="H39" s="419"/>
      <c r="I39" s="419"/>
      <c r="J39" s="419"/>
      <c r="K39" s="419"/>
      <c r="L39" s="378" t="str">
        <f>IF(AND('Mapa final'!$P$23="Baja",'Mapa final'!$S$23="Leve"),CONCATENATE("R",'Mapa final'!$A$23),"")</f>
        <v/>
      </c>
      <c r="M39" s="379"/>
      <c r="N39" s="379" t="str">
        <f>IF(AND('Mapa final'!$K$24="Baja",'Mapa final'!$O$24="Leve"),CONCATENATE("R",'Mapa final'!$A$24),"")</f>
        <v/>
      </c>
      <c r="O39" s="379"/>
      <c r="P39" s="379" t="str">
        <f>IF(AND('Mapa final'!$K$33="Baja",'Mapa final'!$O$33="Leve"),CONCATENATE("R",'Mapa final'!$A$33),"")</f>
        <v/>
      </c>
      <c r="Q39" s="380"/>
      <c r="R39" s="387" t="str">
        <f>IF(AND('Mapa final'!$P$23="Baja",'Mapa final'!$S$23="Menor"),CONCATENATE("R",'Mapa final'!$A$23),"")</f>
        <v/>
      </c>
      <c r="S39" s="388"/>
      <c r="T39" s="388" t="str">
        <f>IF(AND('Mapa final'!$LT$24="Baja",'Mapa final'!$S$24="Menor"),CONCATENATE("R",'Mapa final'!$A$24),"")</f>
        <v/>
      </c>
      <c r="U39" s="388"/>
      <c r="V39" s="388" t="str">
        <f>IF(AND('Mapa final'!$P$33="Baja",'Mapa final'!$S$33="Menor"),CONCATENATE("R",'Mapa final'!$A$33),"")</f>
        <v/>
      </c>
      <c r="W39" s="389"/>
      <c r="X39" s="387" t="str">
        <f>IF(AND('Mapa final'!$P$23="Baja",'Mapa final'!$S$23="Moderado"),CONCATENATE("R",'Mapa final'!$A$23),"")</f>
        <v/>
      </c>
      <c r="Y39" s="388"/>
      <c r="Z39" s="388" t="str">
        <f>IF(AND('Mapa final'!$P$24="Baja",'Mapa final'!$S$24="Moderado"),CONCATENATE("R",'Mapa final'!$A$24),"")</f>
        <v/>
      </c>
      <c r="AA39" s="388"/>
      <c r="AB39" s="388" t="str">
        <f>IF(AND('Mapa final'!$P$33="Baja",'Mapa final'!$S$33="Moderado"),CONCATENATE("R",'Mapa final'!$A$33),"")</f>
        <v/>
      </c>
      <c r="AC39" s="389"/>
      <c r="AD39" s="405" t="str">
        <f>IF(AND('Mapa final'!$P$23="Baja",'Mapa final'!$S$23="Mayor"),CONCATENATE("R",'Mapa final'!$A$23),"")</f>
        <v/>
      </c>
      <c r="AE39" s="406"/>
      <c r="AF39" s="406" t="str">
        <f>IF(AND('Mapa final'!$P$24="Baja",'Mapa final'!$S$24="Mayor"),CONCATENATE("R",'Mapa final'!$A$24),"")</f>
        <v/>
      </c>
      <c r="AG39" s="406"/>
      <c r="AH39" s="406" t="str">
        <f>IF(AND('Mapa final'!$P$33="Baja",'Mapa final'!$S$33="Mayor"),CONCATENATE("R",'Mapa final'!$A$33),"")</f>
        <v/>
      </c>
      <c r="AI39" s="406"/>
      <c r="AJ39" s="396" t="str">
        <f>IF(AND('Mapa final'!$P$23="Baja",'Mapa final'!$S$23="Catastrófico"),CONCATENATE("R",'Mapa final'!$A$23),"")</f>
        <v/>
      </c>
      <c r="AK39" s="397"/>
      <c r="AL39" s="397" t="str">
        <f>IF(AND('Mapa final'!$P$24="Baja",'Mapa final'!$S$24="Catastrófico"),CONCATENATE("R",'Mapa final'!$A$24),"")</f>
        <v/>
      </c>
      <c r="AM39" s="397"/>
      <c r="AN39" s="397" t="str">
        <f>IF(AND('Mapa final'!$P$33="Baja",'Mapa final'!$S$33="Catastrófico"),CONCATENATE("R",'Mapa final'!$A$33),"")</f>
        <v/>
      </c>
      <c r="AO39" s="398"/>
      <c r="AP39" s="68"/>
      <c r="AQ39" s="478"/>
      <c r="AR39" s="479"/>
      <c r="AS39" s="479"/>
      <c r="AT39" s="479"/>
      <c r="AU39" s="479"/>
      <c r="AV39" s="480"/>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row>
    <row r="40" spans="3:82" ht="15" customHeight="1">
      <c r="C40" s="68"/>
      <c r="D40" s="446"/>
      <c r="E40" s="446"/>
      <c r="F40" s="447"/>
      <c r="G40" s="418"/>
      <c r="H40" s="419"/>
      <c r="I40" s="419"/>
      <c r="J40" s="419"/>
      <c r="K40" s="419"/>
      <c r="L40" s="378"/>
      <c r="M40" s="379"/>
      <c r="N40" s="379"/>
      <c r="O40" s="379"/>
      <c r="P40" s="379"/>
      <c r="Q40" s="380"/>
      <c r="R40" s="387"/>
      <c r="S40" s="388"/>
      <c r="T40" s="388"/>
      <c r="U40" s="388"/>
      <c r="V40" s="388"/>
      <c r="W40" s="389"/>
      <c r="X40" s="387"/>
      <c r="Y40" s="388"/>
      <c r="Z40" s="388"/>
      <c r="AA40" s="388"/>
      <c r="AB40" s="388"/>
      <c r="AC40" s="389"/>
      <c r="AD40" s="405"/>
      <c r="AE40" s="406"/>
      <c r="AF40" s="406"/>
      <c r="AG40" s="406"/>
      <c r="AH40" s="406"/>
      <c r="AI40" s="406"/>
      <c r="AJ40" s="396"/>
      <c r="AK40" s="397"/>
      <c r="AL40" s="397"/>
      <c r="AM40" s="397"/>
      <c r="AN40" s="397"/>
      <c r="AO40" s="398"/>
      <c r="AP40" s="68"/>
      <c r="AQ40" s="478"/>
      <c r="AR40" s="479"/>
      <c r="AS40" s="479"/>
      <c r="AT40" s="479"/>
      <c r="AU40" s="479"/>
      <c r="AV40" s="480"/>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row>
    <row r="41" spans="3:82" ht="15" customHeight="1">
      <c r="C41" s="68"/>
      <c r="D41" s="446"/>
      <c r="E41" s="446"/>
      <c r="F41" s="447"/>
      <c r="G41" s="418"/>
      <c r="H41" s="419"/>
      <c r="I41" s="419"/>
      <c r="J41" s="419"/>
      <c r="K41" s="419"/>
      <c r="L41" s="378" t="str">
        <f>IF(AND('Mapa final'!$P$34="Baja",'Mapa final'!$S$34="Leve"),CONCATENATE("R",'Mapa final'!$A$34),"")</f>
        <v/>
      </c>
      <c r="M41" s="379"/>
      <c r="N41" s="379" t="str">
        <f>IF(AND('Mapa final'!$K$35="Baja",'Mapa final'!$O$35="Leve"),CONCATENATE("R",'Mapa final'!$A$35),"")</f>
        <v/>
      </c>
      <c r="O41" s="379"/>
      <c r="P41" s="379" t="str">
        <f>IF(AND('Mapa final'!$K$36="Baja",'Mapa final'!$O$36="Leve"),CONCATENATE("R",'Mapa final'!$A$36),"")</f>
        <v/>
      </c>
      <c r="Q41" s="380"/>
      <c r="R41" s="387" t="str">
        <f>IF(AND('Mapa final'!$P$34="Baja",'Mapa final'!$S$34="Menor"),CONCATENATE("R",'Mapa final'!$A$34),"")</f>
        <v/>
      </c>
      <c r="S41" s="388"/>
      <c r="T41" s="388" t="str">
        <f>IF(AND('Mapa final'!$P$35="Baja",'Mapa final'!$S$35="Menor"),CONCATENATE("R",'Mapa final'!$A$35),"")</f>
        <v/>
      </c>
      <c r="U41" s="388"/>
      <c r="V41" s="388" t="str">
        <f>IF(AND('Mapa final'!$P$36="Baja",'Mapa final'!$S$36="Menor"),CONCATENATE("R",'Mapa final'!$A$36),"")</f>
        <v/>
      </c>
      <c r="W41" s="389"/>
      <c r="X41" s="387" t="str">
        <f>IF(AND('Mapa final'!$P$34="Baja",'Mapa final'!$S$34="Moderado"),CONCATENATE("R",'Mapa final'!$A$34),"")</f>
        <v/>
      </c>
      <c r="Y41" s="388"/>
      <c r="Z41" s="388" t="str">
        <f>IF(AND('Mapa final'!$P$35="Baja",'Mapa final'!$S$35="Moderado"),CONCATENATE("R",'Mapa final'!$A$35),"")</f>
        <v/>
      </c>
      <c r="AA41" s="388"/>
      <c r="AB41" s="388" t="str">
        <f>IF(AND('Mapa final'!$P$36="Baja",'Mapa final'!$S$36="Moderado"),CONCATENATE("R",'Mapa final'!$A$36),"")</f>
        <v/>
      </c>
      <c r="AC41" s="389"/>
      <c r="AD41" s="405" t="str">
        <f>IF(AND('Mapa final'!$P$34="Baja",'Mapa final'!$S$34="Mayor"),CONCATENATE("R",'Mapa final'!$A$34),"")</f>
        <v/>
      </c>
      <c r="AE41" s="406"/>
      <c r="AF41" s="406" t="str">
        <f>IF(AND('Mapa final'!$P$35="Baja",'Mapa final'!$S$35="Mayor"),CONCATENATE("R",'Mapa final'!$A$35),"")</f>
        <v/>
      </c>
      <c r="AG41" s="406"/>
      <c r="AH41" s="406" t="str">
        <f>IF(AND('Mapa final'!$P$36="Baja",'Mapa final'!$S$36="Mayor"),CONCATENATE("R",'Mapa final'!$A$36),"")</f>
        <v/>
      </c>
      <c r="AI41" s="406"/>
      <c r="AJ41" s="396" t="str">
        <f>IF(AND('Mapa final'!$P$34="Baja",'Mapa final'!$S$34="Catastrófico"),CONCATENATE("R",'Mapa final'!$A$34),"")</f>
        <v/>
      </c>
      <c r="AK41" s="397"/>
      <c r="AL41" s="397" t="str">
        <f>IF(AND('Mapa final'!$P$35="Baja",'Mapa final'!$S$35="Catastrófico"),CONCATENATE("R",'Mapa final'!$A$35),"")</f>
        <v/>
      </c>
      <c r="AM41" s="397"/>
      <c r="AN41" s="397" t="str">
        <f>IF(AND('Mapa final'!$P$36="Baja",'Mapa final'!$S$36="Catastrófico"),CONCATENATE("R",'Mapa final'!$A$36),"")</f>
        <v/>
      </c>
      <c r="AO41" s="398"/>
      <c r="AP41" s="68"/>
      <c r="AQ41" s="478"/>
      <c r="AR41" s="479"/>
      <c r="AS41" s="479"/>
      <c r="AT41" s="479"/>
      <c r="AU41" s="479"/>
      <c r="AV41" s="480"/>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row>
    <row r="42" spans="3:82" ht="15.75" customHeight="1" thickBot="1">
      <c r="C42" s="68"/>
      <c r="D42" s="446"/>
      <c r="E42" s="446"/>
      <c r="F42" s="447"/>
      <c r="G42" s="421"/>
      <c r="H42" s="422"/>
      <c r="I42" s="422"/>
      <c r="J42" s="422"/>
      <c r="K42" s="422"/>
      <c r="L42" s="386"/>
      <c r="M42" s="381"/>
      <c r="N42" s="381"/>
      <c r="O42" s="381"/>
      <c r="P42" s="381"/>
      <c r="Q42" s="382"/>
      <c r="R42" s="390"/>
      <c r="S42" s="391"/>
      <c r="T42" s="391"/>
      <c r="U42" s="391"/>
      <c r="V42" s="391"/>
      <c r="W42" s="392"/>
      <c r="X42" s="390"/>
      <c r="Y42" s="391"/>
      <c r="Z42" s="391"/>
      <c r="AA42" s="391"/>
      <c r="AB42" s="391"/>
      <c r="AC42" s="392"/>
      <c r="AD42" s="408"/>
      <c r="AE42" s="409"/>
      <c r="AF42" s="409"/>
      <c r="AG42" s="409"/>
      <c r="AH42" s="409"/>
      <c r="AI42" s="409"/>
      <c r="AJ42" s="399"/>
      <c r="AK42" s="400"/>
      <c r="AL42" s="400"/>
      <c r="AM42" s="400"/>
      <c r="AN42" s="400"/>
      <c r="AO42" s="401"/>
      <c r="AP42" s="68"/>
      <c r="AQ42" s="481"/>
      <c r="AR42" s="482"/>
      <c r="AS42" s="482"/>
      <c r="AT42" s="482"/>
      <c r="AU42" s="482"/>
      <c r="AV42" s="483"/>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row>
    <row r="43" spans="3:82" ht="15" customHeight="1">
      <c r="C43" s="68"/>
      <c r="D43" s="446"/>
      <c r="E43" s="446"/>
      <c r="F43" s="447"/>
      <c r="G43" s="414" t="s">
        <v>338</v>
      </c>
      <c r="H43" s="416"/>
      <c r="I43" s="416"/>
      <c r="J43" s="416"/>
      <c r="K43" s="416"/>
      <c r="L43" s="383"/>
      <c r="M43" s="384"/>
      <c r="N43" s="384" t="str">
        <f>IF(AND('Mapa final'!$K$15="Muy Baja",'Mapa final'!$O$15="Leve"),CONCATENATE("R",'Mapa final'!$A$16),"")</f>
        <v/>
      </c>
      <c r="O43" s="384"/>
      <c r="P43" s="384" t="str">
        <f>IF(AND('Mapa final'!$K$17="Muy Baja",'Mapa final'!$O$17="Leve"),CONCATENATE("R",'Mapa final'!$A$17),"")</f>
        <v/>
      </c>
      <c r="Q43" s="385"/>
      <c r="R43" s="383"/>
      <c r="S43" s="384"/>
      <c r="T43" s="384" t="str">
        <f>IF(AND('Mapa final'!$P$15="Muy Baja",'Mapa final'!$S$15="Menor"),CONCATENATE("R",'Mapa final'!$A$16),"")</f>
        <v/>
      </c>
      <c r="U43" s="384"/>
      <c r="V43" s="384" t="str">
        <f>IF(AND('Mapa final'!$P$17="Muy Baja",'Mapa final'!$S$17="Menor"),CONCATENATE("R",'Mapa final'!$A$17),"")</f>
        <v/>
      </c>
      <c r="W43" s="385"/>
      <c r="X43" s="393"/>
      <c r="Y43" s="394"/>
      <c r="Z43" s="394" t="str">
        <f>IF(AND('Mapa final'!P$15="Muy Baja",'Mapa final'!$S$15="Moderado"),CONCATENATE("R",'Mapa final'!$D$15),"")</f>
        <v/>
      </c>
      <c r="AA43" s="394"/>
      <c r="AB43" s="394" t="str">
        <f>IF(AND('Mapa final'!$P$17="Muy Baja",'Mapa final'!$S$17="Moderado"),CONCATENATE("R",'Mapa final'!$A$17),"")</f>
        <v/>
      </c>
      <c r="AC43" s="395"/>
      <c r="AD43" s="411"/>
      <c r="AE43" s="412"/>
      <c r="AF43" s="412" t="str">
        <f>IF(AND('Mapa final'!$P$15="Muy Baja",'Mapa final'!$S$15="Mayor"),CONCATENATE("R",'Mapa final'!$A$16),"")</f>
        <v/>
      </c>
      <c r="AG43" s="412"/>
      <c r="AH43" s="412" t="str">
        <f>IF(AND('Mapa final'!$P$17="Muy Baja",'Mapa final'!$S$17="Mayor"),CONCATENATE("R",'Mapa final'!$D$17),"")</f>
        <v/>
      </c>
      <c r="AI43" s="413"/>
      <c r="AJ43" s="396"/>
      <c r="AK43" s="397"/>
      <c r="AL43" s="397" t="str">
        <f>IF(AND('Mapa final'!$P$15="Muy Baja",'Mapa final'!$S$15="Catastrófico"),CONCATENATE("R",'Mapa final'!$D$15),"")</f>
        <v/>
      </c>
      <c r="AM43" s="397"/>
      <c r="AN43" s="397" t="str">
        <f>IF(AND('Mapa final'!$P$17="Muy Baja",'Mapa final'!$S$17="Catastrófico"),CONCATENATE("R",'Mapa final'!$A$17),"")</f>
        <v/>
      </c>
      <c r="AO43" s="39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row>
    <row r="44" spans="3:82" ht="15" customHeight="1">
      <c r="C44" s="68"/>
      <c r="D44" s="446"/>
      <c r="E44" s="446"/>
      <c r="F44" s="447"/>
      <c r="G44" s="418"/>
      <c r="H44" s="419"/>
      <c r="I44" s="419"/>
      <c r="J44" s="419"/>
      <c r="K44" s="419"/>
      <c r="L44" s="378"/>
      <c r="M44" s="379"/>
      <c r="N44" s="379"/>
      <c r="O44" s="379"/>
      <c r="P44" s="379"/>
      <c r="Q44" s="380"/>
      <c r="R44" s="378"/>
      <c r="S44" s="379"/>
      <c r="T44" s="379"/>
      <c r="U44" s="379"/>
      <c r="V44" s="379"/>
      <c r="W44" s="380"/>
      <c r="X44" s="387"/>
      <c r="Y44" s="388"/>
      <c r="Z44" s="388"/>
      <c r="AA44" s="388"/>
      <c r="AB44" s="388"/>
      <c r="AC44" s="389"/>
      <c r="AD44" s="405"/>
      <c r="AE44" s="406"/>
      <c r="AF44" s="406"/>
      <c r="AG44" s="406"/>
      <c r="AH44" s="406"/>
      <c r="AI44" s="407"/>
      <c r="AJ44" s="396"/>
      <c r="AK44" s="397"/>
      <c r="AL44" s="397"/>
      <c r="AM44" s="397"/>
      <c r="AN44" s="397"/>
      <c r="AO44" s="39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row>
    <row r="45" spans="3:82" ht="15" customHeight="1">
      <c r="C45" s="68"/>
      <c r="D45" s="446"/>
      <c r="E45" s="446"/>
      <c r="F45" s="447"/>
      <c r="G45" s="418"/>
      <c r="H45" s="419"/>
      <c r="I45" s="419"/>
      <c r="J45" s="419"/>
      <c r="K45" s="419"/>
      <c r="L45" s="378" t="str">
        <f>IF(AND('Mapa final'!$P$20="Muy Baja",'Mapa final'!$S$20="Leve"),CONCATENATE("R",'Mapa final'!$A$20),"")</f>
        <v/>
      </c>
      <c r="M45" s="379"/>
      <c r="N45" s="379" t="str">
        <f>IF(AND('Mapa final'!$K$21="Muy Baja",'Mapa final'!$O$21="Leve"),CONCATENATE("R",'Mapa final'!$A$21),"")</f>
        <v/>
      </c>
      <c r="O45" s="379"/>
      <c r="P45" s="379" t="str">
        <f>IF(AND('Mapa final'!$K$22="Muy Baja",'Mapa final'!$O$22="Leve"),CONCATENATE("R",'Mapa final'!$A$22),"")</f>
        <v/>
      </c>
      <c r="Q45" s="380"/>
      <c r="R45" s="378" t="str">
        <f>IF(AND('Mapa final'!$P$20="Muy Baja",'Mapa final'!$S$20="Menor"),CONCATENATE("R",'Mapa final'!$A$20),"")</f>
        <v/>
      </c>
      <c r="S45" s="379"/>
      <c r="T45" s="379" t="str">
        <f>IF(AND('Mapa final'!$P$21="Muy Baja",'Mapa final'!$S$21="Menor"),CONCATENATE("R",'Mapa final'!$A$21),"")</f>
        <v/>
      </c>
      <c r="U45" s="379"/>
      <c r="V45" s="379" t="str">
        <f>IF(AND('Mapa final'!$P$22="Muy Baja",'Mapa final'!$S$22="Menor"),CONCATENATE("R",'Mapa final'!$A$22),"")</f>
        <v/>
      </c>
      <c r="W45" s="380"/>
      <c r="X45" s="387" t="str">
        <f>IF(AND('Mapa final'!$P$20="Muy Baja",'Mapa final'!$S$20="Moderado"),CONCATENATE("R",'Mapa final'!$A$20),"")</f>
        <v/>
      </c>
      <c r="Y45" s="388"/>
      <c r="Z45" s="388" t="str">
        <f>IF(AND('Mapa final'!$P$21="Muy Baja",'Mapa final'!$S$21="Moderado"),CONCATENATE("R",'Mapa final'!$A$21),"")</f>
        <v/>
      </c>
      <c r="AA45" s="388"/>
      <c r="AB45" s="388" t="str">
        <f>IF(AND('Mapa final'!$P$22="Muy Baja",'Mapa final'!$S$22="Moderado"),CONCATENATE("R",'Mapa final'!$A$22),"")</f>
        <v/>
      </c>
      <c r="AC45" s="389"/>
      <c r="AD45" s="405" t="str">
        <f>IF(AND('Mapa final'!$P$20="Muy Baja",'Mapa final'!$S$20="Mayor"),CONCATENATE("R",'Mapa final'!$A$20),"")</f>
        <v/>
      </c>
      <c r="AE45" s="406"/>
      <c r="AF45" s="406" t="str">
        <f>IF(AND('Mapa final'!$P$21="Muy Baja",'Mapa final'!$S$21="Mayor"),CONCATENATE("R",'Mapa final'!$A$21),"")</f>
        <v/>
      </c>
      <c r="AG45" s="406"/>
      <c r="AH45" s="406" t="str">
        <f>IF(AND('Mapa final'!$P$22="Muy Baja",'Mapa final'!$S$22="Mayor"),CONCATENATE("R",'Mapa final'!$A$22),"")</f>
        <v/>
      </c>
      <c r="AI45" s="407"/>
      <c r="AJ45" s="396" t="str">
        <f>IF(AND('Mapa final'!$P$20="Muy Baja",'Mapa final'!$S$20="Catastrófico"),CONCATENATE("R",'Mapa final'!$A$20),"")</f>
        <v/>
      </c>
      <c r="AK45" s="397"/>
      <c r="AL45" s="397" t="str">
        <f>IF(AND('Mapa final'!$P$21="Muy Baja",'Mapa final'!$S$21="Catastrófico"),CONCATENATE("R",'Mapa final'!$A$21),"")</f>
        <v/>
      </c>
      <c r="AM45" s="397"/>
      <c r="AN45" s="397" t="str">
        <f>IF(AND('Mapa final'!$P$22="Muy Baja",'Mapa final'!$K$22="Catastrófico"),CONCATENATE("R",'Mapa final'!$A$22),"")</f>
        <v/>
      </c>
      <c r="AO45" s="39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row>
    <row r="46" spans="3:82" ht="15" customHeight="1">
      <c r="C46" s="68"/>
      <c r="D46" s="446"/>
      <c r="E46" s="446"/>
      <c r="F46" s="447"/>
      <c r="G46" s="418"/>
      <c r="H46" s="419"/>
      <c r="I46" s="419"/>
      <c r="J46" s="419"/>
      <c r="K46" s="419"/>
      <c r="L46" s="378"/>
      <c r="M46" s="379"/>
      <c r="N46" s="379"/>
      <c r="O46" s="379"/>
      <c r="P46" s="379"/>
      <c r="Q46" s="380"/>
      <c r="R46" s="378"/>
      <c r="S46" s="379"/>
      <c r="T46" s="379"/>
      <c r="U46" s="379"/>
      <c r="V46" s="379"/>
      <c r="W46" s="380"/>
      <c r="X46" s="387"/>
      <c r="Y46" s="388"/>
      <c r="Z46" s="388"/>
      <c r="AA46" s="388"/>
      <c r="AB46" s="388"/>
      <c r="AC46" s="389"/>
      <c r="AD46" s="405"/>
      <c r="AE46" s="406"/>
      <c r="AF46" s="406"/>
      <c r="AG46" s="406"/>
      <c r="AH46" s="406"/>
      <c r="AI46" s="407"/>
      <c r="AJ46" s="396"/>
      <c r="AK46" s="397"/>
      <c r="AL46" s="397"/>
      <c r="AM46" s="397"/>
      <c r="AN46" s="397"/>
      <c r="AO46" s="39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row>
    <row r="47" spans="3:82" ht="15" customHeight="1">
      <c r="C47" s="68"/>
      <c r="D47" s="446"/>
      <c r="E47" s="446"/>
      <c r="F47" s="447"/>
      <c r="G47" s="418"/>
      <c r="H47" s="419"/>
      <c r="I47" s="419"/>
      <c r="J47" s="419"/>
      <c r="K47" s="419"/>
      <c r="L47" s="378" t="str">
        <f>IF(AND('Mapa final'!$P$23="Muy Baja",'Mapa final'!$S$23="Leve"),CONCATENATE("R",'Mapa final'!$A$23),"")</f>
        <v/>
      </c>
      <c r="M47" s="379"/>
      <c r="N47" s="379" t="str">
        <f>IF(AND('Mapa final'!$K$24="Muy Baja",'Mapa final'!$O$24="Leve"),CONCATENATE("R",'Mapa final'!$A$24),"")</f>
        <v/>
      </c>
      <c r="O47" s="379"/>
      <c r="P47" s="379" t="str">
        <f>IF(AND('Mapa final'!$K$33="Muy Baja",'Mapa final'!$O$33="Leve"),CONCATENATE("R",'Mapa final'!$A$33),"")</f>
        <v/>
      </c>
      <c r="Q47" s="380"/>
      <c r="R47" s="378" t="str">
        <f>IF(AND('Mapa final'!$P$23="Muy Baja",'Mapa final'!$S$23="Menor"),CONCATENATE("R",'Mapa final'!$A$23),"")</f>
        <v/>
      </c>
      <c r="S47" s="379"/>
      <c r="T47" s="379" t="str">
        <f>IF(AND('Mapa final'!$LT$24="Muy Baja",'Mapa final'!$S$24="Menor"),CONCATENATE("R",'Mapa final'!$A$24),"")</f>
        <v/>
      </c>
      <c r="U47" s="379"/>
      <c r="V47" s="379" t="str">
        <f>IF(AND('Mapa final'!$P$33="Muy Baja",'Mapa final'!$S$33="Menor"),CONCATENATE("R",'Mapa final'!$A$33),"")</f>
        <v/>
      </c>
      <c r="W47" s="380"/>
      <c r="X47" s="387" t="str">
        <f>IF(AND('Mapa final'!$P$23="Muy Baja",'Mapa final'!$S$23="Moderado"),CONCATENATE("R",'Mapa final'!$A$23),"")</f>
        <v/>
      </c>
      <c r="Y47" s="388"/>
      <c r="Z47" s="388" t="str">
        <f>IF(AND('Mapa final'!$P$24="Muy Baja",'Mapa final'!$S$24="Moderado"),CONCATENATE("R",'Mapa final'!$A$24),"")</f>
        <v/>
      </c>
      <c r="AA47" s="388"/>
      <c r="AB47" s="388" t="str">
        <f>IF(AND('Mapa final'!$P$33="Muy Baja",'Mapa final'!$S$33="Moderado"),CONCATENATE("R",'Mapa final'!$A$33),"")</f>
        <v/>
      </c>
      <c r="AC47" s="389"/>
      <c r="AD47" s="405" t="str">
        <f>IF(AND('Mapa final'!$P$23="Muy Baja",'Mapa final'!$S$23="Mayor"),CONCATENATE("R",'Mapa final'!$A$23),"")</f>
        <v/>
      </c>
      <c r="AE47" s="406"/>
      <c r="AF47" s="406" t="str">
        <f>IF(AND('Mapa final'!$P$24="Muy Baja",'Mapa final'!$S$24="Mayor"),CONCATENATE("R",'Mapa final'!$A$24),"")</f>
        <v/>
      </c>
      <c r="AG47" s="406"/>
      <c r="AH47" s="406" t="str">
        <f>IF(AND('Mapa final'!$P$33="Muy Baja",'Mapa final'!$S$33="Mayor"),CONCATENATE("R",'Mapa final'!$A$33),"")</f>
        <v/>
      </c>
      <c r="AI47" s="407"/>
      <c r="AJ47" s="396" t="str">
        <f>IF(AND('Mapa final'!$P$23="Muy Baja",'Mapa final'!$S$23="Catastrófico"),CONCATENATE("R",'Mapa final'!$A$23),"")</f>
        <v/>
      </c>
      <c r="AK47" s="397"/>
      <c r="AL47" s="397" t="str">
        <f>IF(AND('Mapa final'!$P$24="Muy Baja",'Mapa final'!$S$24="Catastrófico"),CONCATENATE("R",'Mapa final'!$A$24),"")</f>
        <v/>
      </c>
      <c r="AM47" s="397"/>
      <c r="AN47" s="397" t="str">
        <f>IF(AND('Mapa final'!$P$33="Muy Baja",'Mapa final'!$S$33="Catastrófico"),CONCATENATE("R",'Mapa final'!$A$33),"")</f>
        <v/>
      </c>
      <c r="AO47" s="39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row>
    <row r="48" spans="3:82" ht="15" customHeight="1">
      <c r="C48" s="68"/>
      <c r="D48" s="446"/>
      <c r="E48" s="446"/>
      <c r="F48" s="447"/>
      <c r="G48" s="418"/>
      <c r="H48" s="419"/>
      <c r="I48" s="419"/>
      <c r="J48" s="419"/>
      <c r="K48" s="419"/>
      <c r="L48" s="378"/>
      <c r="M48" s="379"/>
      <c r="N48" s="379"/>
      <c r="O48" s="379"/>
      <c r="P48" s="379"/>
      <c r="Q48" s="380"/>
      <c r="R48" s="378"/>
      <c r="S48" s="379"/>
      <c r="T48" s="379"/>
      <c r="U48" s="379"/>
      <c r="V48" s="379"/>
      <c r="W48" s="380"/>
      <c r="X48" s="387"/>
      <c r="Y48" s="388"/>
      <c r="Z48" s="388"/>
      <c r="AA48" s="388"/>
      <c r="AB48" s="388"/>
      <c r="AC48" s="389"/>
      <c r="AD48" s="405"/>
      <c r="AE48" s="406"/>
      <c r="AF48" s="406"/>
      <c r="AG48" s="406"/>
      <c r="AH48" s="406"/>
      <c r="AI48" s="407"/>
      <c r="AJ48" s="396"/>
      <c r="AK48" s="397"/>
      <c r="AL48" s="397"/>
      <c r="AM48" s="397"/>
      <c r="AN48" s="397"/>
      <c r="AO48" s="39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row>
    <row r="49" spans="3:82" ht="15" customHeight="1">
      <c r="C49" s="68"/>
      <c r="D49" s="446"/>
      <c r="E49" s="446"/>
      <c r="F49" s="447"/>
      <c r="G49" s="418"/>
      <c r="H49" s="419"/>
      <c r="I49" s="419"/>
      <c r="J49" s="419"/>
      <c r="K49" s="419"/>
      <c r="L49" s="378" t="str">
        <f>IF(AND('Mapa final'!$P$34="Muy Baja",'Mapa final'!$S$34="Leve"),CONCATENATE("R",'Mapa final'!$A$34),"")</f>
        <v/>
      </c>
      <c r="M49" s="379"/>
      <c r="N49" s="379" t="str">
        <f>IF(AND('Mapa final'!$K$35="Muy Baja",'Mapa final'!$O$35="Leve"),CONCATENATE("R",'Mapa final'!$A$35),"")</f>
        <v/>
      </c>
      <c r="O49" s="379"/>
      <c r="P49" s="379" t="str">
        <f>IF(AND('Mapa final'!$K$36="Muy Baja",'Mapa final'!$O$36="Leve"),CONCATENATE("R",'Mapa final'!$A$36),"")</f>
        <v/>
      </c>
      <c r="Q49" s="380"/>
      <c r="R49" s="379" t="str">
        <f>IF(AND('Mapa final'!$P$34="Muy Baja",'Mapa final'!$S$34="Menor"),CONCATENATE("R",'Mapa final'!$A$34),"")</f>
        <v/>
      </c>
      <c r="S49" s="379"/>
      <c r="T49" s="379" t="str">
        <f>IF(AND('Mapa final'!$P$35="Muy Baja",'Mapa final'!$S$35="Menor"),CONCATENATE("R",'Mapa final'!$A$35),"")</f>
        <v/>
      </c>
      <c r="U49" s="379"/>
      <c r="V49" s="379" t="str">
        <f>IF(AND('Mapa final'!$P$36="Muy Baja",'Mapa final'!$S$36="Menor"),CONCATENATE("R",'Mapa final'!$A$36),"")</f>
        <v/>
      </c>
      <c r="W49" s="380"/>
      <c r="X49" s="387" t="str">
        <f>IF(AND('Mapa final'!$P$34="Muy Baja",'Mapa final'!$S$34="Moderado"),CONCATENATE("R",'Mapa final'!$A$34),"")</f>
        <v/>
      </c>
      <c r="Y49" s="388"/>
      <c r="Z49" s="388" t="str">
        <f>IF(AND('Mapa final'!$P$35="Muy Baja",'Mapa final'!$S$35="Moderado"),CONCATENATE("R",'Mapa final'!$A$35),"")</f>
        <v/>
      </c>
      <c r="AA49" s="388"/>
      <c r="AB49" s="388" t="str">
        <f>IF(AND('Mapa final'!$P$36="Muy Baja",'Mapa final'!$S$36="Moderado"),CONCATENATE("R",'Mapa final'!$A$36),"")</f>
        <v/>
      </c>
      <c r="AC49" s="389"/>
      <c r="AD49" s="405" t="str">
        <f>IF(AND('Mapa final'!$P$34="Muy Baja",'Mapa final'!$S$34="Mayor"),CONCATENATE("R",'Mapa final'!$A$34),"")</f>
        <v/>
      </c>
      <c r="AE49" s="406"/>
      <c r="AF49" s="406" t="str">
        <f>IF(AND('Mapa final'!$P$35="Muy Baja",'Mapa final'!$S$35="Mayor"),CONCATENATE("R",'Mapa final'!$A$35),"")</f>
        <v/>
      </c>
      <c r="AG49" s="406"/>
      <c r="AH49" s="406" t="str">
        <f>IF(AND('Mapa final'!$P$36="Muy Baja",'Mapa final'!$S$36="Mayor"),CONCATENATE("R",'Mapa final'!$A$36),"")</f>
        <v/>
      </c>
      <c r="AI49" s="407"/>
      <c r="AJ49" s="396" t="str">
        <f>IF(AND('Mapa final'!$P$34="Muy Baja",'Mapa final'!$S$34="Catastrófico"),CONCATENATE("R",'Mapa final'!$A$34),"")</f>
        <v/>
      </c>
      <c r="AK49" s="397"/>
      <c r="AL49" s="397" t="str">
        <f>IF(AND('Mapa final'!$P$35="Muy Baja",'Mapa final'!$S$35="Catastrófico"),CONCATENATE("R",'Mapa final'!$A$35),"")</f>
        <v/>
      </c>
      <c r="AM49" s="397"/>
      <c r="AN49" s="397" t="str">
        <f>IF(AND('Mapa final'!$P$36="Muy Baja",'Mapa final'!$S$36="Catastrófico"),CONCATENATE("R",'Mapa final'!$A$36),"")</f>
        <v/>
      </c>
      <c r="AO49" s="39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row>
    <row r="50" spans="3:82" ht="15.75" customHeight="1" thickBot="1">
      <c r="C50" s="68"/>
      <c r="D50" s="446"/>
      <c r="E50" s="446"/>
      <c r="F50" s="447"/>
      <c r="G50" s="421"/>
      <c r="H50" s="422"/>
      <c r="I50" s="422"/>
      <c r="J50" s="422"/>
      <c r="K50" s="422"/>
      <c r="L50" s="386"/>
      <c r="M50" s="381"/>
      <c r="N50" s="381"/>
      <c r="O50" s="381"/>
      <c r="P50" s="381"/>
      <c r="Q50" s="382"/>
      <c r="R50" s="381"/>
      <c r="S50" s="381"/>
      <c r="T50" s="381"/>
      <c r="U50" s="381"/>
      <c r="V50" s="381"/>
      <c r="W50" s="382"/>
      <c r="X50" s="390"/>
      <c r="Y50" s="391"/>
      <c r="Z50" s="391"/>
      <c r="AA50" s="391"/>
      <c r="AB50" s="391"/>
      <c r="AC50" s="392"/>
      <c r="AD50" s="408"/>
      <c r="AE50" s="409"/>
      <c r="AF50" s="409"/>
      <c r="AG50" s="409"/>
      <c r="AH50" s="409"/>
      <c r="AI50" s="410"/>
      <c r="AJ50" s="399"/>
      <c r="AK50" s="400"/>
      <c r="AL50" s="400"/>
      <c r="AM50" s="400"/>
      <c r="AN50" s="400"/>
      <c r="AO50" s="401"/>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row>
    <row r="51" spans="3:82">
      <c r="C51" s="68"/>
      <c r="D51" s="68"/>
      <c r="E51" s="68"/>
      <c r="F51" s="68"/>
      <c r="G51" s="68"/>
      <c r="H51" s="68"/>
      <c r="I51" s="68"/>
      <c r="J51" s="68"/>
      <c r="K51" s="68"/>
      <c r="L51" s="424" t="s">
        <v>339</v>
      </c>
      <c r="M51" s="419"/>
      <c r="N51" s="419"/>
      <c r="O51" s="419"/>
      <c r="P51" s="419"/>
      <c r="Q51" s="420"/>
      <c r="R51" s="414" t="s">
        <v>340</v>
      </c>
      <c r="S51" s="416"/>
      <c r="T51" s="416"/>
      <c r="U51" s="416"/>
      <c r="V51" s="416"/>
      <c r="W51" s="417"/>
      <c r="X51" s="414" t="s">
        <v>341</v>
      </c>
      <c r="Y51" s="416"/>
      <c r="Z51" s="416"/>
      <c r="AA51" s="416"/>
      <c r="AB51" s="416"/>
      <c r="AC51" s="417"/>
      <c r="AD51" s="414" t="s">
        <v>342</v>
      </c>
      <c r="AE51" s="415"/>
      <c r="AF51" s="416"/>
      <c r="AG51" s="416"/>
      <c r="AH51" s="416"/>
      <c r="AI51" s="417"/>
      <c r="AJ51" s="414" t="s">
        <v>343</v>
      </c>
      <c r="AK51" s="416"/>
      <c r="AL51" s="416"/>
      <c r="AM51" s="416"/>
      <c r="AN51" s="416"/>
      <c r="AO51" s="417"/>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row>
    <row r="52" spans="3:82">
      <c r="C52" s="68"/>
      <c r="D52" s="68"/>
      <c r="E52" s="68"/>
      <c r="F52" s="68"/>
      <c r="G52" s="68"/>
      <c r="H52" s="68"/>
      <c r="I52" s="68"/>
      <c r="J52" s="68"/>
      <c r="K52" s="68"/>
      <c r="L52" s="418"/>
      <c r="M52" s="419"/>
      <c r="N52" s="419"/>
      <c r="O52" s="419"/>
      <c r="P52" s="419"/>
      <c r="Q52" s="420"/>
      <c r="R52" s="418"/>
      <c r="S52" s="419"/>
      <c r="T52" s="419"/>
      <c r="U52" s="419"/>
      <c r="V52" s="419"/>
      <c r="W52" s="420"/>
      <c r="X52" s="418"/>
      <c r="Y52" s="419"/>
      <c r="Z52" s="419"/>
      <c r="AA52" s="419"/>
      <c r="AB52" s="419"/>
      <c r="AC52" s="420"/>
      <c r="AD52" s="418"/>
      <c r="AE52" s="419"/>
      <c r="AF52" s="419"/>
      <c r="AG52" s="419"/>
      <c r="AH52" s="419"/>
      <c r="AI52" s="420"/>
      <c r="AJ52" s="418"/>
      <c r="AK52" s="419"/>
      <c r="AL52" s="419"/>
      <c r="AM52" s="419"/>
      <c r="AN52" s="419"/>
      <c r="AO52" s="420"/>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row>
    <row r="53" spans="3:82">
      <c r="C53" s="68"/>
      <c r="D53" s="68"/>
      <c r="E53" s="68"/>
      <c r="F53" s="68"/>
      <c r="G53" s="68"/>
      <c r="H53" s="68"/>
      <c r="I53" s="68"/>
      <c r="J53" s="68"/>
      <c r="K53" s="68"/>
      <c r="L53" s="418"/>
      <c r="M53" s="419"/>
      <c r="N53" s="419"/>
      <c r="O53" s="419"/>
      <c r="P53" s="419"/>
      <c r="Q53" s="420"/>
      <c r="R53" s="418"/>
      <c r="S53" s="419"/>
      <c r="T53" s="419"/>
      <c r="U53" s="419"/>
      <c r="V53" s="419"/>
      <c r="W53" s="420"/>
      <c r="X53" s="418"/>
      <c r="Y53" s="419"/>
      <c r="Z53" s="419"/>
      <c r="AA53" s="419"/>
      <c r="AB53" s="419"/>
      <c r="AC53" s="420"/>
      <c r="AD53" s="418"/>
      <c r="AE53" s="419"/>
      <c r="AF53" s="419"/>
      <c r="AG53" s="419"/>
      <c r="AH53" s="419"/>
      <c r="AI53" s="420"/>
      <c r="AJ53" s="418"/>
      <c r="AK53" s="419"/>
      <c r="AL53" s="419"/>
      <c r="AM53" s="419"/>
      <c r="AN53" s="419"/>
      <c r="AO53" s="420"/>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row>
    <row r="54" spans="3:82">
      <c r="C54" s="68"/>
      <c r="D54" s="68"/>
      <c r="E54" s="68"/>
      <c r="F54" s="68"/>
      <c r="G54" s="68"/>
      <c r="H54" s="68"/>
      <c r="I54" s="68"/>
      <c r="J54" s="68"/>
      <c r="K54" s="68"/>
      <c r="L54" s="418"/>
      <c r="M54" s="419"/>
      <c r="N54" s="419"/>
      <c r="O54" s="419"/>
      <c r="P54" s="419"/>
      <c r="Q54" s="420"/>
      <c r="R54" s="418"/>
      <c r="S54" s="419"/>
      <c r="T54" s="419"/>
      <c r="U54" s="419"/>
      <c r="V54" s="419"/>
      <c r="W54" s="420"/>
      <c r="X54" s="418"/>
      <c r="Y54" s="419"/>
      <c r="Z54" s="419"/>
      <c r="AA54" s="419"/>
      <c r="AB54" s="419"/>
      <c r="AC54" s="420"/>
      <c r="AD54" s="418"/>
      <c r="AE54" s="419"/>
      <c r="AF54" s="419"/>
      <c r="AG54" s="419"/>
      <c r="AH54" s="419"/>
      <c r="AI54" s="420"/>
      <c r="AJ54" s="418"/>
      <c r="AK54" s="419"/>
      <c r="AL54" s="419"/>
      <c r="AM54" s="419"/>
      <c r="AN54" s="419"/>
      <c r="AO54" s="420"/>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row>
    <row r="55" spans="3:82">
      <c r="C55" s="68"/>
      <c r="D55" s="68"/>
      <c r="E55" s="68"/>
      <c r="F55" s="68"/>
      <c r="G55" s="68"/>
      <c r="H55" s="68"/>
      <c r="I55" s="68"/>
      <c r="J55" s="68"/>
      <c r="K55" s="68"/>
      <c r="L55" s="418"/>
      <c r="M55" s="419"/>
      <c r="N55" s="419"/>
      <c r="O55" s="419"/>
      <c r="P55" s="419"/>
      <c r="Q55" s="420"/>
      <c r="R55" s="418"/>
      <c r="S55" s="419"/>
      <c r="T55" s="419"/>
      <c r="U55" s="419"/>
      <c r="V55" s="419"/>
      <c r="W55" s="420"/>
      <c r="X55" s="418"/>
      <c r="Y55" s="419"/>
      <c r="Z55" s="419"/>
      <c r="AA55" s="419"/>
      <c r="AB55" s="419"/>
      <c r="AC55" s="420"/>
      <c r="AD55" s="418"/>
      <c r="AE55" s="419"/>
      <c r="AF55" s="419"/>
      <c r="AG55" s="419"/>
      <c r="AH55" s="419"/>
      <c r="AI55" s="420"/>
      <c r="AJ55" s="418"/>
      <c r="AK55" s="419"/>
      <c r="AL55" s="419"/>
      <c r="AM55" s="419"/>
      <c r="AN55" s="419"/>
      <c r="AO55" s="420"/>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row>
    <row r="56" spans="3:82" ht="15" thickBot="1">
      <c r="C56" s="68"/>
      <c r="D56" s="68"/>
      <c r="E56" s="68"/>
      <c r="F56" s="68"/>
      <c r="G56" s="68"/>
      <c r="H56" s="68"/>
      <c r="I56" s="68"/>
      <c r="J56" s="68"/>
      <c r="K56" s="68"/>
      <c r="L56" s="421"/>
      <c r="M56" s="422"/>
      <c r="N56" s="422"/>
      <c r="O56" s="422"/>
      <c r="P56" s="422"/>
      <c r="Q56" s="423"/>
      <c r="R56" s="421"/>
      <c r="S56" s="422"/>
      <c r="T56" s="422"/>
      <c r="U56" s="422"/>
      <c r="V56" s="422"/>
      <c r="W56" s="423"/>
      <c r="X56" s="421"/>
      <c r="Y56" s="422"/>
      <c r="Z56" s="422"/>
      <c r="AA56" s="422"/>
      <c r="AB56" s="422"/>
      <c r="AC56" s="423"/>
      <c r="AD56" s="421"/>
      <c r="AE56" s="422"/>
      <c r="AF56" s="422"/>
      <c r="AG56" s="422"/>
      <c r="AH56" s="422"/>
      <c r="AI56" s="423"/>
      <c r="AJ56" s="421"/>
      <c r="AK56" s="422"/>
      <c r="AL56" s="422"/>
      <c r="AM56" s="422"/>
      <c r="AN56" s="422"/>
      <c r="AO56" s="423"/>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row>
    <row r="57" spans="3:82">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row>
    <row r="58" spans="3:82" ht="15" customHeight="1">
      <c r="C58" s="68"/>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row>
    <row r="59" spans="3:82" ht="15" customHeight="1">
      <c r="C59" s="68"/>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row>
    <row r="60" spans="3:82">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row>
    <row r="61" spans="3:82">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row>
    <row r="62" spans="3:82">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row>
    <row r="63" spans="3:82">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row>
    <row r="64" spans="3:82">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row>
    <row r="65" spans="3:82">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row>
    <row r="66" spans="3:82">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row>
    <row r="67" spans="3:82">
      <c r="C67" s="68"/>
      <c r="D67" s="68"/>
      <c r="E67" s="68"/>
      <c r="F67" s="68"/>
      <c r="G67" s="68"/>
      <c r="H67" s="68" t="s">
        <v>344</v>
      </c>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row>
    <row r="68" spans="3:82">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row>
    <row r="69" spans="3:82">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row>
    <row r="70" spans="3:82">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row>
    <row r="71" spans="3:82">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row>
    <row r="72" spans="3:82">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row>
    <row r="73" spans="3:82">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row>
    <row r="74" spans="3:82">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row>
    <row r="75" spans="3:82">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row>
    <row r="76" spans="3:82">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row>
    <row r="77" spans="3:82">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row>
    <row r="78" spans="3:82">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row>
    <row r="79" spans="3:82">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row>
    <row r="80" spans="3:82">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row>
    <row r="81" spans="3:82">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row>
    <row r="82" spans="3:82">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row>
    <row r="83" spans="3:82">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row>
    <row r="84" spans="3:82">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row>
    <row r="85" spans="3:82">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row>
    <row r="86" spans="3:82">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row>
    <row r="87" spans="3:82">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row>
    <row r="88" spans="3:82">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row>
    <row r="89" spans="3:82">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row>
    <row r="90" spans="3:82">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row>
    <row r="91" spans="3:82">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row>
    <row r="92" spans="3:82">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row>
    <row r="93" spans="3:82">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row>
    <row r="94" spans="3:82">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row>
    <row r="95" spans="3:82">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row>
    <row r="96" spans="3:82">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row>
    <row r="97" spans="3:65">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row>
    <row r="98" spans="3:65">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row>
    <row r="99" spans="3:65">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row>
    <row r="100" spans="3:65">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row>
    <row r="101" spans="3:65">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row>
    <row r="102" spans="3:65">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row>
    <row r="103" spans="3:65">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row>
    <row r="104" spans="3:65">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row>
    <row r="105" spans="3:65">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row>
    <row r="106" spans="3:65">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row>
    <row r="107" spans="3:65">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row>
    <row r="108" spans="3:65">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row>
    <row r="109" spans="3:65">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row>
    <row r="110" spans="3:65">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row>
    <row r="111" spans="3:65">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row>
    <row r="112" spans="3:65">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row>
    <row r="113" spans="3:65">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row>
    <row r="114" spans="3:65">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row>
    <row r="115" spans="3:65">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row>
    <row r="116" spans="3:65">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row>
    <row r="117" spans="3:65">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row>
    <row r="118" spans="3:65">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row>
    <row r="119" spans="3:65">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row>
    <row r="120" spans="3:65">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row>
    <row r="121" spans="3:65">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row>
    <row r="122" spans="3:65">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row>
    <row r="123" spans="3:65">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row>
    <row r="124" spans="3:65">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row>
    <row r="125" spans="3:65">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row>
    <row r="126" spans="3:65">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row>
    <row r="127" spans="3:65">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row>
    <row r="128" spans="3:65">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row>
    <row r="129" spans="4:65">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row>
    <row r="130" spans="4:65">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row>
    <row r="131" spans="4:65">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row>
    <row r="132" spans="4:65">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row>
    <row r="133" spans="4:65">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row>
    <row r="134" spans="4:65">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row>
    <row r="135" spans="4:65">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row>
    <row r="136" spans="4:65">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row>
    <row r="137" spans="4:65">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row>
    <row r="138" spans="4:65">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row>
    <row r="139" spans="4:65">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row>
    <row r="140" spans="4:65">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row>
    <row r="141" spans="4:65">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row>
    <row r="142" spans="4:65">
      <c r="D142" s="68"/>
      <c r="E142" s="68"/>
      <c r="F142" s="68"/>
      <c r="G142" s="68"/>
      <c r="H142" s="68"/>
      <c r="I142" s="68"/>
      <c r="J142" s="68"/>
      <c r="K142" s="68"/>
    </row>
    <row r="143" spans="4:65">
      <c r="D143" s="68"/>
      <c r="E143" s="68"/>
      <c r="F143" s="68"/>
      <c r="G143" s="68"/>
      <c r="H143" s="68"/>
      <c r="I143" s="68"/>
      <c r="J143" s="68"/>
      <c r="K143" s="68"/>
    </row>
    <row r="144" spans="4:65">
      <c r="D144" s="68"/>
      <c r="E144" s="68"/>
      <c r="F144" s="68"/>
      <c r="G144" s="68"/>
      <c r="H144" s="68"/>
      <c r="I144" s="68"/>
      <c r="J144" s="68"/>
      <c r="K144" s="68"/>
    </row>
    <row r="145" spans="4:11">
      <c r="D145" s="68"/>
      <c r="E145" s="68"/>
      <c r="F145" s="68"/>
      <c r="G145" s="68"/>
      <c r="H145" s="68"/>
      <c r="I145" s="68"/>
      <c r="J145" s="68"/>
      <c r="K145" s="68"/>
    </row>
  </sheetData>
  <mergeCells count="324">
    <mergeCell ref="AP2:AV2"/>
    <mergeCell ref="AP3:AV3"/>
    <mergeCell ref="AP4:AV4"/>
    <mergeCell ref="AP5:AV5"/>
    <mergeCell ref="L2:AO5"/>
    <mergeCell ref="D2:K5"/>
    <mergeCell ref="D11:F50"/>
    <mergeCell ref="AQ11:AV18"/>
    <mergeCell ref="AQ19:AV26"/>
    <mergeCell ref="AQ27:AV34"/>
    <mergeCell ref="AQ35:AV42"/>
    <mergeCell ref="G27:K34"/>
    <mergeCell ref="G43:K50"/>
    <mergeCell ref="L7:AO9"/>
    <mergeCell ref="G11:K18"/>
    <mergeCell ref="G19:K26"/>
    <mergeCell ref="G35:K42"/>
    <mergeCell ref="AF15:AG16"/>
    <mergeCell ref="AH15:AI16"/>
    <mergeCell ref="AD11:AE12"/>
    <mergeCell ref="AF11:AG12"/>
    <mergeCell ref="AD17:AE18"/>
    <mergeCell ref="AF17:AG18"/>
    <mergeCell ref="AH17:AI18"/>
    <mergeCell ref="L51:Q56"/>
    <mergeCell ref="R51:W56"/>
    <mergeCell ref="X51:AC56"/>
    <mergeCell ref="P15:Q16"/>
    <mergeCell ref="P17:Q18"/>
    <mergeCell ref="T17:U18"/>
    <mergeCell ref="V17:W18"/>
    <mergeCell ref="X11:Y12"/>
    <mergeCell ref="Z11:AA12"/>
    <mergeCell ref="AB11:AC12"/>
    <mergeCell ref="X13:Y14"/>
    <mergeCell ref="Z13:AA14"/>
    <mergeCell ref="AB13:AC14"/>
    <mergeCell ref="X15:Y16"/>
    <mergeCell ref="Z15:AA16"/>
    <mergeCell ref="T11:U12"/>
    <mergeCell ref="V11:W12"/>
    <mergeCell ref="L11:M12"/>
    <mergeCell ref="AB15:AC16"/>
    <mergeCell ref="X17:Y18"/>
    <mergeCell ref="Z17:AA18"/>
    <mergeCell ref="AB17:AC18"/>
    <mergeCell ref="L23:M24"/>
    <mergeCell ref="N23:O24"/>
    <mergeCell ref="AD51:AI56"/>
    <mergeCell ref="AJ51:AO56"/>
    <mergeCell ref="R11:S12"/>
    <mergeCell ref="R17:S18"/>
    <mergeCell ref="N11:O12"/>
    <mergeCell ref="P11:Q12"/>
    <mergeCell ref="P13:Q14"/>
    <mergeCell ref="N13:O14"/>
    <mergeCell ref="L13:M14"/>
    <mergeCell ref="L15:M16"/>
    <mergeCell ref="R13:S14"/>
    <mergeCell ref="T13:U14"/>
    <mergeCell ref="V13:W14"/>
    <mergeCell ref="R15:S16"/>
    <mergeCell ref="T15:U16"/>
    <mergeCell ref="V15:W16"/>
    <mergeCell ref="L17:M18"/>
    <mergeCell ref="N15:O16"/>
    <mergeCell ref="N17:O18"/>
    <mergeCell ref="AH11:AI12"/>
    <mergeCell ref="AD13:AE14"/>
    <mergeCell ref="AF13:AG14"/>
    <mergeCell ref="AH13:AI14"/>
    <mergeCell ref="AD15:AE16"/>
    <mergeCell ref="AD19:AE20"/>
    <mergeCell ref="AF19:AG20"/>
    <mergeCell ref="AH19:AI20"/>
    <mergeCell ref="AD21:AE22"/>
    <mergeCell ref="AF21:AG22"/>
    <mergeCell ref="AH21:AI22"/>
    <mergeCell ref="X25:Y26"/>
    <mergeCell ref="Z25:AA26"/>
    <mergeCell ref="AB25:AC26"/>
    <mergeCell ref="X19:Y20"/>
    <mergeCell ref="Z19:AA20"/>
    <mergeCell ref="AB19:AC20"/>
    <mergeCell ref="X21:Y22"/>
    <mergeCell ref="Z21:AA22"/>
    <mergeCell ref="AB21:AC22"/>
    <mergeCell ref="AD23:AE24"/>
    <mergeCell ref="AF23:AG24"/>
    <mergeCell ref="X23:Y24"/>
    <mergeCell ref="Z23:AA24"/>
    <mergeCell ref="AB23:AC24"/>
    <mergeCell ref="AH23:AI24"/>
    <mergeCell ref="AD25:AE26"/>
    <mergeCell ref="AF25:AG26"/>
    <mergeCell ref="AH25:AI26"/>
    <mergeCell ref="AD31:AE32"/>
    <mergeCell ref="AF31:AG32"/>
    <mergeCell ref="AH31:AI32"/>
    <mergeCell ref="AD33:AE34"/>
    <mergeCell ref="AF33:AG34"/>
    <mergeCell ref="AH33:AI34"/>
    <mergeCell ref="AD27:AE28"/>
    <mergeCell ref="AF27:AG28"/>
    <mergeCell ref="AH27:AI28"/>
    <mergeCell ref="AD29:AE30"/>
    <mergeCell ref="AF29:AG30"/>
    <mergeCell ref="AH29:AI30"/>
    <mergeCell ref="AD39:AE40"/>
    <mergeCell ref="AF39:AG40"/>
    <mergeCell ref="AH39:AI40"/>
    <mergeCell ref="AD41:AE42"/>
    <mergeCell ref="AF41:AG42"/>
    <mergeCell ref="AH41:AI42"/>
    <mergeCell ref="AD35:AE36"/>
    <mergeCell ref="AF35:AG36"/>
    <mergeCell ref="AH35:AI36"/>
    <mergeCell ref="AD37:AE38"/>
    <mergeCell ref="AF37:AG38"/>
    <mergeCell ref="AH37:AI38"/>
    <mergeCell ref="AD47:AE48"/>
    <mergeCell ref="AF47:AG48"/>
    <mergeCell ref="AH47:AI48"/>
    <mergeCell ref="AD49:AE50"/>
    <mergeCell ref="AF49:AG50"/>
    <mergeCell ref="AH49:AI50"/>
    <mergeCell ref="AD43:AE44"/>
    <mergeCell ref="AF43:AG44"/>
    <mergeCell ref="AH43:AI44"/>
    <mergeCell ref="AD45:AE46"/>
    <mergeCell ref="AF45:AG46"/>
    <mergeCell ref="AH45:AI46"/>
    <mergeCell ref="AJ15:AK16"/>
    <mergeCell ref="AL15:AM16"/>
    <mergeCell ref="AN15:AO16"/>
    <mergeCell ref="AJ17:AK18"/>
    <mergeCell ref="AL17:AM18"/>
    <mergeCell ref="AN17:AO18"/>
    <mergeCell ref="AJ11:AK12"/>
    <mergeCell ref="AL11:AM12"/>
    <mergeCell ref="AN11:AO12"/>
    <mergeCell ref="AJ13:AK14"/>
    <mergeCell ref="AL13:AM14"/>
    <mergeCell ref="AN13:AO14"/>
    <mergeCell ref="AJ23:AK24"/>
    <mergeCell ref="AL23:AM24"/>
    <mergeCell ref="AN23:AO24"/>
    <mergeCell ref="AJ25:AK26"/>
    <mergeCell ref="AL25:AM26"/>
    <mergeCell ref="AN25:AO26"/>
    <mergeCell ref="AJ19:AK20"/>
    <mergeCell ref="AL19:AM20"/>
    <mergeCell ref="AN19:AO20"/>
    <mergeCell ref="AJ21:AK22"/>
    <mergeCell ref="AL21:AM22"/>
    <mergeCell ref="AN21:AO22"/>
    <mergeCell ref="AJ31:AK32"/>
    <mergeCell ref="AL31:AM32"/>
    <mergeCell ref="AN31:AO32"/>
    <mergeCell ref="AJ33:AK34"/>
    <mergeCell ref="AL33:AM34"/>
    <mergeCell ref="AN33:AO34"/>
    <mergeCell ref="AJ27:AK28"/>
    <mergeCell ref="AL27:AM28"/>
    <mergeCell ref="AN27:AO28"/>
    <mergeCell ref="AJ29:AK30"/>
    <mergeCell ref="AL29:AM30"/>
    <mergeCell ref="AN29:AO30"/>
    <mergeCell ref="AJ39:AK40"/>
    <mergeCell ref="AL39:AM40"/>
    <mergeCell ref="AN39:AO40"/>
    <mergeCell ref="AJ41:AK42"/>
    <mergeCell ref="AL41:AM42"/>
    <mergeCell ref="AN41:AO42"/>
    <mergeCell ref="AJ35:AK36"/>
    <mergeCell ref="AL35:AM36"/>
    <mergeCell ref="AN35:AO36"/>
    <mergeCell ref="AJ37:AK38"/>
    <mergeCell ref="AL37:AM38"/>
    <mergeCell ref="AN37:AO38"/>
    <mergeCell ref="AJ47:AK48"/>
    <mergeCell ref="AL47:AM48"/>
    <mergeCell ref="AN47:AO48"/>
    <mergeCell ref="AJ49:AK50"/>
    <mergeCell ref="AL49:AM50"/>
    <mergeCell ref="AN49:AO50"/>
    <mergeCell ref="AJ43:AK44"/>
    <mergeCell ref="AL43:AM44"/>
    <mergeCell ref="AN43:AO44"/>
    <mergeCell ref="AJ45:AK46"/>
    <mergeCell ref="AL45:AM46"/>
    <mergeCell ref="AN45:AO46"/>
    <mergeCell ref="P23:Q24"/>
    <mergeCell ref="L25:M26"/>
    <mergeCell ref="N25:O26"/>
    <mergeCell ref="P25:Q26"/>
    <mergeCell ref="L19:M20"/>
    <mergeCell ref="N19:O20"/>
    <mergeCell ref="P19:Q20"/>
    <mergeCell ref="L21:M22"/>
    <mergeCell ref="N21:O22"/>
    <mergeCell ref="P21:Q22"/>
    <mergeCell ref="R23:S24"/>
    <mergeCell ref="T23:U24"/>
    <mergeCell ref="V23:W24"/>
    <mergeCell ref="R25:S26"/>
    <mergeCell ref="T25:U26"/>
    <mergeCell ref="V25:W26"/>
    <mergeCell ref="R19:S20"/>
    <mergeCell ref="T19:U20"/>
    <mergeCell ref="V19:W20"/>
    <mergeCell ref="R21:S22"/>
    <mergeCell ref="T21:U22"/>
    <mergeCell ref="V21:W22"/>
    <mergeCell ref="L31:M32"/>
    <mergeCell ref="N31:O32"/>
    <mergeCell ref="P31:Q32"/>
    <mergeCell ref="L33:M34"/>
    <mergeCell ref="N33:O34"/>
    <mergeCell ref="P33:Q34"/>
    <mergeCell ref="L27:M28"/>
    <mergeCell ref="N27:O28"/>
    <mergeCell ref="P27:Q28"/>
    <mergeCell ref="L29:M30"/>
    <mergeCell ref="N29:O30"/>
    <mergeCell ref="P29:Q30"/>
    <mergeCell ref="R31:S32"/>
    <mergeCell ref="T31:U32"/>
    <mergeCell ref="V31:W32"/>
    <mergeCell ref="R33:S34"/>
    <mergeCell ref="T33:U34"/>
    <mergeCell ref="V33:W34"/>
    <mergeCell ref="R27:S28"/>
    <mergeCell ref="T27:U28"/>
    <mergeCell ref="V27:W28"/>
    <mergeCell ref="R29:S30"/>
    <mergeCell ref="T29:U30"/>
    <mergeCell ref="V29:W30"/>
    <mergeCell ref="X31:Y32"/>
    <mergeCell ref="Z31:AA32"/>
    <mergeCell ref="AB31:AC32"/>
    <mergeCell ref="X33:Y34"/>
    <mergeCell ref="Z33:AA34"/>
    <mergeCell ref="AB33:AC34"/>
    <mergeCell ref="X27:Y28"/>
    <mergeCell ref="Z27:AA28"/>
    <mergeCell ref="AB27:AC28"/>
    <mergeCell ref="X29:Y30"/>
    <mergeCell ref="Z29:AA30"/>
    <mergeCell ref="AB29:AC30"/>
    <mergeCell ref="X39:Y40"/>
    <mergeCell ref="Z39:AA40"/>
    <mergeCell ref="AB39:AC40"/>
    <mergeCell ref="X41:Y42"/>
    <mergeCell ref="Z41:AA42"/>
    <mergeCell ref="AB41:AC42"/>
    <mergeCell ref="X35:Y36"/>
    <mergeCell ref="Z35:AA36"/>
    <mergeCell ref="AB35:AC36"/>
    <mergeCell ref="X37:Y38"/>
    <mergeCell ref="Z37:AA38"/>
    <mergeCell ref="AB37:AC38"/>
    <mergeCell ref="R39:S40"/>
    <mergeCell ref="T39:U40"/>
    <mergeCell ref="V39:W40"/>
    <mergeCell ref="R41:S42"/>
    <mergeCell ref="T41:U42"/>
    <mergeCell ref="V41:W42"/>
    <mergeCell ref="R35:S36"/>
    <mergeCell ref="T35:U36"/>
    <mergeCell ref="V35:W36"/>
    <mergeCell ref="R37:S38"/>
    <mergeCell ref="T37:U38"/>
    <mergeCell ref="V37:W38"/>
    <mergeCell ref="X47:Y48"/>
    <mergeCell ref="Z47:AA48"/>
    <mergeCell ref="AB47:AC48"/>
    <mergeCell ref="X49:Y50"/>
    <mergeCell ref="Z49:AA50"/>
    <mergeCell ref="AB49:AC50"/>
    <mergeCell ref="X43:Y44"/>
    <mergeCell ref="Z43:AA44"/>
    <mergeCell ref="AB43:AC44"/>
    <mergeCell ref="X45:Y46"/>
    <mergeCell ref="Z45:AA46"/>
    <mergeCell ref="AB45:AC46"/>
    <mergeCell ref="N45:O46"/>
    <mergeCell ref="P45:Q46"/>
    <mergeCell ref="L39:M40"/>
    <mergeCell ref="N39:O40"/>
    <mergeCell ref="P39:Q40"/>
    <mergeCell ref="L41:M42"/>
    <mergeCell ref="N41:O42"/>
    <mergeCell ref="P41:Q42"/>
    <mergeCell ref="L35:M36"/>
    <mergeCell ref="N35:O36"/>
    <mergeCell ref="P35:Q36"/>
    <mergeCell ref="L37:M38"/>
    <mergeCell ref="N37:O38"/>
    <mergeCell ref="P37:Q38"/>
    <mergeCell ref="A8:C8"/>
    <mergeCell ref="D7:K9"/>
    <mergeCell ref="R47:S48"/>
    <mergeCell ref="T47:U48"/>
    <mergeCell ref="V47:W48"/>
    <mergeCell ref="R49:S50"/>
    <mergeCell ref="T49:U50"/>
    <mergeCell ref="V49:W50"/>
    <mergeCell ref="R43:S44"/>
    <mergeCell ref="T43:U44"/>
    <mergeCell ref="V43:W44"/>
    <mergeCell ref="R45:S46"/>
    <mergeCell ref="T45:U46"/>
    <mergeCell ref="V45:W46"/>
    <mergeCell ref="L47:M48"/>
    <mergeCell ref="N47:O48"/>
    <mergeCell ref="P47:Q48"/>
    <mergeCell ref="L49:M50"/>
    <mergeCell ref="N49:O50"/>
    <mergeCell ref="P49:Q50"/>
    <mergeCell ref="L43:M44"/>
    <mergeCell ref="N43:O44"/>
    <mergeCell ref="P43:Q44"/>
    <mergeCell ref="L45:M46"/>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CN254"/>
  <sheetViews>
    <sheetView showGridLines="0" zoomScale="60" zoomScaleNormal="60" workbookViewId="0">
      <pane ySplit="7" topLeftCell="A48" activePane="bottomLeft" state="frozen"/>
      <selection pane="bottomLeft" activeCell="AX15" sqref="AX14:AX15"/>
    </sheetView>
  </sheetViews>
  <sheetFormatPr defaultColWidth="11.42578125" defaultRowHeight="14.45"/>
  <cols>
    <col min="3" max="19" width="5.7109375" customWidth="1"/>
    <col min="20" max="20" width="6.7109375" customWidth="1"/>
    <col min="21" max="23" width="5.7109375" customWidth="1"/>
    <col min="24" max="24" width="7.42578125" customWidth="1"/>
    <col min="25" max="25" width="8.42578125" customWidth="1"/>
    <col min="26" max="26" width="12" customWidth="1"/>
    <col min="27" max="27" width="5.7109375" customWidth="1"/>
    <col min="28" max="28" width="10.7109375" customWidth="1"/>
    <col min="29" max="29" width="5.7109375" customWidth="1"/>
    <col min="30" max="30" width="7.42578125" customWidth="1"/>
    <col min="31" max="31" width="8.5703125" customWidth="1"/>
    <col min="32" max="34" width="5.7109375" customWidth="1"/>
    <col min="35" max="35" width="8.42578125" customWidth="1"/>
    <col min="36" max="36" width="9.7109375" customWidth="1"/>
    <col min="37" max="40" width="5.7109375" customWidth="1"/>
    <col min="42" max="47" width="5.7109375" customWidth="1"/>
  </cols>
  <sheetData>
    <row r="1" spans="1:92" ht="15" thickBot="1"/>
    <row r="2" spans="1:92">
      <c r="C2" s="437" t="s">
        <v>326</v>
      </c>
      <c r="D2" s="438"/>
      <c r="E2" s="438"/>
      <c r="F2" s="438"/>
      <c r="G2" s="438"/>
      <c r="H2" s="438"/>
      <c r="I2" s="438"/>
      <c r="J2" s="439"/>
      <c r="K2" s="428" t="s">
        <v>1</v>
      </c>
      <c r="L2" s="429"/>
      <c r="M2" s="429"/>
      <c r="N2" s="429"/>
      <c r="O2" s="429"/>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30"/>
      <c r="AO2" s="369" t="s">
        <v>8</v>
      </c>
      <c r="AP2" s="425"/>
      <c r="AQ2" s="425"/>
      <c r="AR2" s="425"/>
      <c r="AS2" s="425"/>
      <c r="AT2" s="425"/>
      <c r="AU2" s="343"/>
    </row>
    <row r="3" spans="1:92">
      <c r="C3" s="440"/>
      <c r="D3" s="441"/>
      <c r="E3" s="441"/>
      <c r="F3" s="441"/>
      <c r="G3" s="441"/>
      <c r="H3" s="441"/>
      <c r="I3" s="441"/>
      <c r="J3" s="442"/>
      <c r="K3" s="431"/>
      <c r="L3" s="432"/>
      <c r="M3" s="432"/>
      <c r="N3" s="432"/>
      <c r="O3" s="432"/>
      <c r="P3" s="432"/>
      <c r="Q3" s="432"/>
      <c r="R3" s="432"/>
      <c r="S3" s="432"/>
      <c r="T3" s="432"/>
      <c r="U3" s="432"/>
      <c r="V3" s="432"/>
      <c r="W3" s="432"/>
      <c r="X3" s="432"/>
      <c r="Y3" s="432"/>
      <c r="Z3" s="432"/>
      <c r="AA3" s="432"/>
      <c r="AB3" s="432"/>
      <c r="AC3" s="432"/>
      <c r="AD3" s="432"/>
      <c r="AE3" s="432"/>
      <c r="AF3" s="432"/>
      <c r="AG3" s="432"/>
      <c r="AH3" s="432"/>
      <c r="AI3" s="432"/>
      <c r="AJ3" s="432"/>
      <c r="AK3" s="432"/>
      <c r="AL3" s="432"/>
      <c r="AM3" s="432"/>
      <c r="AN3" s="433"/>
      <c r="AO3" s="370" t="s">
        <v>3</v>
      </c>
      <c r="AP3" s="426"/>
      <c r="AQ3" s="426"/>
      <c r="AR3" s="426"/>
      <c r="AS3" s="426"/>
      <c r="AT3" s="426"/>
      <c r="AU3" s="345"/>
    </row>
    <row r="4" spans="1:92">
      <c r="C4" s="440"/>
      <c r="D4" s="441"/>
      <c r="E4" s="441"/>
      <c r="F4" s="441"/>
      <c r="G4" s="441"/>
      <c r="H4" s="441"/>
      <c r="I4" s="441"/>
      <c r="J4" s="442"/>
      <c r="K4" s="431"/>
      <c r="L4" s="432"/>
      <c r="M4" s="432"/>
      <c r="N4" s="432"/>
      <c r="O4" s="432"/>
      <c r="P4" s="432"/>
      <c r="Q4" s="432"/>
      <c r="R4" s="432"/>
      <c r="S4" s="432"/>
      <c r="T4" s="432"/>
      <c r="U4" s="432"/>
      <c r="V4" s="432"/>
      <c r="W4" s="432"/>
      <c r="X4" s="432"/>
      <c r="Y4" s="432"/>
      <c r="Z4" s="432"/>
      <c r="AA4" s="432"/>
      <c r="AB4" s="432"/>
      <c r="AC4" s="432"/>
      <c r="AD4" s="432"/>
      <c r="AE4" s="432"/>
      <c r="AF4" s="432"/>
      <c r="AG4" s="432"/>
      <c r="AH4" s="432"/>
      <c r="AI4" s="432"/>
      <c r="AJ4" s="432"/>
      <c r="AK4" s="432"/>
      <c r="AL4" s="432"/>
      <c r="AM4" s="432"/>
      <c r="AN4" s="433"/>
      <c r="AO4" s="370" t="s">
        <v>4</v>
      </c>
      <c r="AP4" s="426" t="s">
        <v>328</v>
      </c>
      <c r="AQ4" s="426"/>
      <c r="AR4" s="426"/>
      <c r="AS4" s="426"/>
      <c r="AT4" s="426"/>
      <c r="AU4" s="345"/>
    </row>
    <row r="5" spans="1:92" ht="15" thickBot="1">
      <c r="C5" s="443"/>
      <c r="D5" s="444"/>
      <c r="E5" s="444"/>
      <c r="F5" s="444"/>
      <c r="G5" s="444"/>
      <c r="H5" s="444"/>
      <c r="I5" s="444"/>
      <c r="J5" s="445"/>
      <c r="K5" s="434"/>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6"/>
      <c r="AO5" s="371" t="s">
        <v>5</v>
      </c>
      <c r="AP5" s="427" t="s">
        <v>5</v>
      </c>
      <c r="AQ5" s="427"/>
      <c r="AR5" s="427"/>
      <c r="AS5" s="427"/>
      <c r="AT5" s="427"/>
      <c r="AU5" s="347"/>
    </row>
    <row r="7" spans="1:92">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row>
    <row r="8" spans="1:92" ht="18" customHeight="1">
      <c r="A8" s="485" t="s">
        <v>9</v>
      </c>
      <c r="B8" s="485"/>
      <c r="C8" s="515" t="s">
        <v>345</v>
      </c>
      <c r="D8" s="516"/>
      <c r="E8" s="516"/>
      <c r="F8" s="516"/>
      <c r="G8" s="516"/>
      <c r="H8" s="516"/>
      <c r="I8" s="516"/>
      <c r="J8" s="516"/>
      <c r="K8" s="517" t="s">
        <v>60</v>
      </c>
      <c r="L8" s="517"/>
      <c r="M8" s="517"/>
      <c r="N8" s="517"/>
      <c r="O8" s="517"/>
      <c r="P8" s="517"/>
      <c r="Q8" s="517"/>
      <c r="R8" s="517"/>
      <c r="S8" s="517"/>
      <c r="T8" s="517"/>
      <c r="U8" s="517"/>
      <c r="V8" s="517"/>
      <c r="W8" s="517"/>
      <c r="X8" s="517"/>
      <c r="Y8" s="517"/>
      <c r="Z8" s="517"/>
      <c r="AA8" s="517"/>
      <c r="AB8" s="517"/>
      <c r="AC8" s="517"/>
      <c r="AD8" s="517"/>
      <c r="AE8" s="517"/>
      <c r="AF8" s="517"/>
      <c r="AG8" s="517"/>
      <c r="AH8" s="517"/>
      <c r="AI8" s="517"/>
      <c r="AJ8" s="517"/>
      <c r="AK8" s="517"/>
      <c r="AL8" s="517"/>
      <c r="AM8" s="517"/>
      <c r="AN8" s="517"/>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row>
    <row r="9" spans="1:92" ht="18.75" customHeight="1">
      <c r="B9" s="68"/>
      <c r="C9" s="516"/>
      <c r="D9" s="516"/>
      <c r="E9" s="516"/>
      <c r="F9" s="516"/>
      <c r="G9" s="516"/>
      <c r="H9" s="516"/>
      <c r="I9" s="516"/>
      <c r="J9" s="516"/>
      <c r="K9" s="517"/>
      <c r="L9" s="517"/>
      <c r="M9" s="517"/>
      <c r="N9" s="517"/>
      <c r="O9" s="517"/>
      <c r="P9" s="517"/>
      <c r="Q9" s="517"/>
      <c r="R9" s="517"/>
      <c r="S9" s="517"/>
      <c r="T9" s="517"/>
      <c r="U9" s="517"/>
      <c r="V9" s="517"/>
      <c r="W9" s="517"/>
      <c r="X9" s="517"/>
      <c r="Y9" s="517"/>
      <c r="Z9" s="517"/>
      <c r="AA9" s="517"/>
      <c r="AB9" s="517"/>
      <c r="AC9" s="517"/>
      <c r="AD9" s="517"/>
      <c r="AE9" s="517"/>
      <c r="AF9" s="517"/>
      <c r="AG9" s="517"/>
      <c r="AH9" s="517"/>
      <c r="AI9" s="517"/>
      <c r="AJ9" s="517"/>
      <c r="AK9" s="517"/>
      <c r="AL9" s="517"/>
      <c r="AM9" s="517"/>
      <c r="AN9" s="517"/>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row>
    <row r="10" spans="1:92" ht="15" customHeight="1">
      <c r="B10" s="68"/>
      <c r="C10" s="516"/>
      <c r="D10" s="516"/>
      <c r="E10" s="516"/>
      <c r="F10" s="516"/>
      <c r="G10" s="516"/>
      <c r="H10" s="516"/>
      <c r="I10" s="516"/>
      <c r="J10" s="516"/>
      <c r="K10" s="517"/>
      <c r="L10" s="517"/>
      <c r="M10" s="517"/>
      <c r="N10" s="517"/>
      <c r="O10" s="517"/>
      <c r="P10" s="517"/>
      <c r="Q10" s="517"/>
      <c r="R10" s="517"/>
      <c r="S10" s="517"/>
      <c r="T10" s="517"/>
      <c r="U10" s="517"/>
      <c r="V10" s="517"/>
      <c r="W10" s="517"/>
      <c r="X10" s="517"/>
      <c r="Y10" s="517"/>
      <c r="Z10" s="517"/>
      <c r="AA10" s="517"/>
      <c r="AB10" s="517"/>
      <c r="AC10" s="517"/>
      <c r="AD10" s="517"/>
      <c r="AE10" s="517"/>
      <c r="AF10" s="517"/>
      <c r="AG10" s="517"/>
      <c r="AH10" s="517"/>
      <c r="AI10" s="517"/>
      <c r="AJ10" s="517"/>
      <c r="AK10" s="517"/>
      <c r="AL10" s="517"/>
      <c r="AM10" s="517"/>
      <c r="AN10" s="517"/>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row>
    <row r="11" spans="1:92" ht="15" thickBot="1">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92" ht="15" customHeight="1">
      <c r="B12" s="68"/>
      <c r="C12" s="446" t="s">
        <v>330</v>
      </c>
      <c r="D12" s="446"/>
      <c r="E12" s="447"/>
      <c r="F12" s="486" t="s">
        <v>331</v>
      </c>
      <c r="G12" s="487"/>
      <c r="H12" s="487"/>
      <c r="I12" s="487"/>
      <c r="J12" s="487"/>
      <c r="K12" s="32"/>
      <c r="L12" s="33" t="str">
        <f>IF(AND('Mapa final'!$AH$16="Muy Alta",'Mapa final'!$AJ$16="Leve"),CONCATENATE("R2C",'Mapa final'!$R$15),"")</f>
        <v/>
      </c>
      <c r="M12" s="33" t="str">
        <f>IF(AND('Mapa final'!$AH$17="Muy Alta",'Mapa final'!$AJ$17="Leve"),CONCATENATE("R2C",'Mapa final'!$R$17),"")</f>
        <v/>
      </c>
      <c r="N12" s="33" t="str">
        <f>IF(AND('Mapa final'!$AH$20="Muy Alta",'Mapa final'!$AJ$20="Leve"),CONCATENATE("R2C",'Mapa final'!$R$20),"")</f>
        <v/>
      </c>
      <c r="O12" s="33" t="str">
        <f>IF(AND('Mapa final'!$AH$21="Muy Alta",'Mapa final'!$AJ$21="Leve"),CONCATENATE("R2C",'Mapa final'!$R$21),"")</f>
        <v/>
      </c>
      <c r="P12" s="34" t="str">
        <f>IF(AND('Mapa final'!$AH$22="Muy Alta",'Mapa final'!$AJ$22="Leve"),CONCATENATE("R2C",'Mapa final'!$R$22),"")</f>
        <v/>
      </c>
      <c r="Q12" s="33"/>
      <c r="R12" s="33" t="str">
        <f>IF(AND('Mapa final'!$AH$16="Muy Alta",'Mapa final'!$AJ$16="Menore"),CONCATENATE("R2C",'Mapa final'!$R$15),"")</f>
        <v/>
      </c>
      <c r="S12" s="33" t="str">
        <f>IF(AND('Mapa final'!$AH$17="Muy Alta",'Mapa final'!$AJ$17="Menor"),CONCATENATE("R2C",'Mapa final'!$R$17),"")</f>
        <v/>
      </c>
      <c r="T12" s="33" t="str">
        <f>IF(AND('Mapa final'!$AH$20="Muy Alta",'Mapa final'!$AJ$20="Menor"),CONCATENATE("R2C",'Mapa final'!$R$20),"")</f>
        <v/>
      </c>
      <c r="U12" s="33" t="str">
        <f>IF(AND('Mapa final'!$AH$21="Muy Alta",'Mapa final'!$AJ$21="Menor"),CONCATENATE("R2C",'Mapa final'!$R$21),"")</f>
        <v/>
      </c>
      <c r="V12" s="34" t="str">
        <f>IF(AND('Mapa final'!$AH$22="Muy Alta",'Mapa final'!$AJ$22="Menor"),CONCATENATE("R2C",'Mapa final'!$R$22),"")</f>
        <v/>
      </c>
      <c r="W12" s="32"/>
      <c r="X12" s="33" t="str">
        <f>IF(AND('Mapa final'!$AH$16="Muy Alta",'Mapa final'!$AJ$16="Moderado"),CONCATENATE("R2C",'Mapa final'!$R$15),"")</f>
        <v/>
      </c>
      <c r="Y12" s="33"/>
      <c r="Z12" s="33" t="str">
        <f>IF(AND('Mapa final'!$AH$20="Muy Alta",'Mapa final'!$AJ$20="Moderado"),CONCATENATE("R2C",'Mapa final'!$R$20),"")</f>
        <v/>
      </c>
      <c r="AA12" s="33" t="str">
        <f>IF(AND('Mapa final'!$AH$21="Muy Alta",'Mapa final'!$AJ$21="Moderado"),CONCATENATE("R2C",'Mapa final'!$R$21),"")</f>
        <v/>
      </c>
      <c r="AB12" s="34" t="str">
        <f>IF(AND('Mapa final'!$AH$22="Muy Alta",'Mapa final'!$AJ$22="Moderado"),CONCATENATE("R2C",'Mapa final'!$R$22),"")</f>
        <v/>
      </c>
      <c r="AC12" s="32"/>
      <c r="AD12" s="33" t="str">
        <f>IF(AND('Mapa final'!$AH$16="Muy Alta",'Mapa final'!$AJ$16="Mayor"),CONCATENATE("R2C",'Mapa final'!$R$15),"")</f>
        <v/>
      </c>
      <c r="AE12" s="33" t="str">
        <f>IF(AND('Mapa final'!$AH$17="Muy Alta",'Mapa final'!$AJ$17="Mayor"),CONCATENATE("R2C",'Mapa final'!$R$17),"")</f>
        <v/>
      </c>
      <c r="AF12" s="33" t="str">
        <f>IF(AND('Mapa final'!$AH$20="Muy Alta",'Mapa final'!$AJ$20="Mayor"),CONCATENATE("R2C",'Mapa final'!$R$20),"")</f>
        <v/>
      </c>
      <c r="AG12" s="33" t="str">
        <f>IF(AND('Mapa final'!$AH$21="Muy Alta",'Mapa final'!$AJ$21="Mayor"),CONCATENATE("R2C",'Mapa final'!$R$21),"")</f>
        <v/>
      </c>
      <c r="AH12" s="34" t="str">
        <f>IF(AND('Mapa final'!$AH$22="Muy Alta",'Mapa final'!$AJ$22="Mayor"),CONCATENATE("R2C",'Mapa final'!$R$22),"")</f>
        <v/>
      </c>
      <c r="AI12" s="35"/>
      <c r="AJ12" s="36" t="str">
        <f>IF(AND('Mapa final'!$AH$16="Muy Alta",'Mapa final'!$AJ$16="Catastrófico"),CONCATENATE("R2C",'Mapa final'!$R$15),"")</f>
        <v/>
      </c>
      <c r="AK12" s="36" t="str">
        <f>IF(AND('Mapa final'!$AH$17="Muy Alta",'Mapa final'!$AJ$17="Catastrófico"),CONCATENATE("R2C",'Mapa final'!$R$17),"")</f>
        <v/>
      </c>
      <c r="AL12" s="36" t="str">
        <f>IF(AND('Mapa final'!$AH$20="Muy Alta",'Mapa final'!$AJ$20="Catastrófico"),CONCATENATE("R2C",'Mapa final'!$R$20),"")</f>
        <v/>
      </c>
      <c r="AM12" s="36" t="str">
        <f>IF(AND('Mapa final'!$AH$21="Muy Alta",'Mapa final'!$AJ$21="Catastrófico"),CONCATENATE("R2C",'Mapa final'!$R$21),"")</f>
        <v/>
      </c>
      <c r="AN12" s="37" t="str">
        <f>IF(AND('Mapa final'!$AH$22="Muy Alta",'Mapa final'!$AJ$22="Catastrófico"),CONCATENATE("R2C",'Mapa final'!$R$22),"")</f>
        <v/>
      </c>
      <c r="AO12" s="68"/>
      <c r="AP12" s="506" t="s">
        <v>332</v>
      </c>
      <c r="AQ12" s="507"/>
      <c r="AR12" s="507"/>
      <c r="AS12" s="507"/>
      <c r="AT12" s="507"/>
      <c r="AU12" s="50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row>
    <row r="13" spans="1:92" ht="15" customHeight="1">
      <c r="B13" s="68"/>
      <c r="C13" s="446"/>
      <c r="D13" s="446"/>
      <c r="E13" s="447"/>
      <c r="F13" s="489"/>
      <c r="G13" s="490"/>
      <c r="H13" s="490"/>
      <c r="I13" s="490"/>
      <c r="J13" s="490"/>
      <c r="K13" s="38" t="str">
        <f>IF(AND('Mapa final'!$AH$23="Muy Alta",'Mapa final'!$AJ$23="Leve"),CONCATENATE("R2C",'Mapa final'!$R$23),"")</f>
        <v/>
      </c>
      <c r="L13" s="39" t="str">
        <f>IF(AND('Mapa final'!$AH$24="Muy Alta",'Mapa final'!$AJ$24="Leve"),CONCATENATE("R2C",'Mapa final'!$R$24),"")</f>
        <v/>
      </c>
      <c r="M13" s="39" t="str">
        <f>IF(AND('Mapa final'!$AH$33="Muy Alta",'Mapa final'!$AJ$33="Leve"),CONCATENATE("R2C",'Mapa final'!$R$33),"")</f>
        <v/>
      </c>
      <c r="N13" s="39" t="str">
        <f>IF(AND('Mapa final'!$AH$34="Muy Alta",'Mapa final'!$AJ$34="Leve"),CONCATENATE("R2C",'Mapa final'!$R$34),"")</f>
        <v/>
      </c>
      <c r="O13" s="39" t="str">
        <f>IF(AND('Mapa final'!$AH$35="Muy Alta",'Mapa final'!$AJ$35="Leve"),CONCATENATE("R2C",'Mapa final'!$R$35),"")</f>
        <v/>
      </c>
      <c r="P13" s="40" t="str">
        <f>IF(AND('Mapa final'!$AH$36="Muy Alta",'Mapa final'!$AJ$36="Leve"),CONCATENATE("R2C",'Mapa final'!$R$36),"")</f>
        <v/>
      </c>
      <c r="Q13" s="39" t="str">
        <f>IF(AND('Mapa final'!$AH$23="Muy Alta",'Mapa final'!$AJ$23="Menor"),CONCATENATE("R2C",'Mapa final'!$R$23),"")</f>
        <v/>
      </c>
      <c r="R13" s="39" t="str">
        <f>IF(AND('Mapa final'!$AH$24="Muy Alta",'Mapa final'!$AJ$24="Menor"),CONCATENATE("R2C",'Mapa final'!$R$24),"")</f>
        <v/>
      </c>
      <c r="S13" s="39" t="str">
        <f>IF(AND('Mapa final'!$AH$33="Muy Alta",'Mapa final'!$AJ$33="Menor"),CONCATENATE("R2C",'Mapa final'!$R$33),"")</f>
        <v/>
      </c>
      <c r="T13" s="39" t="str">
        <f>IF(AND('Mapa final'!$AH$34="Muy Alta",'Mapa final'!$AJ$34="Menor"),CONCATENATE("R2C",'Mapa final'!$R$34),"")</f>
        <v/>
      </c>
      <c r="U13" s="39" t="str">
        <f>IF(AND('Mapa final'!$AH$35="Muy Alta",'Mapa final'!$AJ$35="Menor"),CONCATENATE("R2C",'Mapa final'!$R$35),"")</f>
        <v/>
      </c>
      <c r="V13" s="40" t="str">
        <f>IF(AND('Mapa final'!$AH$36="Muy Alta",'Mapa final'!$AJ$36="Menor"),CONCATENATE("R2C",'Mapa final'!$R$36),"")</f>
        <v/>
      </c>
      <c r="W13" s="38" t="str">
        <f>IF(AND('Mapa final'!$AH$23="Muy Alta",'Mapa final'!$AJ$23="Moderado"),CONCATENATE("R2C",'Mapa final'!$R$23),"")</f>
        <v/>
      </c>
      <c r="X13" s="39" t="str">
        <f>IF(AND('Mapa final'!$AH$24="Muy Alta",'Mapa final'!$AJ$24="Moderado"),CONCATENATE("R2C",'Mapa final'!$R$24),"")</f>
        <v/>
      </c>
      <c r="Y13" s="39" t="str">
        <f>IF(AND('Mapa final'!$AH$33="Muy Alta",'Mapa final'!$AJ$33="Moderado"),CONCATENATE("R2C",'Mapa final'!$R$33),"")</f>
        <v/>
      </c>
      <c r="Z13" s="39" t="str">
        <f>IF(AND('Mapa final'!$AH$34="Muy Alta",'Mapa final'!$AJ$34="Moderado"),CONCATENATE("R2C",'Mapa final'!$R$34),"")</f>
        <v/>
      </c>
      <c r="AA13" s="39" t="str">
        <f>IF(AND('Mapa final'!$AH$35="Muy Alta",'Mapa final'!$AJ$35="Moderado"),CONCATENATE("R2C",'Mapa final'!$R$35),"")</f>
        <v/>
      </c>
      <c r="AB13" s="40" t="str">
        <f>IF(AND('Mapa final'!$AH$36="Muy Alta",'Mapa final'!$AJ$36="Moderado"),CONCATENATE("R2C",'Mapa final'!$R$36),"")</f>
        <v/>
      </c>
      <c r="AC13" s="38" t="str">
        <f>IF(AND('Mapa final'!$AH$23="Muy Alta",'Mapa final'!$AJ$23="Mayor"),CONCATENATE("R2C",'Mapa final'!$R$23),"")</f>
        <v/>
      </c>
      <c r="AD13" s="39" t="str">
        <f>IF(AND('Mapa final'!$AH$24="Muy Alta",'Mapa final'!$AJ$24="Mayor"),CONCATENATE("R2C",'Mapa final'!$R$24),"")</f>
        <v/>
      </c>
      <c r="AE13" s="39" t="str">
        <f>IF(AND('Mapa final'!$AH$33="Muy Alta",'Mapa final'!$AJ$33="Mayor"),CONCATENATE("R2C",'Mapa final'!$R$33),"")</f>
        <v/>
      </c>
      <c r="AF13" s="39" t="str">
        <f>IF(AND('Mapa final'!$AH$34="Muy Alta",'Mapa final'!$AJ$34="Mayor"),CONCATENATE("R2C",'Mapa final'!$R$34),"")</f>
        <v/>
      </c>
      <c r="AG13" s="39" t="str">
        <f>IF(AND('Mapa final'!$AH$35="Muy Alta",'Mapa final'!$AJ$35="Mayor"),CONCATENATE("R2C",'Mapa final'!$R$35),"")</f>
        <v/>
      </c>
      <c r="AH13" s="40" t="str">
        <f>IF(AND('Mapa final'!$AH$36="Muy Alta",'Mapa final'!$AJ$36="Mayor"),CONCATENATE("R2C",'Mapa final'!$R$36),"")</f>
        <v/>
      </c>
      <c r="AI13" s="41" t="str">
        <f>IF(AND('Mapa final'!$AH$23="Muy Alta",'Mapa final'!$AJ$23="Catastrófico"),CONCATENATE("R2C",'Mapa final'!$R$23),"")</f>
        <v/>
      </c>
      <c r="AJ13" s="42" t="str">
        <f>IF(AND('Mapa final'!$AH$24="Muy Alta",'Mapa final'!$AJ$24="Catastrófico"),CONCATENATE("R2C",'Mapa final'!$R$24),"")</f>
        <v/>
      </c>
      <c r="AK13" s="42" t="str">
        <f>IF(AND('Mapa final'!$AH$33="Muy Alta",'Mapa final'!$AJ$33="Catastrófico"),CONCATENATE("R2C",'Mapa final'!$R$33),"")</f>
        <v/>
      </c>
      <c r="AL13" s="42" t="str">
        <f>IF(AND('Mapa final'!$AH$34="Muy Alta",'Mapa final'!$AJ$34="Catastrófico"),CONCATENATE("R2C",'Mapa final'!$R$34),"")</f>
        <v/>
      </c>
      <c r="AM13" s="42" t="str">
        <f>IF(AND('Mapa final'!$AH$35="Muy Alta",'Mapa final'!$AJ$35="Catastrófico"),CONCATENATE("R2C",'Mapa final'!$R$35),"")</f>
        <v/>
      </c>
      <c r="AN13" s="43" t="str">
        <f>IF(AND('Mapa final'!$AH$36="Muy Alta",'Mapa final'!$AJ$36="Catastrófico"),CONCATENATE("R2C",'Mapa final'!$R$36),"")</f>
        <v/>
      </c>
      <c r="AO13" s="68"/>
      <c r="AP13" s="509"/>
      <c r="AQ13" s="510"/>
      <c r="AR13" s="510"/>
      <c r="AS13" s="510"/>
      <c r="AT13" s="510"/>
      <c r="AU13" s="511"/>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row>
    <row r="14" spans="1:92" ht="15" customHeight="1">
      <c r="B14" s="68"/>
      <c r="C14" s="446"/>
      <c r="D14" s="446"/>
      <c r="E14" s="447"/>
      <c r="F14" s="489"/>
      <c r="G14" s="490"/>
      <c r="H14" s="490"/>
      <c r="I14" s="490"/>
      <c r="J14" s="490"/>
      <c r="K14" s="38" t="str">
        <f>IF(AND('Mapa final'!$AH$37="Muy Alta",'Mapa final'!$AJ$37="Leve"),CONCATENATE("R2C",'Mapa final'!$R$37),"")</f>
        <v/>
      </c>
      <c r="L14" s="39" t="str">
        <f>IF(AND('Mapa final'!$AH$38="Muy Alta",'Mapa final'!$AJ$38="Leve"),CONCATENATE("R2C",'Mapa final'!$R$38),"")</f>
        <v/>
      </c>
      <c r="M14" s="39" t="str">
        <f>IF(AND('Mapa final'!$AH$39="Muy Alta",'Mapa final'!$AJ$39="Leve"),CONCATENATE("R2C",'Mapa final'!$R$39),"")</f>
        <v/>
      </c>
      <c r="N14" s="39" t="str">
        <f>IF(AND('Mapa final'!$AH$40="Muy Alta",'Mapa final'!$AJ$40="Leve"),CONCATENATE("R2C",'Mapa final'!$R$40),"")</f>
        <v/>
      </c>
      <c r="O14" s="39" t="str">
        <f>IF(AND('Mapa final'!$AH$41="Muy Alta",'Mapa final'!$AJ$41="Leve"),CONCATENATE("R2C",'Mapa final'!$R$41),"")</f>
        <v/>
      </c>
      <c r="P14" s="40" t="str">
        <f>IF(AND('Mapa final'!$AH$42="Muy Alta",'Mapa final'!$AJ$42="Leve"),CONCATENATE("R2C",'Mapa final'!$R$42),"")</f>
        <v/>
      </c>
      <c r="Q14" s="39" t="str">
        <f>IF(AND('Mapa final'!$AH$37="Muy Alta",'Mapa final'!$AJ$37="Menor"),CONCATENATE("R2C",'Mapa final'!$R$37),"")</f>
        <v/>
      </c>
      <c r="R14" s="39" t="str">
        <f>IF(AND('Mapa final'!$AH$38="Muy Alta",'Mapa final'!$AJ$38="Menor"),CONCATENATE("R2C",'Mapa final'!$R$38),"")</f>
        <v/>
      </c>
      <c r="S14" s="39" t="str">
        <f>IF(AND('Mapa final'!$AH$39="Muy Alta",'Mapa final'!$AJ$39="Menor"),CONCATENATE("R2C",'Mapa final'!$R$39),"")</f>
        <v/>
      </c>
      <c r="T14" s="39" t="str">
        <f>IF(AND('Mapa final'!$AH$40="Muy Alta",'Mapa final'!$AJ$40="Menor"),CONCATENATE("R2C",'Mapa final'!$R$40),"")</f>
        <v/>
      </c>
      <c r="U14" s="39" t="str">
        <f>IF(AND('Mapa final'!$AH$41="Muy Alta",'Mapa final'!$AJ$41="Menor"),CONCATENATE("R2C",'Mapa final'!$R$41),"")</f>
        <v/>
      </c>
      <c r="V14" s="40" t="str">
        <f>IF(AND('Mapa final'!$AH$42="Muy Alta",'Mapa final'!$AJ$42="Menor"),CONCATENATE("R2C",'Mapa final'!$R$42),"")</f>
        <v/>
      </c>
      <c r="W14" s="38" t="str">
        <f>IF(AND('Mapa final'!$AH$37="Muy Alta",'Mapa final'!$AJ$37="Moderado"),CONCATENATE("R2C",'Mapa final'!$R$37),"")</f>
        <v/>
      </c>
      <c r="X14" s="39" t="str">
        <f>IF(AND('Mapa final'!$AH$38="Muy Alta",'Mapa final'!$AJ$38="Moderado"),CONCATENATE("R2C",'Mapa final'!$R$38),"")</f>
        <v/>
      </c>
      <c r="Y14" s="39" t="str">
        <f>IF(AND('Mapa final'!$AH$39="Muy Alta",'Mapa final'!$AJ$39="Moderado"),CONCATENATE("R2C",'Mapa final'!$R$39),"")</f>
        <v/>
      </c>
      <c r="Z14" s="39" t="str">
        <f>IF(AND('Mapa final'!$AH$40="Muy Alta",'Mapa final'!$AJ$40="Moderado"),CONCATENATE("R2C",'Mapa final'!$R$40),"")</f>
        <v/>
      </c>
      <c r="AA14" s="39" t="str">
        <f>IF(AND('Mapa final'!$AH$41="Muy Alta",'Mapa final'!$AJ$41="Moderado"),CONCATENATE("R2C",'Mapa final'!$R$41),"")</f>
        <v/>
      </c>
      <c r="AB14" s="40" t="str">
        <f>IF(AND('Mapa final'!$AH$42="Muy Alta",'Mapa final'!$AJ$42="Moderado"),CONCATENATE("R2C",'Mapa final'!$R$42),"")</f>
        <v/>
      </c>
      <c r="AC14" s="38" t="str">
        <f>IF(AND('Mapa final'!$AH$37="Muy Alta",'Mapa final'!$AJ$37="Mayor"),CONCATENATE("R2C",'Mapa final'!$R$37),"")</f>
        <v/>
      </c>
      <c r="AD14" s="39" t="str">
        <f>IF(AND('Mapa final'!$AH$38="Muy Alta",'Mapa final'!$AJ$38="Mayor"),CONCATENATE("R2C",'Mapa final'!$R$38),"")</f>
        <v/>
      </c>
      <c r="AE14" s="39" t="str">
        <f>IF(AND('Mapa final'!$AH$39="Muy Alta",'Mapa final'!$AJ$39="Mayor"),CONCATENATE("R2C",'Mapa final'!$R$39),"")</f>
        <v/>
      </c>
      <c r="AF14" s="39" t="str">
        <f>IF(AND('Mapa final'!$AH$40="Muy Alta",'Mapa final'!$AJ$40="Mayor"),CONCATENATE("R2C",'Mapa final'!$R$40),"")</f>
        <v/>
      </c>
      <c r="AG14" s="39" t="str">
        <f>IF(AND('Mapa final'!$AH$41="Muy Alta",'Mapa final'!$AJ$41="Mayor"),CONCATENATE("R2C",'Mapa final'!$R$41),"")</f>
        <v/>
      </c>
      <c r="AH14" s="40" t="str">
        <f>IF(AND('Mapa final'!$AH$42="Muy Alta",'Mapa final'!$AJ$42="Mayor"),CONCATENATE("R2C",'Mapa final'!$R$42),"")</f>
        <v/>
      </c>
      <c r="AI14" s="41" t="str">
        <f>IF(AND('Mapa final'!$AH$37="Muy Alta",'Mapa final'!$AJ$37="Catastrófico"),CONCATENATE("R2C",'Mapa final'!$R$37),"")</f>
        <v/>
      </c>
      <c r="AJ14" s="42" t="str">
        <f>IF(AND('Mapa final'!$AH$38="Muy Alta",'Mapa final'!$AJ$38="Catastrófico"),CONCATENATE("R2C",'Mapa final'!$R$38),"")</f>
        <v/>
      </c>
      <c r="AK14" s="42" t="str">
        <f>IF(AND('Mapa final'!$AH$39="Muy Alta",'Mapa final'!$AJ$39="Catastrófico"),CONCATENATE("R2C",'Mapa final'!$R$39),"")</f>
        <v/>
      </c>
      <c r="AL14" s="42" t="str">
        <f>IF(AND('Mapa final'!$AH$40="Muy Alta",'Mapa final'!$AJ$40="Catastrófico"),CONCATENATE("R2C",'Mapa final'!$R$40),"")</f>
        <v/>
      </c>
      <c r="AM14" s="42" t="str">
        <f>IF(AND('Mapa final'!$AH$41="Muy Alta",'Mapa final'!$AJ$41="Catastrófico"),CONCATENATE("R2C",'Mapa final'!$R$41),"")</f>
        <v/>
      </c>
      <c r="AN14" s="43" t="str">
        <f>IF(AND('Mapa final'!$AH$42="Muy Alta",'Mapa final'!$AJ$42="Catastrófico"),CONCATENATE("R2C",'Mapa final'!$R$42),"")</f>
        <v/>
      </c>
      <c r="AO14" s="68"/>
      <c r="AP14" s="509"/>
      <c r="AQ14" s="510"/>
      <c r="AR14" s="510"/>
      <c r="AS14" s="510"/>
      <c r="AT14" s="510"/>
      <c r="AU14" s="511"/>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row>
    <row r="15" spans="1:92" ht="15" customHeight="1">
      <c r="B15" s="68"/>
      <c r="C15" s="446"/>
      <c r="D15" s="446"/>
      <c r="E15" s="447"/>
      <c r="F15" s="489"/>
      <c r="G15" s="490"/>
      <c r="H15" s="490"/>
      <c r="I15" s="490"/>
      <c r="J15" s="490"/>
      <c r="K15" s="38" t="str">
        <f>IF(AND('Mapa final'!$AH$43="Muy Alta",'Mapa final'!$AJ$43="Leve"),CONCATENATE("R2C",'Mapa final'!$R$43),"")</f>
        <v/>
      </c>
      <c r="L15" s="39" t="str">
        <f>IF(AND('Mapa final'!$AH$44="Muy Alta",'Mapa final'!$AJ$44="Leve"),CONCATENATE("R2C",'Mapa final'!$R$44),"")</f>
        <v/>
      </c>
      <c r="M15" s="39" t="str">
        <f>IF(AND('Mapa final'!$AH$45="Muy Alta",'Mapa final'!$AJ$45="Leve"),CONCATENATE("R2C",'Mapa final'!$R$45),"")</f>
        <v/>
      </c>
      <c r="N15" s="39" t="str">
        <f>IF(AND('Mapa final'!$AH$46="Muy Alta",'Mapa final'!$AJ$46="Leve"),CONCATENATE("R2C",'Mapa final'!$R$46),"")</f>
        <v/>
      </c>
      <c r="O15" s="39" t="str">
        <f>IF(AND('Mapa final'!$AH$47="Muy Alta",'Mapa final'!$AJ$47="Leve"),CONCATENATE("R2C",'Mapa final'!$R$47),"")</f>
        <v/>
      </c>
      <c r="P15" s="40" t="str">
        <f>IF(AND('Mapa final'!$AH$48="Muy Alta",'Mapa final'!$AJ$48="Leve"),CONCATENATE("R2C",'Mapa final'!$R$48),"")</f>
        <v/>
      </c>
      <c r="Q15" s="39" t="str">
        <f>IF(AND('Mapa final'!$AH$43="Muy Alta",'Mapa final'!$AJ$43="Menor"),CONCATENATE("R2C",'Mapa final'!$R$43),"")</f>
        <v/>
      </c>
      <c r="R15" s="39" t="str">
        <f>IF(AND('Mapa final'!$AH$44="Muy Alta",'Mapa final'!$AJ$44="Menor"),CONCATENATE("R2C",'Mapa final'!$R$44),"")</f>
        <v/>
      </c>
      <c r="S15" s="39" t="str">
        <f>IF(AND('Mapa final'!$AH$45="Muy Alta",'Mapa final'!$AJ$45="Menor"),CONCATENATE("R2C",'Mapa final'!$R$45),"")</f>
        <v/>
      </c>
      <c r="T15" s="39" t="str">
        <f>IF(AND('Mapa final'!$AH$46="Muy Alta",'Mapa final'!$AJ$46="Menor"),CONCATENATE("R2C",'Mapa final'!$R$46),"")</f>
        <v/>
      </c>
      <c r="U15" s="39" t="str">
        <f>IF(AND('Mapa final'!$AH$47="Muy Alta",'Mapa final'!$AJ$47="LMenor"),CONCATENATE("R2C",'Mapa final'!$R$47),"")</f>
        <v/>
      </c>
      <c r="V15" s="40" t="str">
        <f>IF(AND('Mapa final'!$AH$48="Muy Alta",'Mapa final'!$AJ$48="Menor"),CONCATENATE("R2C",'Mapa final'!$R$48),"")</f>
        <v/>
      </c>
      <c r="W15" s="38" t="str">
        <f>IF(AND('Mapa final'!$AH$43="Muy Alta",'Mapa final'!$AJ$43="Moderado"),CONCATENATE("R2C",'Mapa final'!$R$43),"")</f>
        <v/>
      </c>
      <c r="X15" s="39" t="str">
        <f>IF(AND('Mapa final'!$AH$44="Muy Alta",'Mapa final'!$AJ$44="Moderado"),CONCATENATE("R2C",'Mapa final'!$R$44),"")</f>
        <v/>
      </c>
      <c r="Y15" s="39" t="str">
        <f>IF(AND('Mapa final'!$AH$45="Muy Alta",'Mapa final'!$AJ$45="Moderado"),CONCATENATE("R2C",'Mapa final'!$R$45),"")</f>
        <v/>
      </c>
      <c r="Z15" s="39" t="str">
        <f>IF(AND('Mapa final'!$AH$46="Muy Alta",'Mapa final'!$AJ$46="Moderado"),CONCATENATE("R2C",'Mapa final'!$R$46),"")</f>
        <v/>
      </c>
      <c r="AA15" s="39" t="str">
        <f>IF(AND('Mapa final'!$AH$47="Muy Alta",'Mapa final'!$AJ$47="Moderado"),CONCATENATE("R2C",'Mapa final'!$R$47),"")</f>
        <v/>
      </c>
      <c r="AB15" s="40" t="str">
        <f>IF(AND('Mapa final'!$AH$48="Muy Alta",'Mapa final'!$AJ$48="Moderado"),CONCATENATE("R2C",'Mapa final'!$R$48),"")</f>
        <v/>
      </c>
      <c r="AC15" s="38" t="str">
        <f>IF(AND('Mapa final'!$AH$43="Muy Alta",'Mapa final'!$AJ$43="Mayor"),CONCATENATE("R2C",'Mapa final'!$R$43),"")</f>
        <v/>
      </c>
      <c r="AD15" s="39" t="str">
        <f>IF(AND('Mapa final'!$AH$44="Muy Alta",'Mapa final'!$AJ$44="Mayor"),CONCATENATE("R2C",'Mapa final'!$R$44),"")</f>
        <v/>
      </c>
      <c r="AE15" s="39" t="str">
        <f>IF(AND('Mapa final'!$AH$45="Muy Alta",'Mapa final'!$AJ$45="Mayor"),CONCATENATE("R2C",'Mapa final'!$R$45),"")</f>
        <v/>
      </c>
      <c r="AF15" s="39" t="str">
        <f>IF(AND('Mapa final'!$AH$46="Muy Alta",'Mapa final'!$AJ$46="Mayor"),CONCATENATE("R2C",'Mapa final'!$R$46),"")</f>
        <v/>
      </c>
      <c r="AG15" s="39" t="str">
        <f>IF(AND('Mapa final'!$AH$47="Muy Alta",'Mapa final'!$AJ$47="Mayor"),CONCATENATE("R2C",'Mapa final'!$R$47),"")</f>
        <v/>
      </c>
      <c r="AH15" s="40" t="str">
        <f>IF(AND('Mapa final'!$AH$48="Muy Alta",'Mapa final'!$AJ$48="Mayor"),CONCATENATE("R2C",'Mapa final'!$R$48),"")</f>
        <v/>
      </c>
      <c r="AI15" s="41" t="str">
        <f>IF(AND('Mapa final'!$AH$43="Muy Alta",'Mapa final'!$AJ$43="Catastrófico"),CONCATENATE("R2C",'Mapa final'!$R$43),"")</f>
        <v/>
      </c>
      <c r="AJ15" s="42" t="str">
        <f>IF(AND('Mapa final'!$AH$44="Muy Alta",'Mapa final'!$AJ$44="Catastrófico"),CONCATENATE("R2C",'Mapa final'!$R$44),"")</f>
        <v/>
      </c>
      <c r="AK15" s="42" t="str">
        <f>IF(AND('Mapa final'!$AH$45="Muy Alta",'Mapa final'!$AJ$45="Catastrófico"),CONCATENATE("R2C",'Mapa final'!$R$45),"")</f>
        <v/>
      </c>
      <c r="AL15" s="42" t="str">
        <f>IF(AND('Mapa final'!$AH$46="Muy Alta",'Mapa final'!$AJ$46="Catastrófico"),CONCATENATE("R2C",'Mapa final'!$R$46),"")</f>
        <v/>
      </c>
      <c r="AM15" s="42" t="str">
        <f>IF(AND('Mapa final'!$AH$47="Muy Alta",'Mapa final'!$AJ$47="LCatastrófico"),CONCATENATE("R2C",'Mapa final'!$R$47),"")</f>
        <v/>
      </c>
      <c r="AN15" s="43" t="str">
        <f>IF(AND('Mapa final'!$AH$48="Muy Alta",'Mapa final'!$AJ$48="Catastrófico"),CONCATENATE("R2C",'Mapa final'!$R$48),"")</f>
        <v/>
      </c>
      <c r="AO15" s="68"/>
      <c r="AP15" s="509"/>
      <c r="AQ15" s="510"/>
      <c r="AR15" s="510"/>
      <c r="AS15" s="510"/>
      <c r="AT15" s="510"/>
      <c r="AU15" s="511"/>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row>
    <row r="16" spans="1:92" ht="15" customHeight="1">
      <c r="B16" s="68"/>
      <c r="C16" s="446"/>
      <c r="D16" s="446"/>
      <c r="E16" s="447"/>
      <c r="F16" s="489"/>
      <c r="G16" s="490"/>
      <c r="H16" s="490"/>
      <c r="I16" s="490"/>
      <c r="J16" s="490"/>
      <c r="K16" s="38" t="str">
        <f>IF(AND('Mapa final'!$AH$49="Muy Alta",'Mapa final'!$AJ$49="Leve"),CONCATENATE("R2C",'Mapa final'!$R$49),"")</f>
        <v/>
      </c>
      <c r="L16" s="39" t="str">
        <f>IF(AND('Mapa final'!$AH$50="Muy Alta",'Mapa final'!$AJ$50="Leve"),CONCATENATE("R2C",'Mapa final'!$R$50),"")</f>
        <v/>
      </c>
      <c r="M16" s="39" t="str">
        <f>IF(AND('Mapa final'!$AH$51="Muy Alta",'Mapa final'!$AJ$51="Leve"),CONCATENATE("R2C",'Mapa final'!$R$51),"")</f>
        <v/>
      </c>
      <c r="N16" s="39" t="str">
        <f>IF(AND('Mapa final'!$AH$52="Muy Alta",'Mapa final'!$AJ$52="Leve"),CONCATENATE("R2C",'Mapa final'!$R$52),"")</f>
        <v/>
      </c>
      <c r="O16" s="39" t="str">
        <f>IF(AND('Mapa final'!$AH$53="Muy Alta",'Mapa final'!$AJ$53="Leve"),CONCATENATE("R2C",'Mapa final'!$R$53),"")</f>
        <v/>
      </c>
      <c r="P16" s="40" t="str">
        <f>IF(AND('Mapa final'!$AH$54="Muy Alta",'Mapa final'!$AJ$54="Leve"),CONCATENATE("R2C",'Mapa final'!$R$54),"")</f>
        <v/>
      </c>
      <c r="Q16" s="39" t="str">
        <f>IF(AND('Mapa final'!$AH$49="Muy Alta",'Mapa final'!$AJ$49="Menor"),CONCATENATE("R2C",'Mapa final'!$R$49),"")</f>
        <v/>
      </c>
      <c r="R16" s="39" t="str">
        <f>IF(AND('Mapa final'!$AH$50="Muy Alta",'Mapa final'!$AJ$50="Menor"),CONCATENATE("R2C",'Mapa final'!$R$50),"")</f>
        <v/>
      </c>
      <c r="S16" s="39" t="str">
        <f>IF(AND('Mapa final'!$AH$51="Muy Alta",'Mapa final'!$AJ$51="Menor"),CONCATENATE("R2C",'Mapa final'!$R$51),"")</f>
        <v/>
      </c>
      <c r="T16" s="39" t="str">
        <f>IF(AND('Mapa final'!$AH$52="Muy Alta",'Mapa final'!$AJ$52="Menor"),CONCATENATE("R2C",'Mapa final'!$R$52),"")</f>
        <v/>
      </c>
      <c r="U16" s="39" t="str">
        <f>IF(AND('Mapa final'!$AH$53="Muy Alta",'Mapa final'!$AJ$53="Menor"),CONCATENATE("R2C",'Mapa final'!$R$53),"")</f>
        <v/>
      </c>
      <c r="V16" s="40" t="str">
        <f>IF(AND('Mapa final'!$AH$54="Muy Alta",'Mapa final'!$AJ$54="Menor"),CONCATENATE("R2C",'Mapa final'!$R$54),"")</f>
        <v/>
      </c>
      <c r="W16" s="38" t="str">
        <f>IF(AND('Mapa final'!$AH$49="Muy Alta",'Mapa final'!$AJ$49="Moderado"),CONCATENATE("R2C",'Mapa final'!$R$49),"")</f>
        <v/>
      </c>
      <c r="X16" s="39" t="str">
        <f>IF(AND('Mapa final'!$AH$50="Muy Alta",'Mapa final'!$AJ$50="Moderado"),CONCATENATE("R2C",'Mapa final'!$R$50),"")</f>
        <v/>
      </c>
      <c r="Y16" s="39" t="str">
        <f>IF(AND('Mapa final'!$AH$51="Muy Alta",'Mapa final'!$AJ$51="Moderado"),CONCATENATE("R2C",'Mapa final'!$R$51),"")</f>
        <v/>
      </c>
      <c r="Z16" s="39" t="str">
        <f>IF(AND('Mapa final'!$AH$52="Muy Alta",'Mapa final'!$AJ$52="Moderado"),CONCATENATE("R2C",'Mapa final'!$R$52),"")</f>
        <v/>
      </c>
      <c r="AA16" s="39" t="str">
        <f>IF(AND('Mapa final'!$AH$53="Muy Alta",'Mapa final'!$AJ$53="Moderado"),CONCATENATE("R2C",'Mapa final'!$R$53),"")</f>
        <v/>
      </c>
      <c r="AB16" s="40" t="str">
        <f>IF(AND('Mapa final'!$AH$54="Muy Alta",'Mapa final'!$AJ$54="Moderado"),CONCATENATE("R2C",'Mapa final'!$R$54),"")</f>
        <v/>
      </c>
      <c r="AC16" s="38" t="str">
        <f>IF(AND('Mapa final'!$AH$49="Muy Alta",'Mapa final'!$AJ$49="Mayor"),CONCATENATE("R2C",'Mapa final'!$R$49),"")</f>
        <v/>
      </c>
      <c r="AD16" s="39" t="str">
        <f>IF(AND('Mapa final'!$AH$50="Muy Alta",'Mapa final'!$AJ$50="Mayor"),CONCATENATE("R2C",'Mapa final'!$R$50),"")</f>
        <v/>
      </c>
      <c r="AE16" s="39" t="str">
        <f>IF(AND('Mapa final'!$AH$51="Muy Alta",'Mapa final'!$AJ$51="Mayor"),CONCATENATE("R2C",'Mapa final'!$R$51),"")</f>
        <v/>
      </c>
      <c r="AF16" s="39" t="str">
        <f>IF(AND('Mapa final'!$AH$52="Muy Alta",'Mapa final'!$AJ$52="Mayor"),CONCATENATE("R2C",'Mapa final'!$R$52),"")</f>
        <v/>
      </c>
      <c r="AG16" s="39" t="str">
        <f>IF(AND('Mapa final'!$AH$53="Muy Alta",'Mapa final'!$AJ$53="Mayor"),CONCATENATE("R2C",'Mapa final'!$R$53),"")</f>
        <v/>
      </c>
      <c r="AH16" s="40" t="str">
        <f>IF(AND('Mapa final'!$AH$54="Muy Alta",'Mapa final'!$AJ$54="Mayor"),CONCATENATE("R2C",'Mapa final'!$R$54),"")</f>
        <v/>
      </c>
      <c r="AI16" s="41" t="str">
        <f>IF(AND('Mapa final'!$AH$49="Muy Alta",'Mapa final'!$AJ$49="Catastrófico"),CONCATENATE("R2C",'Mapa final'!$R$49),"")</f>
        <v/>
      </c>
      <c r="AJ16" s="42" t="str">
        <f>IF(AND('Mapa final'!$AH$50="Muy Alta",'Mapa final'!$AJ$50="Catastrófico"),CONCATENATE("R2C",'Mapa final'!$R$50),"")</f>
        <v/>
      </c>
      <c r="AK16" s="42" t="str">
        <f>IF(AND('Mapa final'!$AH$51="Muy Alta",'Mapa final'!$AJ$51="Catastrófico"),CONCATENATE("R2C",'Mapa final'!$R$51),"")</f>
        <v/>
      </c>
      <c r="AL16" s="42" t="str">
        <f>IF(AND('Mapa final'!$AH$52="Muy Alta",'Mapa final'!$AJ$52="Catastrófico"),CONCATENATE("R2C",'Mapa final'!$R$52),"")</f>
        <v/>
      </c>
      <c r="AM16" s="42" t="str">
        <f>IF(AND('Mapa final'!$AH$53="Muy Alta",'Mapa final'!$AJ$53="Catastrófico"),CONCATENATE("R2C",'Mapa final'!$R$53),"")</f>
        <v/>
      </c>
      <c r="AN16" s="43" t="str">
        <f>IF(AND('Mapa final'!$AH$54="Muy Alta",'Mapa final'!$AJ$54="Catastrófico"),CONCATENATE("R2C",'Mapa final'!$R$54),"")</f>
        <v/>
      </c>
      <c r="AO16" s="68"/>
      <c r="AP16" s="509"/>
      <c r="AQ16" s="510"/>
      <c r="AR16" s="510"/>
      <c r="AS16" s="510"/>
      <c r="AT16" s="510"/>
      <c r="AU16" s="511"/>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row>
    <row r="17" spans="2:77" ht="15" customHeight="1">
      <c r="B17" s="68"/>
      <c r="C17" s="446"/>
      <c r="D17" s="446"/>
      <c r="E17" s="447"/>
      <c r="F17" s="489"/>
      <c r="G17" s="490"/>
      <c r="H17" s="490"/>
      <c r="I17" s="490"/>
      <c r="J17" s="490"/>
      <c r="K17" s="38" t="str">
        <f>IF(AND('Mapa final'!$AH$55="Muy Alta",'Mapa final'!$AJ$55="Leve"),CONCATENATE("R2C",'Mapa final'!$R$55),"")</f>
        <v/>
      </c>
      <c r="L17" s="39" t="str">
        <f>IF(AND('Mapa final'!$AH$56="Muy Alta",'Mapa final'!$AJ$56="Leve"),CONCATENATE("R2C",'Mapa final'!$R$56),"")</f>
        <v/>
      </c>
      <c r="M17" s="39" t="str">
        <f>IF(AND('Mapa final'!$AH$57="Muy Alta",'Mapa final'!$AJ$57="Leve"),CONCATENATE("R2C",'Mapa final'!$R$57),"")</f>
        <v/>
      </c>
      <c r="N17" s="39" t="str">
        <f>IF(AND('Mapa final'!$AH$58="Muy Alta",'Mapa final'!$AJ$58="Leve"),CONCATENATE("R2C",'Mapa final'!$R$58),"")</f>
        <v/>
      </c>
      <c r="O17" s="39" t="str">
        <f>IF(AND('Mapa final'!$AH$59="Muy Alta",'Mapa final'!$AJ$59="Leve"),CONCATENATE("R2C",'Mapa final'!$R$59),"")</f>
        <v/>
      </c>
      <c r="P17" s="40" t="str">
        <f>IF(AND('Mapa final'!$AH$70="Muy Alta",'Mapa final'!$AJ$60="Leve"),CONCATENATE("R2C",'Mapa final'!$R$60),"")</f>
        <v/>
      </c>
      <c r="Q17" s="39" t="str">
        <f>IF(AND('Mapa final'!$AH$55="Muy Alta",'Mapa final'!$AJ$55="Menor"),CONCATENATE("R2C",'Mapa final'!$R$55),"")</f>
        <v/>
      </c>
      <c r="R17" s="39" t="str">
        <f>IF(AND('Mapa final'!$AH$56="Muy Alta",'Mapa final'!$AJ$56="Menor"),CONCATENATE("R2C",'Mapa final'!$R$56),"")</f>
        <v/>
      </c>
      <c r="S17" s="39" t="str">
        <f>IF(AND('Mapa final'!$AH$57="Muy Alta",'Mapa final'!$AJ$57="Menor"),CONCATENATE("R2C",'Mapa final'!$R$57),"")</f>
        <v/>
      </c>
      <c r="T17" s="39" t="str">
        <f>IF(AND('Mapa final'!$AH$58="Muy Alta",'Mapa final'!$AJ$58="Menor"),CONCATENATE("R2C",'Mapa final'!$R$58),"")</f>
        <v/>
      </c>
      <c r="U17" s="39" t="str">
        <f>IF(AND('Mapa final'!$AH$59="Muy Alta",'Mapa final'!$AJ$59="Menor"),CONCATENATE("R2C",'Mapa final'!$R$59),"")</f>
        <v/>
      </c>
      <c r="V17" s="40" t="str">
        <f>IF(AND('Mapa final'!$AH$70="Muy Alta",'Mapa final'!$AJ$60="Menor"),CONCATENATE("R2C",'Mapa final'!$R$60),"")</f>
        <v/>
      </c>
      <c r="W17" s="38" t="str">
        <f>IF(AND('Mapa final'!$AH$55="Muy Alta",'Mapa final'!$AJ$55="Moderado"),CONCATENATE("R2C",'Mapa final'!$R$55),"")</f>
        <v/>
      </c>
      <c r="X17" s="39" t="str">
        <f>IF(AND('Mapa final'!$AH$56="Muy Alta",'Mapa final'!$AJ$56="Moderado"),CONCATENATE("R2C",'Mapa final'!$R$56),"")</f>
        <v/>
      </c>
      <c r="Y17" s="39" t="str">
        <f>IF(AND('Mapa final'!$AH$57="Muy Alta",'Mapa final'!$AJ$57="Moderado"),CONCATENATE("R2C",'Mapa final'!$R$57),"")</f>
        <v/>
      </c>
      <c r="Z17" s="39" t="str">
        <f>IF(AND('Mapa final'!$AH$58="Muy Alta",'Mapa final'!$AJ$58="Moderado"),CONCATENATE("R2C",'Mapa final'!$R$58),"")</f>
        <v/>
      </c>
      <c r="AA17" s="39" t="str">
        <f>IF(AND('Mapa final'!$AH$59="Muy Alta",'Mapa final'!$AJ$59="Moderado"),CONCATENATE("R2C",'Mapa final'!$R$59),"")</f>
        <v/>
      </c>
      <c r="AB17" s="40" t="str">
        <f>IF(AND('Mapa final'!$AH$70="Muy Alta",'Mapa final'!$AJ$60="Moderado"),CONCATENATE("R2C",'Mapa final'!$R$60),"")</f>
        <v/>
      </c>
      <c r="AC17" s="38" t="str">
        <f>IF(AND('Mapa final'!$AH$55="Muy Alta",'Mapa final'!$AJ$55="Mayor"),CONCATENATE("R2C",'Mapa final'!$R$55),"")</f>
        <v/>
      </c>
      <c r="AD17" s="39" t="str">
        <f>IF(AND('Mapa final'!$AH$56="Muy Alta",'Mapa final'!$AJ$56="Mayor"),CONCATENATE("R2C",'Mapa final'!$R$56),"")</f>
        <v/>
      </c>
      <c r="AE17" s="39" t="str">
        <f>IF(AND('Mapa final'!$AH$57="Muy Alta",'Mapa final'!$AJ$57="Mayor"),CONCATENATE("R2C",'Mapa final'!$R$57),"")</f>
        <v/>
      </c>
      <c r="AF17" s="39" t="str">
        <f>IF(AND('Mapa final'!$AH$58="Muy Alta",'Mapa final'!$AJ$58="Mayor"),CONCATENATE("R2C",'Mapa final'!$R$58),"")</f>
        <v/>
      </c>
      <c r="AG17" s="39" t="str">
        <f>IF(AND('Mapa final'!$AH$59="Muy Alta",'Mapa final'!$AJ$59="Mayor"),CONCATENATE("R2C",'Mapa final'!$R$59),"")</f>
        <v/>
      </c>
      <c r="AH17" s="40" t="str">
        <f>IF(AND('Mapa final'!$AH$70="Muy Alta",'Mapa final'!$AJ$60="Mayor"),CONCATENATE("R2C",'Mapa final'!$R$60),"")</f>
        <v/>
      </c>
      <c r="AI17" s="41" t="str">
        <f>IF(AND('Mapa final'!$AH$55="Muy Alta",'Mapa final'!$AJ$55="Catastrófico"),CONCATENATE("R2C",'Mapa final'!$R$55),"")</f>
        <v/>
      </c>
      <c r="AJ17" s="42" t="str">
        <f>IF(AND('Mapa final'!$AH$56="Muy Alta",'Mapa final'!$AJ$56="Catastrófico"),CONCATENATE("R2C",'Mapa final'!$R$56),"")</f>
        <v/>
      </c>
      <c r="AK17" s="42" t="str">
        <f>IF(AND('Mapa final'!$AH$57="Muy Alta",'Mapa final'!$AJ$57="Catastrófico"),CONCATENATE("R2C",'Mapa final'!$R$57),"")</f>
        <v/>
      </c>
      <c r="AL17" s="42" t="str">
        <f>IF(AND('Mapa final'!$AH$58="Muy Alta",'Mapa final'!$AJ$58="Catastrófico"),CONCATENATE("R2C",'Mapa final'!$R$58),"")</f>
        <v/>
      </c>
      <c r="AM17" s="42" t="str">
        <f>IF(AND('Mapa final'!$AH$59="Muy Alta",'Mapa final'!$AJ$59="Catastrófico"),CONCATENATE("R2C",'Mapa final'!$R$59),"")</f>
        <v/>
      </c>
      <c r="AN17" s="43" t="str">
        <f>IF(AND('Mapa final'!$AH$70="Muy Alta",'Mapa final'!$AJ$60="Catastrófico"),CONCATENATE("R2C",'Mapa final'!$R$60),"")</f>
        <v/>
      </c>
      <c r="AO17" s="68"/>
      <c r="AP17" s="509"/>
      <c r="AQ17" s="510"/>
      <c r="AR17" s="510"/>
      <c r="AS17" s="510"/>
      <c r="AT17" s="510"/>
      <c r="AU17" s="511"/>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row>
    <row r="18" spans="2:77" ht="15" customHeight="1">
      <c r="B18" s="68"/>
      <c r="C18" s="446"/>
      <c r="D18" s="446"/>
      <c r="E18" s="447"/>
      <c r="F18" s="489"/>
      <c r="G18" s="490"/>
      <c r="H18" s="490"/>
      <c r="I18" s="490"/>
      <c r="J18" s="490"/>
      <c r="K18" s="38" t="str">
        <f>IF(AND('Mapa final'!$AH$61="Muy Alta",'Mapa final'!$AJ$61="Leve"),CONCATENATE("R2C",'Mapa final'!$R$61),"")</f>
        <v/>
      </c>
      <c r="L18" s="39" t="str">
        <f>IF(AND('Mapa final'!$AH$62="Muy Alta",'Mapa final'!$AJ$62="Leve"),CONCATENATE("R2C",'Mapa final'!$R$62),"")</f>
        <v/>
      </c>
      <c r="M18" s="39" t="str">
        <f>IF(AND('Mapa final'!$AH$63="Muy Alta",'Mapa final'!$AJ$63="Leve"),CONCATENATE("R2C",'Mapa final'!$R$63),"")</f>
        <v/>
      </c>
      <c r="N18" s="39" t="str">
        <f>IF(AND('Mapa final'!$AH$64="Muy Alta",'Mapa final'!$AJ$64="Leve"),CONCATENATE("R2C",'Mapa final'!$R$64),"")</f>
        <v/>
      </c>
      <c r="O18" s="39" t="str">
        <f>IF(AND('Mapa final'!$AH$65="Muy Alta",'Mapa final'!$AJ$65="Leve"),CONCATENATE("R2C",'Mapa final'!$R$65),"")</f>
        <v/>
      </c>
      <c r="P18" s="40" t="str">
        <f>IF(AND('Mapa final'!$AH$66="Muy Alta",'Mapa final'!$AJ$66="Leve"),CONCATENATE("R2C",'Mapa final'!$R$66),"")</f>
        <v/>
      </c>
      <c r="Q18" s="39" t="str">
        <f>IF(AND('Mapa final'!$AH$61="Muy Alta",'Mapa final'!$AJ$61="Menor"),CONCATENATE("R2C",'Mapa final'!$R$61),"")</f>
        <v/>
      </c>
      <c r="R18" s="39" t="str">
        <f>IF(AND('Mapa final'!$AH$62="Muy Alta",'Mapa final'!$AJ$62="Menor"),CONCATENATE("R2C",'Mapa final'!$R$62),"")</f>
        <v/>
      </c>
      <c r="S18" s="39" t="str">
        <f>IF(AND('Mapa final'!$AH$63="Muy Alta",'Mapa final'!$AJ$63="Menor"),CONCATENATE("R2C",'Mapa final'!$R$63),"")</f>
        <v/>
      </c>
      <c r="T18" s="39" t="str">
        <f>IF(AND('Mapa final'!$AH$64="Muy Alta",'Mapa final'!$AJ$64="Menor"),CONCATENATE("R2C",'Mapa final'!$R$64),"")</f>
        <v/>
      </c>
      <c r="U18" s="39" t="str">
        <f>IF(AND('Mapa final'!$AH$65="Muy Alta",'Mapa final'!$AJ$65="Menor"),CONCATENATE("R2C",'Mapa final'!$R$65),"")</f>
        <v/>
      </c>
      <c r="V18" s="40" t="str">
        <f>IF(AND('Mapa final'!$AH$66="Muy Alta",'Mapa final'!$AJ$66="Menor"),CONCATENATE("R2C",'Mapa final'!$R$66),"")</f>
        <v/>
      </c>
      <c r="W18" s="38" t="str">
        <f>IF(AND('Mapa final'!$AH$61="Muy Alta",'Mapa final'!$AJ$61="Moderado"),CONCATENATE("R2C",'Mapa final'!$R$61),"")</f>
        <v/>
      </c>
      <c r="X18" s="39" t="str">
        <f>IF(AND('Mapa final'!$AH$62="Muy Alta",'Mapa final'!$AJ$62="Moderado"),CONCATENATE("R2C",'Mapa final'!$R$62),"")</f>
        <v/>
      </c>
      <c r="Y18" s="39" t="str">
        <f>IF(AND('Mapa final'!$AH$63="Muy Alta",'Mapa final'!$AJ$63="Moderado"),CONCATENATE("R2C",'Mapa final'!$R$63),"")</f>
        <v/>
      </c>
      <c r="Z18" s="39" t="str">
        <f>IF(AND('Mapa final'!$AH$64="Muy Alta",'Mapa final'!$AJ$64="Moderado"),CONCATENATE("R2C",'Mapa final'!$R$64),"")</f>
        <v/>
      </c>
      <c r="AA18" s="39" t="str">
        <f>IF(AND('Mapa final'!$AH$65="Muy Alta",'Mapa final'!$AJ$65="Moderado"),CONCATENATE("R2C",'Mapa final'!$R$65),"")</f>
        <v/>
      </c>
      <c r="AB18" s="40" t="str">
        <f>IF(AND('Mapa final'!$AH$66="Muy Alta",'Mapa final'!$AJ$66="Moderado"),CONCATENATE("R2C",'Mapa final'!$R$66),"")</f>
        <v/>
      </c>
      <c r="AC18" s="38" t="str">
        <f>IF(AND('Mapa final'!$AH$61="Muy Alta",'Mapa final'!$AJ$61="Mayor"),CONCATENATE("R2C",'Mapa final'!$R$61),"")</f>
        <v/>
      </c>
      <c r="AD18" s="39" t="str">
        <f>IF(AND('Mapa final'!$AH$62="Muy Alta",'Mapa final'!$AJ$62="Mayor"),CONCATENATE("R2C",'Mapa final'!$R$62),"")</f>
        <v/>
      </c>
      <c r="AE18" s="39" t="str">
        <f>IF(AND('Mapa final'!$AH$63="Muy Alta",'Mapa final'!$AJ$63="Mayor"),CONCATENATE("R2C",'Mapa final'!$R$63),"")</f>
        <v/>
      </c>
      <c r="AF18" s="39" t="str">
        <f>IF(AND('Mapa final'!$AH$64="Muy Alta",'Mapa final'!$AJ$64="Mayor"),CONCATENATE("R2C",'Mapa final'!$R$64),"")</f>
        <v/>
      </c>
      <c r="AG18" s="39" t="str">
        <f>IF(AND('Mapa final'!$AH$65="Muy Alta",'Mapa final'!$AJ$65="Mayor"),CONCATENATE("R2C",'Mapa final'!$R$65),"")</f>
        <v/>
      </c>
      <c r="AH18" s="40" t="str">
        <f>IF(AND('Mapa final'!$AH$66="Muy Alta",'Mapa final'!$AJ$66="Mayor"),CONCATENATE("R2C",'Mapa final'!$R$66),"")</f>
        <v/>
      </c>
      <c r="AI18" s="41" t="str">
        <f>IF(AND('Mapa final'!$AH$61="Muy Alta",'Mapa final'!$AJ$61="Catastrófico"),CONCATENATE("R2C",'Mapa final'!$R$61),"")</f>
        <v/>
      </c>
      <c r="AJ18" s="42" t="str">
        <f>IF(AND('Mapa final'!$AH$62="Muy Alta",'Mapa final'!$AJ$62="Catastrófico"),CONCATENATE("R2C",'Mapa final'!$R$62),"")</f>
        <v/>
      </c>
      <c r="AK18" s="42" t="str">
        <f>IF(AND('Mapa final'!$AH$63="Muy Alta",'Mapa final'!$AJ$63="Catastrófico"),CONCATENATE("R2C",'Mapa final'!$R$63),"")</f>
        <v/>
      </c>
      <c r="AL18" s="42" t="str">
        <f>IF(AND('Mapa final'!$AH$64="Muy Alta",'Mapa final'!$AJ$64="Catastrófico"),CONCATENATE("R2C",'Mapa final'!$R$64),"")</f>
        <v/>
      </c>
      <c r="AM18" s="42" t="str">
        <f>IF(AND('Mapa final'!$AH$65="Muy Alta",'Mapa final'!$AJ$65="Catastrófico"),CONCATENATE("R2C",'Mapa final'!$R$65),"")</f>
        <v/>
      </c>
      <c r="AN18" s="43" t="str">
        <f>IF(AND('Mapa final'!$AH$66="Muy Alta",'Mapa final'!$AJ$66="Catastrófico"),CONCATENATE("R2C",'Mapa final'!$R$66),"")</f>
        <v/>
      </c>
      <c r="AO18" s="68"/>
      <c r="AP18" s="509"/>
      <c r="AQ18" s="510"/>
      <c r="AR18" s="510"/>
      <c r="AS18" s="510"/>
      <c r="AT18" s="510"/>
      <c r="AU18" s="511"/>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row>
    <row r="19" spans="2:77" ht="15" customHeight="1">
      <c r="B19" s="68"/>
      <c r="C19" s="446"/>
      <c r="D19" s="446"/>
      <c r="E19" s="447"/>
      <c r="F19" s="489"/>
      <c r="G19" s="490"/>
      <c r="H19" s="490"/>
      <c r="I19" s="490"/>
      <c r="J19" s="490"/>
      <c r="K19" s="38" t="str">
        <f>IF(AND('Mapa final'!$AH$67="Muy Alta",'Mapa final'!$AJ$67="Leve"),CONCATENATE("R2C",'Mapa final'!$R$67),"")</f>
        <v/>
      </c>
      <c r="L19" s="39" t="str">
        <f>IF(AND('Mapa final'!$AH$68="Muy Alta",'Mapa final'!$AJ$68="Leve"),CONCATENATE("R2C",'Mapa final'!$R$68),"")</f>
        <v/>
      </c>
      <c r="M19" s="39" t="str">
        <f>IF(AND('Mapa final'!$AH$69="Muy Alta",'Mapa final'!$AJ$69="Leve"),CONCATENATE("R2C",'Mapa final'!$R$69),"")</f>
        <v/>
      </c>
      <c r="N19" s="39" t="str">
        <f>IF(AND('Mapa final'!$AH$70="Muy Alta",'Mapa final'!$AJ$70="Leve"),CONCATENATE("R2C",'Mapa final'!$R$70),"")</f>
        <v/>
      </c>
      <c r="O19" s="39" t="str">
        <f>IF(AND('Mapa final'!$AH$71="Muy Alta",'Mapa final'!$AJ$71="Leve"),CONCATENATE("R2C",'Mapa final'!$R$71),"")</f>
        <v/>
      </c>
      <c r="P19" s="40" t="str">
        <f>IF(AND('Mapa final'!$AH$72="Muy Alta",'Mapa final'!$AJ$72="Leve"),CONCATENATE("R2C",'Mapa final'!$R$72),"")</f>
        <v/>
      </c>
      <c r="Q19" s="39" t="str">
        <f>IF(AND('Mapa final'!$AH$67="Muy Alta",'Mapa final'!$AJ$67="Menor"),CONCATENATE("R2C",'Mapa final'!$R$67),"")</f>
        <v/>
      </c>
      <c r="R19" s="39" t="str">
        <f>IF(AND('Mapa final'!$AH$68="Muy Alta",'Mapa final'!$AJ$68="Menor"),CONCATENATE("R2C",'Mapa final'!$R$68),"")</f>
        <v/>
      </c>
      <c r="S19" s="39" t="str">
        <f>IF(AND('Mapa final'!$AH$69="Muy Alta",'Mapa final'!$AJ$69="Menor"),CONCATENATE("R2C",'Mapa final'!$R$69),"")</f>
        <v/>
      </c>
      <c r="T19" s="39" t="str">
        <f>IF(AND('Mapa final'!$AH$70="Muy Alta",'Mapa final'!$AJ$70="Menor"),CONCATENATE("R2C",'Mapa final'!$R$70),"")</f>
        <v/>
      </c>
      <c r="U19" s="39" t="str">
        <f>IF(AND('Mapa final'!$AH$71="Muy Alta",'Mapa final'!$AJ$71="Menor"),CONCATENATE("R2C",'Mapa final'!$R$71),"")</f>
        <v/>
      </c>
      <c r="V19" s="40" t="str">
        <f>IF(AND('Mapa final'!$AH$72="Muy Alta",'Mapa final'!$AJ$72="Menor"),CONCATENATE("R2C",'Mapa final'!$R$72),"")</f>
        <v/>
      </c>
      <c r="W19" s="38" t="str">
        <f>IF(AND('Mapa final'!$AH$67="Muy Alta",'Mapa final'!$AJ$67="Moderado"),CONCATENATE("R2C",'Mapa final'!$R$67),"")</f>
        <v/>
      </c>
      <c r="X19" s="39" t="str">
        <f>IF(AND('Mapa final'!$AH$68="Muy Alta",'Mapa final'!$AJ$68="Moderado"),CONCATENATE("R2C",'Mapa final'!$R$68),"")</f>
        <v/>
      </c>
      <c r="Y19" s="39" t="str">
        <f>IF(AND('Mapa final'!$AH$69="Muy Alta",'Mapa final'!$AJ$69="Moderado"),CONCATENATE("R2C",'Mapa final'!$R$69),"")</f>
        <v/>
      </c>
      <c r="Z19" s="39" t="str">
        <f>IF(AND('Mapa final'!$AH$70="Muy Alta",'Mapa final'!$AJ$70="Moderado"),CONCATENATE("R2C",'Mapa final'!$R$70),"")</f>
        <v/>
      </c>
      <c r="AA19" s="39" t="str">
        <f>IF(AND('Mapa final'!$AH$71="Muy Alta",'Mapa final'!$AJ$71="Moderado"),CONCATENATE("R2C",'Mapa final'!$R$71),"")</f>
        <v/>
      </c>
      <c r="AB19" s="40" t="str">
        <f>IF(AND('Mapa final'!$AH$72="Muy Alta",'Mapa final'!$AJ$72="Moderado"),CONCATENATE("R2C",'Mapa final'!$R$72),"")</f>
        <v/>
      </c>
      <c r="AC19" s="38" t="str">
        <f>IF(AND('Mapa final'!$AH$67="Muy Alta",'Mapa final'!$AJ$67="Mayor"),CONCATENATE("R2C",'Mapa final'!$R$67),"")</f>
        <v/>
      </c>
      <c r="AD19" s="39" t="str">
        <f>IF(AND('Mapa final'!$AH$68="Muy Alta",'Mapa final'!$AJ$68="Mayor"),CONCATENATE("R2C",'Mapa final'!$R$68),"")</f>
        <v/>
      </c>
      <c r="AE19" s="39" t="str">
        <f>IF(AND('Mapa final'!$AH$69="Muy Alta",'Mapa final'!$AJ$69="Mayor"),CONCATENATE("R2C",'Mapa final'!$R$69),"")</f>
        <v/>
      </c>
      <c r="AF19" s="39" t="str">
        <f>IF(AND('Mapa final'!$AH$70="Muy Alta",'Mapa final'!$AJ$70="Mayor"),CONCATENATE("R2C",'Mapa final'!$R$70),"")</f>
        <v/>
      </c>
      <c r="AG19" s="39" t="str">
        <f>IF(AND('Mapa final'!$AH$71="Muy Alta",'Mapa final'!$AJ$71="Mayor"),CONCATENATE("R2C",'Mapa final'!$R$71),"")</f>
        <v/>
      </c>
      <c r="AH19" s="40" t="str">
        <f>IF(AND('Mapa final'!$AH$72="Muy Alta",'Mapa final'!$AJ$72="Mayor"),CONCATENATE("R2C",'Mapa final'!$R$72),"")</f>
        <v/>
      </c>
      <c r="AI19" s="41" t="str">
        <f>IF(AND('Mapa final'!$AH$67="Muy Alta",'Mapa final'!$AJ$67="Catastrófico"),CONCATENATE("R2C",'Mapa final'!$R$67),"")</f>
        <v/>
      </c>
      <c r="AJ19" s="42" t="str">
        <f>IF(AND('Mapa final'!$AH$68="Muy Alta",'Mapa final'!$AJ$68="Catastrófico"),CONCATENATE("R2C",'Mapa final'!$R$68),"")</f>
        <v/>
      </c>
      <c r="AK19" s="42" t="str">
        <f>IF(AND('Mapa final'!$AH$69="Muy Alta",'Mapa final'!$AJ$69="Catastrófico"),CONCATENATE("R2C",'Mapa final'!$R$69),"")</f>
        <v/>
      </c>
      <c r="AL19" s="42" t="str">
        <f>IF(AND('Mapa final'!$AH$70="Muy Alta",'Mapa final'!$AJ$70="Catastrófico"),CONCATENATE("R2C",'Mapa final'!$R$70),"")</f>
        <v/>
      </c>
      <c r="AM19" s="42" t="str">
        <f>IF(AND('Mapa final'!$AH$71="Muy Alta",'Mapa final'!$AJ$71="Catastrófico"),CONCATENATE("R2C",'Mapa final'!$R$71),"")</f>
        <v/>
      </c>
      <c r="AN19" s="43" t="str">
        <f>IF(AND('Mapa final'!$AH$72="Muy Alta",'Mapa final'!$AJ$72="Catastrófico"),CONCATENATE("R2C",'Mapa final'!$R$72),"")</f>
        <v/>
      </c>
      <c r="AO19" s="68"/>
      <c r="AP19" s="509"/>
      <c r="AQ19" s="510"/>
      <c r="AR19" s="510"/>
      <c r="AS19" s="510"/>
      <c r="AT19" s="510"/>
      <c r="AU19" s="511"/>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row>
    <row r="20" spans="2:77" ht="15" customHeight="1">
      <c r="B20" s="68"/>
      <c r="C20" s="446"/>
      <c r="D20" s="446"/>
      <c r="E20" s="447"/>
      <c r="F20" s="489"/>
      <c r="G20" s="490"/>
      <c r="H20" s="490"/>
      <c r="I20" s="490"/>
      <c r="J20" s="490"/>
      <c r="K20" s="38" t="str">
        <f>IF(AND('Mapa final'!$AH$73="Muy Alta",'Mapa final'!$AJ$73="Leve"),CONCATENATE("R2C",'Mapa final'!$R$73),"")</f>
        <v/>
      </c>
      <c r="L20" s="39" t="str">
        <f>IF(AND('Mapa final'!$AH$74="Muy Alta",'Mapa final'!$AJ$74="Leve"),CONCATENATE("R2C",'Mapa final'!$R$74),"")</f>
        <v/>
      </c>
      <c r="M20" s="39" t="str">
        <f>IF(AND('Mapa final'!$AH$75="Muy Alta",'Mapa final'!$AJ$75="Leve"),CONCATENATE("R2C",'Mapa final'!$R$75),"")</f>
        <v/>
      </c>
      <c r="N20" s="39" t="str">
        <f>IF(AND('Mapa final'!$AH$76="Muy Alta",'Mapa final'!$AJ$76="Leve"),CONCATENATE("R2C",'Mapa final'!$R$76),"")</f>
        <v/>
      </c>
      <c r="O20" s="39" t="str">
        <f>IF(AND('Mapa final'!$AH$77="Muy Alta",'Mapa final'!$AJ$77="Leve"),CONCATENATE("R2C",'Mapa final'!$R$77),"")</f>
        <v/>
      </c>
      <c r="P20" s="40" t="str">
        <f>IF(AND('Mapa final'!$AH$78="Muy Alta",'Mapa final'!$AJ$78="Leve"),CONCATENATE("R2C",'Mapa final'!$R$78),"")</f>
        <v/>
      </c>
      <c r="Q20" s="39" t="str">
        <f>IF(AND('Mapa final'!$AH$73="Muy Alta",'Mapa final'!$AJ$73="Menor"),CONCATENATE("R2C",'Mapa final'!$R$73),"")</f>
        <v/>
      </c>
      <c r="R20" s="39" t="str">
        <f>IF(AND('Mapa final'!$AH$74="Muy Alta",'Mapa final'!$AJ$74="Menor"),CONCATENATE("R2C",'Mapa final'!$R$74),"")</f>
        <v/>
      </c>
      <c r="S20" s="39" t="str">
        <f>IF(AND('Mapa final'!$AH$75="Muy Alta",'Mapa final'!$AJ$75="Menor"),CONCATENATE("R2C",'Mapa final'!$R$75),"")</f>
        <v/>
      </c>
      <c r="T20" s="39" t="str">
        <f>IF(AND('Mapa final'!$AH$76="Muy Alta",'Mapa final'!$AJ$76="Menor"),CONCATENATE("R2C",'Mapa final'!$R$76),"")</f>
        <v/>
      </c>
      <c r="U20" s="39" t="str">
        <f>IF(AND('Mapa final'!$AH$77="Muy Alta",'Mapa final'!$AJ$77="Menor"),CONCATENATE("R2C",'Mapa final'!$R$77),"")</f>
        <v/>
      </c>
      <c r="V20" s="40" t="str">
        <f>IF(AND('Mapa final'!$AH$78="Muy Alta",'Mapa final'!$AJ$78="Menor"),CONCATENATE("R2C",'Mapa final'!$R$78),"")</f>
        <v/>
      </c>
      <c r="W20" s="38" t="str">
        <f>IF(AND('Mapa final'!$AH$73="Muy Alta",'Mapa final'!$AJ$73="Moderado"),CONCATENATE("R2C",'Mapa final'!$R$73),"")</f>
        <v/>
      </c>
      <c r="X20" s="39" t="str">
        <f>IF(AND('Mapa final'!$AH$74="Muy Alta",'Mapa final'!$AJ$74="Moderado"),CONCATENATE("R2C",'Mapa final'!$R$74),"")</f>
        <v/>
      </c>
      <c r="Y20" s="39" t="str">
        <f>IF(AND('Mapa final'!$AH$75="Muy Alta",'Mapa final'!$AJ$75="Moderado"),CONCATENATE("R2C",'Mapa final'!$R$75),"")</f>
        <v/>
      </c>
      <c r="Z20" s="39" t="str">
        <f>IF(AND('Mapa final'!$AH$76="Muy Alta",'Mapa final'!$AJ$76="Moderado"),CONCATENATE("R2C",'Mapa final'!$R$76),"")</f>
        <v/>
      </c>
      <c r="AA20" s="39" t="str">
        <f>IF(AND('Mapa final'!$AH$77="Muy Alta",'Mapa final'!$AJ$77="Moderado"),CONCATENATE("R2C",'Mapa final'!$R$77),"")</f>
        <v/>
      </c>
      <c r="AB20" s="40" t="str">
        <f>IF(AND('Mapa final'!$AH$78="Muy Alta",'Mapa final'!$AJ$78="Moderado"),CONCATENATE("R2C",'Mapa final'!$R$78),"")</f>
        <v/>
      </c>
      <c r="AC20" s="38" t="str">
        <f>IF(AND('Mapa final'!$AH$73="Muy Alta",'Mapa final'!$AJ$73="Mayor"),CONCATENATE("R2C",'Mapa final'!$R$73),"")</f>
        <v/>
      </c>
      <c r="AD20" s="39" t="str">
        <f>IF(AND('Mapa final'!$AH$74="Muy Alta",'Mapa final'!$AJ$74="Mayor"),CONCATENATE("R2C",'Mapa final'!$R$74),"")</f>
        <v/>
      </c>
      <c r="AE20" s="39" t="str">
        <f>IF(AND('Mapa final'!$AH$75="Muy Alta",'Mapa final'!$AJ$75="Mayor"),CONCATENATE("R2C",'Mapa final'!$R$75),"")</f>
        <v/>
      </c>
      <c r="AF20" s="39" t="str">
        <f>IF(AND('Mapa final'!$AH$76="Muy Alta",'Mapa final'!$AJ$76="Mayor"),CONCATENATE("R2C",'Mapa final'!$R$76),"")</f>
        <v/>
      </c>
      <c r="AG20" s="39" t="str">
        <f>IF(AND('Mapa final'!$AH$77="Muy Alta",'Mapa final'!$AJ$77="Mayor"),CONCATENATE("R2C",'Mapa final'!$R$77),"")</f>
        <v/>
      </c>
      <c r="AH20" s="40" t="str">
        <f>IF(AND('Mapa final'!$AH$78="Muy Alta",'Mapa final'!$AJ$78="Mayor"),CONCATENATE("R2C",'Mapa final'!$R$78),"")</f>
        <v/>
      </c>
      <c r="AI20" s="41" t="str">
        <f>IF(AND('Mapa final'!$AH$73="Muy Alta",'Mapa final'!$AJ$73="Catastrófico"),CONCATENATE("R2C",'Mapa final'!$R$73),"")</f>
        <v/>
      </c>
      <c r="AJ20" s="42" t="str">
        <f>IF(AND('Mapa final'!$AH$74="Muy Alta",'Mapa final'!$AJ$74="Catastrófico"),CONCATENATE("R2C",'Mapa final'!$R$74),"")</f>
        <v/>
      </c>
      <c r="AK20" s="42" t="str">
        <f>IF(AND('Mapa final'!$AH$75="Muy Alta",'Mapa final'!$AJ$75="Catastrófico"),CONCATENATE("R2C",'Mapa final'!$R$75),"")</f>
        <v/>
      </c>
      <c r="AL20" s="42" t="str">
        <f>IF(AND('Mapa final'!$AH$76="Muy Alta",'Mapa final'!$AJ$76="Catastrófico"),CONCATENATE("R2C",'Mapa final'!$R$76),"")</f>
        <v/>
      </c>
      <c r="AM20" s="42" t="str">
        <f>IF(AND('Mapa final'!$AH$77="Muy Alta",'Mapa final'!$AJ$77="Catastrófico"),CONCATENATE("R2C",'Mapa final'!$R$77),"")</f>
        <v/>
      </c>
      <c r="AN20" s="43" t="str">
        <f>IF(AND('Mapa final'!$AH$78="Muy Alta",'Mapa final'!$AJ$78="Catastrófico"),CONCATENATE("R2C",'Mapa final'!$R$78),"")</f>
        <v/>
      </c>
      <c r="AO20" s="68"/>
      <c r="AP20" s="509"/>
      <c r="AQ20" s="510"/>
      <c r="AR20" s="510"/>
      <c r="AS20" s="510"/>
      <c r="AT20" s="510"/>
      <c r="AU20" s="511"/>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row>
    <row r="21" spans="2:77" ht="15.75" customHeight="1" thickBot="1">
      <c r="B21" s="68"/>
      <c r="C21" s="446"/>
      <c r="D21" s="446"/>
      <c r="E21" s="447"/>
      <c r="F21" s="492"/>
      <c r="G21" s="493"/>
      <c r="H21" s="493"/>
      <c r="I21" s="493"/>
      <c r="J21" s="493"/>
      <c r="K21" s="44" t="str">
        <f>IF(AND('Mapa final'!$AH$79="Muy Alta",'Mapa final'!$AJ$79="Leve"),CONCATENATE("R2C",'Mapa final'!$R$79),"")</f>
        <v/>
      </c>
      <c r="L21" s="45" t="str">
        <f>IF(AND('Mapa final'!$AH$80="Muy Alta",'Mapa final'!$AJ$80="Leve"),CONCATENATE("R2C",'Mapa final'!$R$80),"")</f>
        <v/>
      </c>
      <c r="M21" s="45" t="str">
        <f>IF(AND('Mapa final'!$AH$81="Muy Alta",'Mapa final'!$AJ$81="Leve"),CONCATENATE("R2C",'Mapa final'!$R$81),"")</f>
        <v/>
      </c>
      <c r="N21" s="45" t="str">
        <f>IF(AND('Mapa final'!$AH$82="Muy Alta",'Mapa final'!$AJ$82="Leve"),CONCATENATE("R2C",'Mapa final'!$R$82),"")</f>
        <v/>
      </c>
      <c r="O21" s="45" t="str">
        <f>IF(AND('Mapa final'!$AH$84="Muy Alta",'Mapa final'!$AJ$84="Leve"),CONCATENATE("R2C",'Mapa final'!$R$84),"")</f>
        <v/>
      </c>
      <c r="P21" s="46" t="str">
        <f>IF(AND('Mapa final'!$AH$85="Muy Alta",'Mapa final'!$AJ$85="Leve"),CONCATENATE("R2C",'Mapa final'!$R$85),"")</f>
        <v/>
      </c>
      <c r="Q21" s="39" t="str">
        <f>IF(AND('Mapa final'!$AH$79="Muy Alta",'Mapa final'!$AJ$79="Menor"),CONCATENATE("R2C",'Mapa final'!$R$79),"")</f>
        <v/>
      </c>
      <c r="R21" s="39" t="str">
        <f>IF(AND('Mapa final'!$AH$80="Muy Alta",'Mapa final'!$AJ$80="Menor"),CONCATENATE("R2C",'Mapa final'!$R$80),"")</f>
        <v/>
      </c>
      <c r="S21" s="39" t="str">
        <f>IF(AND('Mapa final'!$AH$81="Muy Alta",'Mapa final'!$AJ$81="Menor"),CONCATENATE("R2C",'Mapa final'!$R$81),"")</f>
        <v/>
      </c>
      <c r="T21" s="39" t="str">
        <f>IF(AND('Mapa final'!$AH$82="Muy Alta",'Mapa final'!$AJ$82="Menor"),CONCATENATE("R2C",'Mapa final'!$R$82),"")</f>
        <v/>
      </c>
      <c r="U21" s="39" t="str">
        <f>IF(AND('Mapa final'!$AH$84="Muy Alta",'Mapa final'!$AJ$84="Menor"),CONCATENATE("R2C",'Mapa final'!$R$84),"")</f>
        <v/>
      </c>
      <c r="V21" s="40" t="str">
        <f>IF(AND('Mapa final'!$AH$85="Muy Alta",'Mapa final'!$AJ$85="Menor"),CONCATENATE("R2C",'Mapa final'!$R$85),"")</f>
        <v/>
      </c>
      <c r="W21" s="44" t="str">
        <f>IF(AND('Mapa final'!$AH$79="Muy Alta",'Mapa final'!$AJ$79="Moderado"),CONCATENATE("R2C",'Mapa final'!$R$79),"")</f>
        <v/>
      </c>
      <c r="X21" s="45" t="str">
        <f>IF(AND('Mapa final'!$AH$80="Muy Alta",'Mapa final'!$AJ$80="Moderado"),CONCATENATE("R2C",'Mapa final'!$R$80),"")</f>
        <v/>
      </c>
      <c r="Y21" s="45" t="str">
        <f>IF(AND('Mapa final'!$AH$81="Muy Alta",'Mapa final'!$AJ$81="Moderado"),CONCATENATE("R2C",'Mapa final'!$R$81),"")</f>
        <v/>
      </c>
      <c r="Z21" s="45" t="str">
        <f>IF(AND('Mapa final'!$AH$82="Muy Alta",'Mapa final'!$AJ$82="Moderado"),CONCATENATE("R2C",'Mapa final'!$R$82),"")</f>
        <v/>
      </c>
      <c r="AA21" s="45" t="str">
        <f>IF(AND('Mapa final'!$AH$84="Muy Alta",'Mapa final'!$AJ$84="Moderado"),CONCATENATE("R2C",'Mapa final'!$R$84),"")</f>
        <v/>
      </c>
      <c r="AB21" s="46" t="str">
        <f>IF(AND('Mapa final'!$AH$85="Muy Alta",'Mapa final'!$AJ$85="Moderado"),CONCATENATE("R2C",'Mapa final'!$R$85),"")</f>
        <v/>
      </c>
      <c r="AC21" s="38" t="str">
        <f>IF(AND('Mapa final'!$AH$79="Muy Alta",'Mapa final'!$AJ$79="Mayor"),CONCATENATE("R2C",'Mapa final'!$R$79),"")</f>
        <v/>
      </c>
      <c r="AD21" s="39" t="str">
        <f>IF(AND('Mapa final'!$AH$80="Muy Alta",'Mapa final'!$AJ$80="Mayor"),CONCATENATE("R2C",'Mapa final'!$R$80),"")</f>
        <v/>
      </c>
      <c r="AE21" s="39" t="str">
        <f>IF(AND('Mapa final'!$AH$81="Muy Alta",'Mapa final'!$AJ$81="Mayor"),CONCATENATE("R2C",'Mapa final'!$R$81),"")</f>
        <v/>
      </c>
      <c r="AF21" s="39" t="str">
        <f>IF(AND('Mapa final'!$AH$82="Muy Alta",'Mapa final'!$AJ$82="Mayor"),CONCATENATE("R2C",'Mapa final'!$R$82),"")</f>
        <v/>
      </c>
      <c r="AG21" s="39" t="str">
        <f>IF(AND('Mapa final'!$AH$84="Muy Alta",'Mapa final'!$AJ$84="Mayor"),CONCATENATE("R2C",'Mapa final'!$R$84),"")</f>
        <v/>
      </c>
      <c r="AH21" s="40" t="str">
        <f>IF(AND('Mapa final'!$AH$85="Muy Alta",'Mapa final'!$AJ$85="Mayor"),CONCATENATE("R2C",'Mapa final'!$R$85),"")</f>
        <v/>
      </c>
      <c r="AI21" s="47" t="str">
        <f>IF(AND('Mapa final'!$AH$79="Muy Alta",'Mapa final'!$AJ$79="Catastrófico"),CONCATENATE("R2C",'Mapa final'!$R$79),"")</f>
        <v/>
      </c>
      <c r="AJ21" s="48" t="str">
        <f>IF(AND('Mapa final'!$AH$80="Muy Alta",'Mapa final'!$AJ$80="Catastrófico"),CONCATENATE("R2C",'Mapa final'!$R$80),"")</f>
        <v/>
      </c>
      <c r="AK21" s="48" t="str">
        <f>IF(AND('Mapa final'!$AH$81="Muy Alta",'Mapa final'!$AJ$81="Catastrófico"),CONCATENATE("R2C",'Mapa final'!$R$81),"")</f>
        <v/>
      </c>
      <c r="AL21" s="48" t="str">
        <f>IF(AND('Mapa final'!$AH$82="Muy Alta",'Mapa final'!$AJ$82="Catastrófico"),CONCATENATE("R2C",'Mapa final'!$R$82),"")</f>
        <v/>
      </c>
      <c r="AM21" s="48" t="str">
        <f>IF(AND('Mapa final'!$AH$84="Muy Alta",'Mapa final'!$AJ$84="Catastrófico"),CONCATENATE("R2C",'Mapa final'!$R$84),"")</f>
        <v/>
      </c>
      <c r="AN21" s="49" t="str">
        <f>IF(AND('Mapa final'!$AH$85="Muy Alta",'Mapa final'!$AJ$85="Catastrófico"),CONCATENATE("R2C",'Mapa final'!$R$85),"")</f>
        <v/>
      </c>
      <c r="AO21" s="68"/>
      <c r="AP21" s="512"/>
      <c r="AQ21" s="513"/>
      <c r="AR21" s="513"/>
      <c r="AS21" s="513"/>
      <c r="AT21" s="513"/>
      <c r="AU21" s="514"/>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row>
    <row r="22" spans="2:77" ht="15" customHeight="1">
      <c r="B22" s="68"/>
      <c r="C22" s="446"/>
      <c r="D22" s="446"/>
      <c r="E22" s="447"/>
      <c r="F22" s="486" t="s">
        <v>333</v>
      </c>
      <c r="G22" s="487"/>
      <c r="H22" s="487"/>
      <c r="I22" s="487"/>
      <c r="J22" s="487"/>
      <c r="K22" s="53"/>
      <c r="L22" s="54" t="str">
        <f>IF(AND('Mapa final'!$AH$16="Alta",'Mapa final'!$AJ$16="Leve"),CONCATENATE("R2C",'Mapa final'!$R$15),"")</f>
        <v/>
      </c>
      <c r="M22" s="54" t="str">
        <f>IF(AND('Mapa final'!$AH$17="Alta",'Mapa final'!$AJ$17="Leve"),CONCATENATE("R2C",'Mapa final'!$R$17),"")</f>
        <v/>
      </c>
      <c r="N22" s="54" t="str">
        <f>IF(AND('Mapa final'!$AH$20="Alta",'Mapa final'!$AJ$20="Leve"),CONCATENATE("R2C",'Mapa final'!$R$20),"")</f>
        <v/>
      </c>
      <c r="O22" s="54" t="str">
        <f>IF(AND('Mapa final'!$AH$21="Alta",'Mapa final'!$AJ$21="Leve"),CONCATENATE("R2C",'Mapa final'!$R$21),"")</f>
        <v/>
      </c>
      <c r="P22" s="55" t="str">
        <f>IF(AND('Mapa final'!$AH$22="Alta",'Mapa final'!$AJ$22="Leve"),CONCATENATE("R2C",'Mapa final'!$R$22),"")</f>
        <v/>
      </c>
      <c r="Q22" s="50"/>
      <c r="R22" s="51" t="str">
        <f>IF(AND('Mapa final'!$AH$16="Alta",'Mapa final'!$AJ$16="Menore"),CONCATENATE("R2C",'Mapa final'!$R$15),"")</f>
        <v/>
      </c>
      <c r="S22" s="51" t="str">
        <f>IF(AND('Mapa final'!$AH$17="Alta",'Mapa final'!$AJ$17="Menor"),CONCATENATE("R2C",'Mapa final'!$R$17),"")</f>
        <v/>
      </c>
      <c r="T22" s="51" t="str">
        <f>IF(AND('Mapa final'!$AH$20="Alta",'Mapa final'!$AJ$20="Menor"),CONCATENATE("R2C",'Mapa final'!$R$20),"")</f>
        <v/>
      </c>
      <c r="U22" s="51" t="str">
        <f>IF(AND('Mapa final'!$AH$21="Alta",'Mapa final'!$AJ$21="Menor"),CONCATENATE("R2C",'Mapa final'!$R$21),"")</f>
        <v/>
      </c>
      <c r="V22" s="52" t="str">
        <f>IF(AND('Mapa final'!$AH$22="Alta",'Mapa final'!$AJ$22="Menor"),CONCATENATE("R2C",'Mapa final'!$R$22),"")</f>
        <v/>
      </c>
      <c r="W22" s="32"/>
      <c r="X22" s="33" t="str">
        <f>IF(AND('Mapa final'!$AH$16="Alta",'Mapa final'!$AJ$16="Moderado"),CONCATENATE("R2C",'Mapa final'!$R$15),"")</f>
        <v>R2C     El riesgo afecta la imagen de la entidad con algunos usuarios de relevancia frente al logro de los objetivos</v>
      </c>
      <c r="Y22" s="33"/>
      <c r="Z22" s="33" t="str">
        <f>IF(AND('Mapa final'!$AH$20="Alta",'Mapa final'!$AJ$20="Moderado"),CONCATENATE("R2C",'Mapa final'!$R$20),"")</f>
        <v>R2C</v>
      </c>
      <c r="AA22" s="33" t="str">
        <f>IF(AND('Mapa final'!$AH$21="Alta",'Mapa final'!$AJ$21="Moderado"),CONCATENATE("R2C",'Mapa final'!$R$21),"")</f>
        <v/>
      </c>
      <c r="AB22" s="34" t="str">
        <f>IF(AND('Mapa final'!$AH$22="Alta",'Mapa final'!$AJ$22="Moderado"),CONCATENATE("R2C",'Mapa final'!$R$22),"")</f>
        <v>R2C</v>
      </c>
      <c r="AC22" s="32"/>
      <c r="AD22" s="33" t="str">
        <f>IF(AND('Mapa final'!$AH$16="Alta",'Mapa final'!$AJ$16="Mayor"),CONCATENATE("R2C",'Mapa final'!$R$15),"")</f>
        <v/>
      </c>
      <c r="AE22" s="33" t="str">
        <f>IF(AND('Mapa final'!$AH$17="Alta",'Mapa final'!$AJ$17="Mayor"),CONCATENATE("R2C",'Mapa final'!$R$17),"")</f>
        <v/>
      </c>
      <c r="AF22" s="33" t="str">
        <f>IF(AND('Mapa final'!$AH$20="Alta",'Mapa final'!$AJ$20="Mayor"),CONCATENATE("R2C",'Mapa final'!$R$20),"")</f>
        <v/>
      </c>
      <c r="AG22" s="33" t="str">
        <f>IF(AND('Mapa final'!$AH$21="Alta",'Mapa final'!$AJ$21="Mayor"),CONCATENATE("R2C",'Mapa final'!$R$21),"")</f>
        <v/>
      </c>
      <c r="AH22" s="34" t="str">
        <f>IF(AND('Mapa final'!$AH$22="Alta",'Mapa final'!$AJ$22="Mayor"),CONCATENATE("R2C",'Mapa final'!$R$22),"")</f>
        <v/>
      </c>
      <c r="AI22" s="35"/>
      <c r="AJ22" s="36" t="str">
        <f>IF(AND('Mapa final'!$AH$16="Alta",'Mapa final'!$AJ$16="Catastrófico"),CONCATENATE("R2C",'Mapa final'!$R$15),"")</f>
        <v/>
      </c>
      <c r="AK22" s="36" t="str">
        <f>IF(AND('Mapa final'!$AH$17="Alta",'Mapa final'!$AJ$17="Catastrófico"),CONCATENATE("R2C",'Mapa final'!$R$17),"")</f>
        <v/>
      </c>
      <c r="AL22" s="36" t="str">
        <f>IF(AND('Mapa final'!$AH$20="Alta",'Mapa final'!$AJ$20="Catastrófico"),CONCATENATE("R2C",'Mapa final'!$R$20),"")</f>
        <v/>
      </c>
      <c r="AM22" s="36" t="str">
        <f>IF(AND('Mapa final'!$AH$21="Alta",'Mapa final'!$AJ$21="Catastrófico"),CONCATENATE("R2C",'Mapa final'!$R$21),"")</f>
        <v/>
      </c>
      <c r="AN22" s="37" t="str">
        <f>IF(AND('Mapa final'!$AH$22="Alta",'Mapa final'!$AJ$22="Catastrófico"),CONCATENATE("R2C",'Mapa final'!$R$22),"")</f>
        <v/>
      </c>
      <c r="AO22" s="68"/>
      <c r="AP22" s="496" t="s">
        <v>334</v>
      </c>
      <c r="AQ22" s="497"/>
      <c r="AR22" s="497"/>
      <c r="AS22" s="497"/>
      <c r="AT22" s="497"/>
      <c r="AU22" s="49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row>
    <row r="23" spans="2:77" ht="15" customHeight="1">
      <c r="B23" s="68"/>
      <c r="C23" s="446"/>
      <c r="D23" s="446"/>
      <c r="E23" s="447"/>
      <c r="F23" s="505"/>
      <c r="G23" s="490"/>
      <c r="H23" s="490"/>
      <c r="I23" s="490"/>
      <c r="J23" s="490"/>
      <c r="K23" s="53" t="str">
        <f>IF(AND('Mapa final'!$AH$23="Alta",'Mapa final'!$AJ$23="Leve"),CONCATENATE("R2C",'Mapa final'!$R$23),"")</f>
        <v/>
      </c>
      <c r="L23" s="54" t="str">
        <f>IF(AND('Mapa final'!$AH$24="Alta",'Mapa final'!$AJ$24="Leve"),CONCATENATE("R2C",'Mapa final'!$R$24),"")</f>
        <v/>
      </c>
      <c r="M23" s="54" t="str">
        <f>IF(AND('Mapa final'!$AH$33="Alta",'Mapa final'!$AJ$33="Leve"),CONCATENATE("R2C",'Mapa final'!$R$33),"")</f>
        <v/>
      </c>
      <c r="N23" s="54" t="str">
        <f>IF(AND('Mapa final'!$AH$34="Alta",'Mapa final'!$AJ$34="Leve"),CONCATENATE("R2C",'Mapa final'!$R$34),"")</f>
        <v/>
      </c>
      <c r="O23" s="54" t="str">
        <f>IF(AND('Mapa final'!$AH$35="Alta",'Mapa final'!$AJ$35="Leve"),CONCATENATE("R2C",'Mapa final'!$R$35),"")</f>
        <v/>
      </c>
      <c r="P23" s="55" t="str">
        <f>IF(AND('Mapa final'!$AH$36="Alta",'Mapa final'!$AJ$36="Leve"),CONCATENATE("R2C",'Mapa final'!$R$36),"")</f>
        <v/>
      </c>
      <c r="Q23" s="53" t="str">
        <f>IF(AND('Mapa final'!$AH$23="Alta",'Mapa final'!$AJ$23="Menor"),CONCATENATE("R2C",'Mapa final'!$R$23),"")</f>
        <v/>
      </c>
      <c r="R23" s="54" t="str">
        <f>IF(AND('Mapa final'!$AH$24="Alta",'Mapa final'!$AJ$24="Menor"),CONCATENATE("R2C",'Mapa final'!$R$24),"")</f>
        <v/>
      </c>
      <c r="S23" s="54" t="str">
        <f>IF(AND('Mapa final'!$AH$33="Alta",'Mapa final'!$AJ$33="Menor"),CONCATENATE("R2C",'Mapa final'!$R$33),"")</f>
        <v/>
      </c>
      <c r="T23" s="54" t="str">
        <f>IF(AND('Mapa final'!$AH$34="Alta",'Mapa final'!$AJ$34="Menor"),CONCATENATE("R2C",'Mapa final'!$R$34),"")</f>
        <v/>
      </c>
      <c r="U23" s="54" t="str">
        <f>IF(AND('Mapa final'!$AH$35="Alta",'Mapa final'!$AJ$35="Menor"),CONCATENATE("R2C",'Mapa final'!$R$35),"")</f>
        <v/>
      </c>
      <c r="V23" s="55" t="str">
        <f>IF(AND('Mapa final'!$AH$36="Alta",'Mapa final'!$AJ$36="Menor"),CONCATENATE("R2C",'Mapa final'!$R$36),"")</f>
        <v/>
      </c>
      <c r="W23" s="38" t="str">
        <f>IF(AND('Mapa final'!$AH$23="Alta",'Mapa final'!$AJ$23="Moderado"),CONCATENATE("R2C",'Mapa final'!$R$23),"")</f>
        <v/>
      </c>
      <c r="X23" s="39" t="str">
        <f>IF(AND('Mapa final'!$AH$24="Alta",'Mapa final'!$AJ$24="Moderado"),CONCATENATE("R2C",'Mapa final'!$R$24),"")</f>
        <v/>
      </c>
      <c r="Y23" s="39" t="str">
        <f>IF(AND('Mapa final'!$AH$33="Alta",'Mapa final'!$AJ$33="Moderado"),CONCATENATE("R2C",'Mapa final'!$R$33),"")</f>
        <v/>
      </c>
      <c r="Z23" s="39" t="str">
        <f>IF(AND('Mapa final'!$AH$34="Alta",'Mapa final'!$AJ$34="Moderado"),CONCATENATE("R2C",'Mapa final'!$R$34),"")</f>
        <v/>
      </c>
      <c r="AA23" s="39" t="str">
        <f>IF(AND('Mapa final'!$AH$35="Alta",'Mapa final'!$AJ$35="Moderado"),CONCATENATE("R2C",'Mapa final'!$R$35),"")</f>
        <v/>
      </c>
      <c r="AB23" s="40" t="str">
        <f>IF(AND('Mapa final'!$AH$36="Alta",'Mapa final'!$AJ$36="Moderado"),CONCATENATE("R2C",'Mapa final'!$R$36),"")</f>
        <v/>
      </c>
      <c r="AC23" s="38" t="str">
        <f>IF(AND('Mapa final'!$AH$23="Alta",'Mapa final'!$AJ$23="Mayor"),CONCATENATE("R2C",'Mapa final'!$R$23),"")</f>
        <v/>
      </c>
      <c r="AD23" s="39" t="str">
        <f>IF(AND('Mapa final'!$AH$24="Alta",'Mapa final'!$AJ$24="Mayor"),CONCATENATE("R2C",'Mapa final'!$R$24),"")</f>
        <v>R2C</v>
      </c>
      <c r="AE23" s="39" t="str">
        <f>IF(AND('Mapa final'!$AH$33="Alta",'Mapa final'!$AJ$33="Mayor"),CONCATENATE("R2C",'Mapa final'!$R$33),"")</f>
        <v/>
      </c>
      <c r="AF23" s="39" t="str">
        <f>IF(AND('Mapa final'!$AH$34="Alta",'Mapa final'!$AJ$34="Mayor"),CONCATENATE("R2C",'Mapa final'!$R$34),"")</f>
        <v/>
      </c>
      <c r="AG23" s="39" t="str">
        <f>IF(AND('Mapa final'!$AH$35="Alta",'Mapa final'!$AJ$35="Mayor"),CONCATENATE("R2C",'Mapa final'!$R$35),"")</f>
        <v/>
      </c>
      <c r="AH23" s="40" t="str">
        <f>IF(AND('Mapa final'!$AH$36="Alta",'Mapa final'!$AJ$36="Mayor"),CONCATENATE("R2C",'Mapa final'!$R$36),"")</f>
        <v/>
      </c>
      <c r="AI23" s="41" t="str">
        <f>IF(AND('Mapa final'!$AH$23="Alta",'Mapa final'!$AJ$23="Catastrófico"),CONCATENATE("R2C",'Mapa final'!$R$23),"")</f>
        <v/>
      </c>
      <c r="AJ23" s="42" t="str">
        <f>IF(AND('Mapa final'!$AH$24="Alta",'Mapa final'!$AJ$24="Catastrófico"),CONCATENATE("R2C",'Mapa final'!$R$24),"")</f>
        <v/>
      </c>
      <c r="AK23" s="42" t="str">
        <f>IF(AND('Mapa final'!$AH$33="Alta",'Mapa final'!$AJ$33="Catastrófico"),CONCATENATE("R2C",'Mapa final'!$R$33),"")</f>
        <v/>
      </c>
      <c r="AL23" s="42" t="str">
        <f>IF(AND('Mapa final'!$AH$34="Alta",'Mapa final'!$AJ$34="Catastrófico"),CONCATENATE("R2C",'Mapa final'!$R$34),"")</f>
        <v/>
      </c>
      <c r="AM23" s="42" t="str">
        <f>IF(AND('Mapa final'!$AH$35="Alta",'Mapa final'!$AJ$35="Catastrófico"),CONCATENATE("R2C",'Mapa final'!$R$35),"")</f>
        <v/>
      </c>
      <c r="AN23" s="43" t="str">
        <f>IF(AND('Mapa final'!$AH$36="Alta",'Mapa final'!$AJ$36="Catastrófico"),CONCATENATE("R2C",'Mapa final'!$R$36),"")</f>
        <v/>
      </c>
      <c r="AO23" s="68"/>
      <c r="AP23" s="499"/>
      <c r="AQ23" s="500"/>
      <c r="AR23" s="500"/>
      <c r="AS23" s="500"/>
      <c r="AT23" s="500"/>
      <c r="AU23" s="501"/>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row>
    <row r="24" spans="2:77" ht="15" customHeight="1">
      <c r="B24" s="68"/>
      <c r="C24" s="446"/>
      <c r="D24" s="446"/>
      <c r="E24" s="447"/>
      <c r="F24" s="489"/>
      <c r="G24" s="490"/>
      <c r="H24" s="490"/>
      <c r="I24" s="490"/>
      <c r="J24" s="490"/>
      <c r="K24" s="53" t="str">
        <f>IF(AND('Mapa final'!$AH$37="Alta",'Mapa final'!$AJ$37="Leve"),CONCATENATE("R2C",'Mapa final'!$R$37),"")</f>
        <v/>
      </c>
      <c r="L24" s="54" t="str">
        <f>IF(AND('Mapa final'!$AH$38="Alta",'Mapa final'!$AJ$38="Leve"),CONCATENATE("R2C",'Mapa final'!$R$38),"")</f>
        <v/>
      </c>
      <c r="M24" s="54" t="str">
        <f>IF(AND('Mapa final'!$AH$39="Alta",'Mapa final'!$AJ$39="Leve"),CONCATENATE("R2C",'Mapa final'!$R$39),"")</f>
        <v/>
      </c>
      <c r="N24" s="54" t="str">
        <f>IF(AND('Mapa final'!$AH$40="Alta",'Mapa final'!$AJ$40="Leve"),CONCATENATE("R2C",'Mapa final'!$R$40),"")</f>
        <v/>
      </c>
      <c r="O24" s="54" t="str">
        <f>IF(AND('Mapa final'!$AH$41="Alta",'Mapa final'!$AJ$41="Leve"),CONCATENATE("R2C",'Mapa final'!$R$41),"")</f>
        <v/>
      </c>
      <c r="P24" s="55" t="str">
        <f>IF(AND('Mapa final'!$AH$42="Alta",'Mapa final'!$AJ$42="Leve"),CONCATENATE("R2C",'Mapa final'!$R$42),"")</f>
        <v/>
      </c>
      <c r="Q24" s="53" t="str">
        <f>IF(AND('Mapa final'!$AH$37="Alta",'Mapa final'!$AJ$37="Menor"),CONCATENATE("R2C",'Mapa final'!$R$37),"")</f>
        <v/>
      </c>
      <c r="R24" s="54" t="str">
        <f>IF(AND('Mapa final'!$AH$38="Alta",'Mapa final'!$AJ$38="Menor"),CONCATENATE("R2C",'Mapa final'!$R$38),"")</f>
        <v/>
      </c>
      <c r="S24" s="54" t="str">
        <f>IF(AND('Mapa final'!$AH$39="Alta",'Mapa final'!$AJ$39="Menor"),CONCATENATE("R2C",'Mapa final'!$R$39),"")</f>
        <v/>
      </c>
      <c r="T24" s="54" t="str">
        <f>IF(AND('Mapa final'!$AH$40="Alta",'Mapa final'!$AJ$40="Menor"),CONCATENATE("R2C",'Mapa final'!$R$40),"")</f>
        <v/>
      </c>
      <c r="U24" s="54" t="str">
        <f>IF(AND('Mapa final'!$AH$41="Alta",'Mapa final'!$AJ$41="Menor"),CONCATENATE("R2C",'Mapa final'!$R$41),"")</f>
        <v/>
      </c>
      <c r="V24" s="55" t="str">
        <f>IF(AND('Mapa final'!$AH$42="Alta",'Mapa final'!$AJ$42="Menor"),CONCATENATE("R2C",'Mapa final'!$R$42),"")</f>
        <v/>
      </c>
      <c r="W24" s="38" t="str">
        <f>IF(AND('Mapa final'!$AH$37="Alta",'Mapa final'!$AJ$37="Moderado"),CONCATENATE("R2C",'Mapa final'!$R$37),"")</f>
        <v/>
      </c>
      <c r="X24" s="39" t="str">
        <f>IF(AND('Mapa final'!$AH$38="Alta",'Mapa final'!$AJ$38="Moderado"),CONCATENATE("R2C",'Mapa final'!$R$38),"")</f>
        <v/>
      </c>
      <c r="Y24" s="39" t="str">
        <f>IF(AND('Mapa final'!$AH$39="Alta",'Mapa final'!$AJ$39="Moderado"),CONCATENATE("R2C",'Mapa final'!$R$39),"")</f>
        <v/>
      </c>
      <c r="Z24" s="39" t="str">
        <f>IF(AND('Mapa final'!$AH$40="Alta",'Mapa final'!$AJ$40="Moderado"),CONCATENATE("R2C",'Mapa final'!$R$40),"")</f>
        <v/>
      </c>
      <c r="AA24" s="39" t="str">
        <f>IF(AND('Mapa final'!$AH$41="Alta",'Mapa final'!$AJ$41="Moderado"),CONCATENATE("R2C",'Mapa final'!$R$41),"")</f>
        <v/>
      </c>
      <c r="AB24" s="40" t="str">
        <f>IF(AND('Mapa final'!$AH$42="Alta",'Mapa final'!$AJ$42="Moderado"),CONCATENATE("R2C",'Mapa final'!$R$42),"")</f>
        <v/>
      </c>
      <c r="AC24" s="38" t="str">
        <f>IF(AND('Mapa final'!$AH$37="Alta",'Mapa final'!$AJ$37="Mayor"),CONCATENATE("R2C",'Mapa final'!$R$37),"")</f>
        <v/>
      </c>
      <c r="AD24" s="39" t="str">
        <f>IF(AND('Mapa final'!$AH$38="Alta",'Mapa final'!$AJ$38="Mayor"),CONCATENATE("R2C",'Mapa final'!$R$38),"")</f>
        <v/>
      </c>
      <c r="AE24" s="39" t="str">
        <f>IF(AND('Mapa final'!$AH$39="Alta",'Mapa final'!$AJ$39="Mayor"),CONCATENATE("R2C",'Mapa final'!$R$39),"")</f>
        <v/>
      </c>
      <c r="AF24" s="39" t="str">
        <f>IF(AND('Mapa final'!$AH$40="Alta",'Mapa final'!$AJ$40="Mayor"),CONCATENATE("R2C",'Mapa final'!$R$40),"")</f>
        <v/>
      </c>
      <c r="AG24" s="39" t="str">
        <f>IF(AND('Mapa final'!$AH$41="Alta",'Mapa final'!$AJ$41="Mayor"),CONCATENATE("R2C",'Mapa final'!$R$41),"")</f>
        <v/>
      </c>
      <c r="AH24" s="40" t="str">
        <f>IF(AND('Mapa final'!$AH$42="Alta",'Mapa final'!$AJ$42="Mayor"),CONCATENATE("R2C",'Mapa final'!$R$42),"")</f>
        <v/>
      </c>
      <c r="AI24" s="41" t="str">
        <f>IF(AND('Mapa final'!$AH$37="Alta",'Mapa final'!$AJ$37="Catastrófico"),CONCATENATE("R2C",'Mapa final'!$R$37),"")</f>
        <v/>
      </c>
      <c r="AJ24" s="42" t="str">
        <f>IF(AND('Mapa final'!$AH$38="Alta",'Mapa final'!$AJ$38="Catastrófico"),CONCATENATE("R2C",'Mapa final'!$R$38),"")</f>
        <v/>
      </c>
      <c r="AK24" s="42" t="str">
        <f>IF(AND('Mapa final'!$AH$39="Alta",'Mapa final'!$AJ$39="Catastrófico"),CONCATENATE("R2C",'Mapa final'!$R$39),"")</f>
        <v/>
      </c>
      <c r="AL24" s="42" t="str">
        <f>IF(AND('Mapa final'!$AH$40="Alta",'Mapa final'!$AJ$40="Catastrófico"),CONCATENATE("R2C",'Mapa final'!$R$40),"")</f>
        <v/>
      </c>
      <c r="AM24" s="42" t="str">
        <f>IF(AND('Mapa final'!$AH$41="Alta",'Mapa final'!$AJ$41="Catastrófico"),CONCATENATE("R2C",'Mapa final'!$R$41),"")</f>
        <v/>
      </c>
      <c r="AN24" s="43" t="str">
        <f>IF(AND('Mapa final'!$AH$42="Alta",'Mapa final'!$AJ$42="Catastrófico"),CONCATENATE("R2C",'Mapa final'!$R$42),"")</f>
        <v/>
      </c>
      <c r="AO24" s="68"/>
      <c r="AP24" s="499"/>
      <c r="AQ24" s="500"/>
      <c r="AR24" s="500"/>
      <c r="AS24" s="500"/>
      <c r="AT24" s="500"/>
      <c r="AU24" s="501"/>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row>
    <row r="25" spans="2:77" ht="15" customHeight="1">
      <c r="B25" s="68"/>
      <c r="C25" s="446"/>
      <c r="D25" s="446"/>
      <c r="E25" s="447"/>
      <c r="F25" s="489"/>
      <c r="G25" s="490"/>
      <c r="H25" s="490"/>
      <c r="I25" s="490"/>
      <c r="J25" s="490"/>
      <c r="K25" s="53" t="str">
        <f>IF(AND('Mapa final'!$AH$43="Alta",'Mapa final'!$AJ$43="Leve"),CONCATENATE("R2C",'Mapa final'!$R$43),"")</f>
        <v/>
      </c>
      <c r="L25" s="54" t="str">
        <f>IF(AND('Mapa final'!$AH$44="Alta",'Mapa final'!$AJ$44="Leve"),CONCATENATE("R2C",'Mapa final'!$R$44),"")</f>
        <v/>
      </c>
      <c r="M25" s="54" t="str">
        <f>IF(AND('Mapa final'!$AH$45="Alta",'Mapa final'!$AJ$45="Leve"),CONCATENATE("R2C",'Mapa final'!$R$45),"")</f>
        <v/>
      </c>
      <c r="N25" s="54" t="str">
        <f>IF(AND('Mapa final'!$AH$46="Alta",'Mapa final'!$AJ$46="Leve"),CONCATENATE("R2C",'Mapa final'!$R$46),"")</f>
        <v/>
      </c>
      <c r="O25" s="54" t="str">
        <f>IF(AND('Mapa final'!$AH$47="Alta",'Mapa final'!$AJ$47="Leve"),CONCATENATE("R2C",'Mapa final'!$R$47),"")</f>
        <v/>
      </c>
      <c r="P25" s="55" t="str">
        <f>IF(AND('Mapa final'!$AH$48="Alta",'Mapa final'!$AJ$48="Leve"),CONCATENATE("R2C",'Mapa final'!$R$48),"")</f>
        <v/>
      </c>
      <c r="Q25" s="53" t="str">
        <f>IF(AND('Mapa final'!$AH$43="Alta",'Mapa final'!$AJ$43="Menor"),CONCATENATE("R2C",'Mapa final'!$R$43),"")</f>
        <v/>
      </c>
      <c r="R25" s="54" t="str">
        <f>IF(AND('Mapa final'!$AH$44="Alta",'Mapa final'!$AJ$44="Menor"),CONCATENATE("R2C",'Mapa final'!$R$44),"")</f>
        <v/>
      </c>
      <c r="S25" s="54" t="str">
        <f>IF(AND('Mapa final'!$AH$45="Alta",'Mapa final'!$AJ$45="Menor"),CONCATENATE("R2C",'Mapa final'!$R$45),"")</f>
        <v/>
      </c>
      <c r="T25" s="54" t="str">
        <f>IF(AND('Mapa final'!$AH$46="Alta",'Mapa final'!$AJ$46="Menor"),CONCATENATE("R2C",'Mapa final'!$R$46),"")</f>
        <v/>
      </c>
      <c r="U25" s="54" t="str">
        <f>IF(AND('Mapa final'!$AH$47="Alta",'Mapa final'!$AJ$47="LMenor"),CONCATENATE("R2C",'Mapa final'!$R$47),"")</f>
        <v/>
      </c>
      <c r="V25" s="55" t="str">
        <f>IF(AND('Mapa final'!$AH$48="Alta",'Mapa final'!$AJ$48="Menor"),CONCATENATE("R2C",'Mapa final'!$R$48),"")</f>
        <v/>
      </c>
      <c r="W25" s="38" t="str">
        <f>IF(AND('Mapa final'!$AH$43="Alta",'Mapa final'!$AJ$43="Moderado"),CONCATENATE("R2C",'Mapa final'!$R$43),"")</f>
        <v/>
      </c>
      <c r="X25" s="39" t="str">
        <f>IF(AND('Mapa final'!$AH$44="Alta",'Mapa final'!$AJ$44="Moderado"),CONCATENATE("R2C",'Mapa final'!$R$44),"")</f>
        <v/>
      </c>
      <c r="Y25" s="39" t="str">
        <f>IF(AND('Mapa final'!$AH$45="Alta",'Mapa final'!$AJ$45="Moderado"),CONCATENATE("R2C",'Mapa final'!$R$45),"")</f>
        <v/>
      </c>
      <c r="Z25" s="39" t="str">
        <f>IF(AND('Mapa final'!$AH$46="Alta",'Mapa final'!$AJ$46="Moderado"),CONCATENATE("R2C",'Mapa final'!$R$46),"")</f>
        <v/>
      </c>
      <c r="AA25" s="39" t="str">
        <f>IF(AND('Mapa final'!$AH$47="Alta",'Mapa final'!$AJ$47="Moderado"),CONCATENATE("R2C",'Mapa final'!$R$47),"")</f>
        <v/>
      </c>
      <c r="AB25" s="40" t="str">
        <f>IF(AND('Mapa final'!$AH$48="Alta",'Mapa final'!$AJ$48="Moderado"),CONCATENATE("R2C",'Mapa final'!$R$48),"")</f>
        <v/>
      </c>
      <c r="AC25" s="38" t="str">
        <f>IF(AND('Mapa final'!$AH$43="Alta",'Mapa final'!$AJ$43="Mayor"),CONCATENATE("R2C",'Mapa final'!$R$43),"")</f>
        <v/>
      </c>
      <c r="AD25" s="39" t="str">
        <f>IF(AND('Mapa final'!$AH$44="Alta",'Mapa final'!$AJ$44="Mayor"),CONCATENATE("R2C",'Mapa final'!$R$44),"")</f>
        <v/>
      </c>
      <c r="AE25" s="39" t="str">
        <f>IF(AND('Mapa final'!$AH$45="Alta",'Mapa final'!$AJ$45="Mayor"),CONCATENATE("R2C",'Mapa final'!$R$45),"")</f>
        <v/>
      </c>
      <c r="AF25" s="39" t="str">
        <f>IF(AND('Mapa final'!$AH$46="Alta",'Mapa final'!$AJ$46="Mayor"),CONCATENATE("R2C",'Mapa final'!$R$46),"")</f>
        <v/>
      </c>
      <c r="AG25" s="39" t="str">
        <f>IF(AND('Mapa final'!$AH$47="Alta",'Mapa final'!$AJ$47="Mayor"),CONCATENATE("R2C",'Mapa final'!$R$47),"")</f>
        <v/>
      </c>
      <c r="AH25" s="40" t="str">
        <f>IF(AND('Mapa final'!$AH$48="Alta",'Mapa final'!$AJ$48="Mayor"),CONCATENATE("R2C",'Mapa final'!$R$48),"")</f>
        <v/>
      </c>
      <c r="AI25" s="41" t="str">
        <f>IF(AND('Mapa final'!$AH$43="Alta",'Mapa final'!$AJ$43="Catastrófico"),CONCATENATE("R2C",'Mapa final'!$R$43),"")</f>
        <v/>
      </c>
      <c r="AJ25" s="42" t="str">
        <f>IF(AND('Mapa final'!$AH$44="Alta",'Mapa final'!$AJ$44="Catastrófico"),CONCATENATE("R2C",'Mapa final'!$R$44),"")</f>
        <v/>
      </c>
      <c r="AK25" s="42" t="str">
        <f>IF(AND('Mapa final'!$AH$45="Alta",'Mapa final'!$AJ$45="Catastrófico"),CONCATENATE("R2C",'Mapa final'!$R$45),"")</f>
        <v/>
      </c>
      <c r="AL25" s="42" t="str">
        <f>IF(AND('Mapa final'!$AH$46="Alta",'Mapa final'!$AJ$46="Catastrófico"),CONCATENATE("R2C",'Mapa final'!$R$46),"")</f>
        <v/>
      </c>
      <c r="AM25" s="42" t="str">
        <f>IF(AND('Mapa final'!$AH$47="Alta",'Mapa final'!$AJ$47="LCatastrófico"),CONCATENATE("R2C",'Mapa final'!$R$47),"")</f>
        <v/>
      </c>
      <c r="AN25" s="43" t="str">
        <f>IF(AND('Mapa final'!$AH$48="Alta",'Mapa final'!$AJ$48="Catastrófico"),CONCATENATE("R2C",'Mapa final'!$R$48),"")</f>
        <v/>
      </c>
      <c r="AO25" s="68"/>
      <c r="AP25" s="499"/>
      <c r="AQ25" s="500"/>
      <c r="AR25" s="500"/>
      <c r="AS25" s="500"/>
      <c r="AT25" s="500"/>
      <c r="AU25" s="501"/>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row>
    <row r="26" spans="2:77" ht="15" customHeight="1">
      <c r="B26" s="68"/>
      <c r="C26" s="446"/>
      <c r="D26" s="446"/>
      <c r="E26" s="447"/>
      <c r="F26" s="489"/>
      <c r="G26" s="490"/>
      <c r="H26" s="490"/>
      <c r="I26" s="490"/>
      <c r="J26" s="490"/>
      <c r="K26" s="53" t="str">
        <f>IF(AND('Mapa final'!$AH$49="Alta",'Mapa final'!$AJ$49="Leve"),CONCATENATE("R2C",'Mapa final'!$R$49),"")</f>
        <v/>
      </c>
      <c r="L26" s="54" t="str">
        <f>IF(AND('Mapa final'!$AH$50="Alta",'Mapa final'!$AJ$50="Leve"),CONCATENATE("R2C",'Mapa final'!$R$50),"")</f>
        <v/>
      </c>
      <c r="M26" s="54" t="str">
        <f>IF(AND('Mapa final'!$AH$51="Alta",'Mapa final'!$AJ$51="Leve"),CONCATENATE("R2C",'Mapa final'!$R$51),"")</f>
        <v/>
      </c>
      <c r="N26" s="54" t="str">
        <f>IF(AND('Mapa final'!$AH$52="Alta",'Mapa final'!$AJ$52="Leve"),CONCATENATE("R2C",'Mapa final'!$R$52),"")</f>
        <v/>
      </c>
      <c r="O26" s="54" t="str">
        <f>IF(AND('Mapa final'!$AH$53="Alta",'Mapa final'!$AJ$53="Leve"),CONCATENATE("R2C",'Mapa final'!$R$53),"")</f>
        <v/>
      </c>
      <c r="P26" s="55" t="str">
        <f>IF(AND('Mapa final'!$AH$54="Alta",'Mapa final'!$AJ$54="Leve"),CONCATENATE("R2C",'Mapa final'!$R$54),"")</f>
        <v/>
      </c>
      <c r="Q26" s="53" t="str">
        <f>IF(AND('Mapa final'!$AH$49="Alta",'Mapa final'!$AJ$49="Menor"),CONCATENATE("R2C",'Mapa final'!$R$49),"")</f>
        <v/>
      </c>
      <c r="R26" s="54" t="str">
        <f>IF(AND('Mapa final'!$AH$50="Alta",'Mapa final'!$AJ$50="Menor"),CONCATENATE("R2C",'Mapa final'!$R$50),"")</f>
        <v/>
      </c>
      <c r="S26" s="54" t="str">
        <f>IF(AND('Mapa final'!$AH$51="Alta",'Mapa final'!$AJ$51="Menor"),CONCATENATE("R2C",'Mapa final'!$R$51),"")</f>
        <v/>
      </c>
      <c r="T26" s="54" t="str">
        <f>IF(AND('Mapa final'!$AH$52="Alta",'Mapa final'!$AJ$52="Menor"),CONCATENATE("R2C",'Mapa final'!$R$52),"")</f>
        <v/>
      </c>
      <c r="U26" s="54" t="str">
        <f>IF(AND('Mapa final'!$AH$53="Alta",'Mapa final'!$AJ$53="Menor"),CONCATENATE("R2C",'Mapa final'!$R$53),"")</f>
        <v/>
      </c>
      <c r="V26" s="55" t="str">
        <f>IF(AND('Mapa final'!$AH$54="Alta",'Mapa final'!$AJ$54="Menor"),CONCATENATE("R2C",'Mapa final'!$R$54),"")</f>
        <v/>
      </c>
      <c r="W26" s="38" t="str">
        <f>IF(AND('Mapa final'!$AH$49="Alta",'Mapa final'!$AJ$49="Moderado"),CONCATENATE("R2C",'Mapa final'!$R$49),"")</f>
        <v/>
      </c>
      <c r="X26" s="39" t="str">
        <f>IF(AND('Mapa final'!$AH$50="Alta",'Mapa final'!$AJ$50="Moderado"),CONCATENATE("R2C",'Mapa final'!$R$50),"")</f>
        <v/>
      </c>
      <c r="Y26" s="39" t="str">
        <f>IF(AND('Mapa final'!$AH$51="Alta",'Mapa final'!$AJ$51="Moderado"),CONCATENATE("R2C",'Mapa final'!$R$51),"")</f>
        <v/>
      </c>
      <c r="Z26" s="39" t="str">
        <f>IF(AND('Mapa final'!$AH$52="Alta",'Mapa final'!$AJ$52="Moderado"),CONCATENATE("R2C",'Mapa final'!$R$52),"")</f>
        <v/>
      </c>
      <c r="AA26" s="39" t="str">
        <f>IF(AND('Mapa final'!$AH$53="Alta",'Mapa final'!$AJ$53="Moderado"),CONCATENATE("R2C",'Mapa final'!$R$53),"")</f>
        <v/>
      </c>
      <c r="AB26" s="40" t="str">
        <f>IF(AND('Mapa final'!$AH$54="Alta",'Mapa final'!$AJ$54="Moderado"),CONCATENATE("R2C",'Mapa final'!$R$54),"")</f>
        <v/>
      </c>
      <c r="AC26" s="38" t="str">
        <f>IF(AND('Mapa final'!$AH$49="Alta",'Mapa final'!$AJ$49="Mayor"),CONCATENATE("R2C",'Mapa final'!$R$49),"")</f>
        <v/>
      </c>
      <c r="AD26" s="39" t="str">
        <f>IF(AND('Mapa final'!$AH$50="Alta",'Mapa final'!$AJ$50="Mayor"),CONCATENATE("R2C",'Mapa final'!$R$50),"")</f>
        <v/>
      </c>
      <c r="AE26" s="39" t="str">
        <f>IF(AND('Mapa final'!$AH$51="Alta",'Mapa final'!$AJ$51="Mayor"),CONCATENATE("R2C",'Mapa final'!$R$51),"")</f>
        <v/>
      </c>
      <c r="AF26" s="39" t="str">
        <f>IF(AND('Mapa final'!$AH$52="Alta",'Mapa final'!$AJ$52="Mayor"),CONCATENATE("R2C",'Mapa final'!$R$52),"")</f>
        <v/>
      </c>
      <c r="AG26" s="39" t="str">
        <f>IF(AND('Mapa final'!$AH$53="Alta",'Mapa final'!$AJ$53="Mayor"),CONCATENATE("R2C",'Mapa final'!$R$53),"")</f>
        <v/>
      </c>
      <c r="AH26" s="40" t="str">
        <f>IF(AND('Mapa final'!$AH$54="Alta",'Mapa final'!$AJ$54="Mayor"),CONCATENATE("R2C",'Mapa final'!$R$54),"")</f>
        <v/>
      </c>
      <c r="AI26" s="41" t="str">
        <f>IF(AND('Mapa final'!$AH$49="Alta",'Mapa final'!$AJ$49="Catastrófico"),CONCATENATE("R2C",'Mapa final'!$R$49),"")</f>
        <v/>
      </c>
      <c r="AJ26" s="42" t="str">
        <f>IF(AND('Mapa final'!$AH$50="Alta",'Mapa final'!$AJ$50="Catastrófico"),CONCATENATE("R2C",'Mapa final'!$R$50),"")</f>
        <v/>
      </c>
      <c r="AK26" s="42" t="str">
        <f>IF(AND('Mapa final'!$AH$51="Alta",'Mapa final'!$AJ$51="Catastrófico"),CONCATENATE("R2C",'Mapa final'!$R$51),"")</f>
        <v/>
      </c>
      <c r="AL26" s="42" t="str">
        <f>IF(AND('Mapa final'!$AH$52="Alta",'Mapa final'!$AJ$52="Catastrófico"),CONCATENATE("R2C",'Mapa final'!$R$52),"")</f>
        <v/>
      </c>
      <c r="AM26" s="42" t="str">
        <f>IF(AND('Mapa final'!$AH$53="Alta",'Mapa final'!$AJ$53="Catastrófico"),CONCATENATE("R2C",'Mapa final'!$R$53),"")</f>
        <v/>
      </c>
      <c r="AN26" s="43" t="str">
        <f>IF(AND('Mapa final'!$AH$54="Alta",'Mapa final'!$AJ$54="Catastrófico"),CONCATENATE("R2C",'Mapa final'!$R$54),"")</f>
        <v/>
      </c>
      <c r="AO26" s="68"/>
      <c r="AP26" s="499"/>
      <c r="AQ26" s="500"/>
      <c r="AR26" s="500"/>
      <c r="AS26" s="500"/>
      <c r="AT26" s="500"/>
      <c r="AU26" s="501"/>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row>
    <row r="27" spans="2:77" ht="15" customHeight="1">
      <c r="B27" s="68"/>
      <c r="C27" s="446"/>
      <c r="D27" s="446"/>
      <c r="E27" s="447"/>
      <c r="F27" s="489"/>
      <c r="G27" s="490"/>
      <c r="H27" s="490"/>
      <c r="I27" s="490"/>
      <c r="J27" s="490"/>
      <c r="K27" s="53" t="str">
        <f>IF(AND('Mapa final'!$AH$55="Alta",'Mapa final'!$AJ$55="Leve"),CONCATENATE("R2C",'Mapa final'!$R$55),"")</f>
        <v/>
      </c>
      <c r="L27" s="54" t="str">
        <f>IF(AND('Mapa final'!$AH$56="Alta",'Mapa final'!$AJ$56="Leve"),CONCATENATE("R2C",'Mapa final'!$R$56),"")</f>
        <v/>
      </c>
      <c r="M27" s="54" t="str">
        <f>IF(AND('Mapa final'!$AH$57="Alta",'Mapa final'!$AJ$57="Leve"),CONCATENATE("R2C",'Mapa final'!$R$57),"")</f>
        <v/>
      </c>
      <c r="N27" s="54" t="str">
        <f>IF(AND('Mapa final'!$AH$58="Alta",'Mapa final'!$AJ$58="Leve"),CONCATENATE("R2C",'Mapa final'!$R$58),"")</f>
        <v/>
      </c>
      <c r="O27" s="54" t="str">
        <f>IF(AND('Mapa final'!$AH$59="Alta",'Mapa final'!$AJ$59="Leve"),CONCATENATE("R2C",'Mapa final'!$R$59),"")</f>
        <v/>
      </c>
      <c r="P27" s="55" t="str">
        <f>IF(AND('Mapa final'!$AH$70="Alta",'Mapa final'!$AJ$60="Leve"),CONCATENATE("R2C",'Mapa final'!$R$60),"")</f>
        <v/>
      </c>
      <c r="Q27" s="53" t="str">
        <f>IF(AND('Mapa final'!$AH$55="Alta",'Mapa final'!$AJ$55="Menor"),CONCATENATE("R2C",'Mapa final'!$R$55),"")</f>
        <v/>
      </c>
      <c r="R27" s="54" t="str">
        <f>IF(AND('Mapa final'!$AH$56="Alta",'Mapa final'!$AJ$56="Menor"),CONCATENATE("R2C",'Mapa final'!$R$56),"")</f>
        <v/>
      </c>
      <c r="S27" s="54" t="str">
        <f>IF(AND('Mapa final'!$AH$57="Alta",'Mapa final'!$AJ$57="Menor"),CONCATENATE("R2C",'Mapa final'!$R$57),"")</f>
        <v/>
      </c>
      <c r="T27" s="54" t="str">
        <f>IF(AND('Mapa final'!$AH$58="Alta",'Mapa final'!$AJ$58="Menor"),CONCATENATE("R2C",'Mapa final'!$R$58),"")</f>
        <v/>
      </c>
      <c r="U27" s="54" t="str">
        <f>IF(AND('Mapa final'!$AH$59="Alta",'Mapa final'!$AJ$59="Menor"),CONCATENATE("R2C",'Mapa final'!$R$59),"")</f>
        <v/>
      </c>
      <c r="V27" s="55" t="str">
        <f>IF(AND('Mapa final'!$AH$70="Alta",'Mapa final'!$AJ$60="Menor"),CONCATENATE("R2C",'Mapa final'!$R$60),"")</f>
        <v/>
      </c>
      <c r="W27" s="38" t="str">
        <f>IF(AND('Mapa final'!$AH$55="Alta",'Mapa final'!$AJ$55="Moderado"),CONCATENATE("R2C",'Mapa final'!$R$55),"")</f>
        <v/>
      </c>
      <c r="X27" s="39" t="str">
        <f>IF(AND('Mapa final'!$AH$56="Alta",'Mapa final'!$AJ$56="Moderado"),CONCATENATE("R2C",'Mapa final'!$R$56),"")</f>
        <v/>
      </c>
      <c r="Y27" s="39" t="str">
        <f>IF(AND('Mapa final'!$AH$57="Alta",'Mapa final'!$AJ$57="Moderado"),CONCATENATE("R2C",'Mapa final'!$R$57),"")</f>
        <v/>
      </c>
      <c r="Z27" s="39" t="str">
        <f>IF(AND('Mapa final'!$AH$58="Alta",'Mapa final'!$AJ$58="Moderado"),CONCATENATE("R2C",'Mapa final'!$R$58),"")</f>
        <v/>
      </c>
      <c r="AA27" s="39" t="str">
        <f>IF(AND('Mapa final'!$AH$59="Alta",'Mapa final'!$AJ$59="Moderado"),CONCATENATE("R2C",'Mapa final'!$R$59),"")</f>
        <v/>
      </c>
      <c r="AB27" s="40" t="str">
        <f>IF(AND('Mapa final'!$AH$70="Alta",'Mapa final'!$AJ$60="Moderado"),CONCATENATE("R2C",'Mapa final'!$R$60),"")</f>
        <v/>
      </c>
      <c r="AC27" s="38" t="str">
        <f>IF(AND('Mapa final'!$AH$55="Alta",'Mapa final'!$AJ$55="Mayor"),CONCATENATE("R2C",'Mapa final'!$R$55),"")</f>
        <v/>
      </c>
      <c r="AD27" s="39" t="str">
        <f>IF(AND('Mapa final'!$AH$56="Alta",'Mapa final'!$AJ$56="Mayor"),CONCATENATE("R2C",'Mapa final'!$R$56),"")</f>
        <v/>
      </c>
      <c r="AE27" s="39" t="str">
        <f>IF(AND('Mapa final'!$AH$57="Alta",'Mapa final'!$AJ$57="Mayor"),CONCATENATE("R2C",'Mapa final'!$R$57),"")</f>
        <v/>
      </c>
      <c r="AF27" s="39" t="str">
        <f>IF(AND('Mapa final'!$AH$58="Alta",'Mapa final'!$AJ$58="Mayor"),CONCATENATE("R2C",'Mapa final'!$R$58),"")</f>
        <v/>
      </c>
      <c r="AG27" s="39" t="str">
        <f>IF(AND('Mapa final'!$AH$59="Alta",'Mapa final'!$AJ$59="Mayor"),CONCATENATE("R2C",'Mapa final'!$R$59),"")</f>
        <v/>
      </c>
      <c r="AH27" s="40" t="str">
        <f>IF(AND('Mapa final'!$AH$70="Alta",'Mapa final'!$AJ$60="Mayor"),CONCATENATE("R2C",'Mapa final'!$R$60),"")</f>
        <v/>
      </c>
      <c r="AI27" s="41" t="str">
        <f>IF(AND('Mapa final'!$AH$55="Alta",'Mapa final'!$AJ$55="Catastrófico"),CONCATENATE("R2C",'Mapa final'!$R$55),"")</f>
        <v/>
      </c>
      <c r="AJ27" s="42" t="str">
        <f>IF(AND('Mapa final'!$AH$56="Alta",'Mapa final'!$AJ$56="Catastrófico"),CONCATENATE("R2C",'Mapa final'!$R$56),"")</f>
        <v/>
      </c>
      <c r="AK27" s="42" t="str">
        <f>IF(AND('Mapa final'!$AH$57="Alta",'Mapa final'!$AJ$57="Catastrófico"),CONCATENATE("R2C",'Mapa final'!$R$57),"")</f>
        <v/>
      </c>
      <c r="AL27" s="42" t="str">
        <f>IF(AND('Mapa final'!$AH$58="Alta",'Mapa final'!$AJ$58="Catastrófico"),CONCATENATE("R2C",'Mapa final'!$R$58),"")</f>
        <v/>
      </c>
      <c r="AM27" s="42" t="str">
        <f>IF(AND('Mapa final'!$AH$59="Alta",'Mapa final'!$AJ$59="Catastrófico"),CONCATENATE("R2C",'Mapa final'!$R$59),"")</f>
        <v/>
      </c>
      <c r="AN27" s="43" t="str">
        <f>IF(AND('Mapa final'!$AH$70="Alta",'Mapa final'!$AJ$60="Catastrófico"),CONCATENATE("R2C",'Mapa final'!$R$60),"")</f>
        <v/>
      </c>
      <c r="AO27" s="68"/>
      <c r="AP27" s="499"/>
      <c r="AQ27" s="500"/>
      <c r="AR27" s="500"/>
      <c r="AS27" s="500"/>
      <c r="AT27" s="500"/>
      <c r="AU27" s="501"/>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row>
    <row r="28" spans="2:77" ht="15" customHeight="1">
      <c r="B28" s="68"/>
      <c r="C28" s="446"/>
      <c r="D28" s="446"/>
      <c r="E28" s="447"/>
      <c r="F28" s="489"/>
      <c r="G28" s="490"/>
      <c r="H28" s="490"/>
      <c r="I28" s="490"/>
      <c r="J28" s="490"/>
      <c r="K28" s="53" t="str">
        <f>IF(AND('Mapa final'!$AH$61="Alta",'Mapa final'!$AJ$61="Leve"),CONCATENATE("R2C",'Mapa final'!$R$61),"")</f>
        <v/>
      </c>
      <c r="L28" s="54" t="str">
        <f>IF(AND('Mapa final'!$AH$62="Alta",'Mapa final'!$AJ$62="Leve"),CONCATENATE("R2C",'Mapa final'!$R$62),"")</f>
        <v/>
      </c>
      <c r="M28" s="54" t="str">
        <f>IF(AND('Mapa final'!$AH$63="Alta",'Mapa final'!$AJ$63="Leve"),CONCATENATE("R2C",'Mapa final'!$R$63),"")</f>
        <v/>
      </c>
      <c r="N28" s="54" t="str">
        <f>IF(AND('Mapa final'!$AH$64="Alta",'Mapa final'!$AJ$64="Leve"),CONCATENATE("R2C",'Mapa final'!$R$64),"")</f>
        <v/>
      </c>
      <c r="O28" s="54" t="str">
        <f>IF(AND('Mapa final'!$AH$65="Alta",'Mapa final'!$AJ$65="Leve"),CONCATENATE("R2C",'Mapa final'!$R$65),"")</f>
        <v/>
      </c>
      <c r="P28" s="55" t="str">
        <f>IF(AND('Mapa final'!$AH$66="Alta",'Mapa final'!$AJ$66="Leve"),CONCATENATE("R2C",'Mapa final'!$R$66),"")</f>
        <v/>
      </c>
      <c r="Q28" s="53" t="str">
        <f>IF(AND('Mapa final'!$AH$61="Alta",'Mapa final'!$AJ$61="Menor"),CONCATENATE("R2C",'Mapa final'!$R$61),"")</f>
        <v/>
      </c>
      <c r="R28" s="54" t="str">
        <f>IF(AND('Mapa final'!$AH$62="Alta",'Mapa final'!$AJ$62="Menor"),CONCATENATE("R2C",'Mapa final'!$R$62),"")</f>
        <v/>
      </c>
      <c r="S28" s="54" t="str">
        <f>IF(AND('Mapa final'!$AH$63="Alta",'Mapa final'!$AJ$63="Menor"),CONCATENATE("R2C",'Mapa final'!$R$63),"")</f>
        <v/>
      </c>
      <c r="T28" s="54" t="str">
        <f>IF(AND('Mapa final'!$AH$64="Alta",'Mapa final'!$AJ$64="Menor"),CONCATENATE("R2C",'Mapa final'!$R$64),"")</f>
        <v/>
      </c>
      <c r="U28" s="54" t="str">
        <f>IF(AND('Mapa final'!$AH$65="Alta",'Mapa final'!$AJ$65="Menor"),CONCATENATE("R2C",'Mapa final'!$R$65),"")</f>
        <v/>
      </c>
      <c r="V28" s="55" t="str">
        <f>IF(AND('Mapa final'!$AH$66="Alta",'Mapa final'!$AJ$66="Menor"),CONCATENATE("R2C",'Mapa final'!$R$66),"")</f>
        <v/>
      </c>
      <c r="W28" s="38" t="str">
        <f>IF(AND('Mapa final'!$AH$61="Alta",'Mapa final'!$AJ$61="Moderado"),CONCATENATE("R2C",'Mapa final'!$R$61),"")</f>
        <v/>
      </c>
      <c r="X28" s="39" t="str">
        <f>IF(AND('Mapa final'!$AH$62="Alta",'Mapa final'!$AJ$62="Moderado"),CONCATENATE("R2C",'Mapa final'!$R$62),"")</f>
        <v/>
      </c>
      <c r="Y28" s="39" t="str">
        <f>IF(AND('Mapa final'!$AH$63="Alta",'Mapa final'!$AJ$63="Moderado"),CONCATENATE("R2C",'Mapa final'!$R$63),"")</f>
        <v/>
      </c>
      <c r="Z28" s="39" t="str">
        <f>IF(AND('Mapa final'!$AH$64="Alta",'Mapa final'!$AJ$64="Moderado"),CONCATENATE("R2C",'Mapa final'!$R$64),"")</f>
        <v/>
      </c>
      <c r="AA28" s="39" t="str">
        <f>IF(AND('Mapa final'!$AH$65="Alta",'Mapa final'!$AJ$65="Moderado"),CONCATENATE("R2C",'Mapa final'!$R$65),"")</f>
        <v/>
      </c>
      <c r="AB28" s="40" t="str">
        <f>IF(AND('Mapa final'!$AH$66="Alta",'Mapa final'!$AJ$66="Moderado"),CONCATENATE("R2C",'Mapa final'!$R$66),"")</f>
        <v/>
      </c>
      <c r="AC28" s="38" t="str">
        <f>IF(AND('Mapa final'!$AH$61="Alta",'Mapa final'!$AJ$61="Mayor"),CONCATENATE("R2C",'Mapa final'!$R$61),"")</f>
        <v/>
      </c>
      <c r="AD28" s="39" t="str">
        <f>IF(AND('Mapa final'!$AH$62="Alta",'Mapa final'!$AJ$62="Mayor"),CONCATENATE("R2C",'Mapa final'!$R$62),"")</f>
        <v/>
      </c>
      <c r="AE28" s="39" t="str">
        <f>IF(AND('Mapa final'!$AH$63="Alta",'Mapa final'!$AJ$63="Mayor"),CONCATENATE("R2C",'Mapa final'!$R$63),"")</f>
        <v/>
      </c>
      <c r="AF28" s="39" t="str">
        <f>IF(AND('Mapa final'!$AH$64="Alta",'Mapa final'!$AJ$64="Mayor"),CONCATENATE("R2C",'Mapa final'!$R$64),"")</f>
        <v/>
      </c>
      <c r="AG28" s="39" t="str">
        <f>IF(AND('Mapa final'!$AH$65="Alta",'Mapa final'!$AJ$65="Mayor"),CONCATENATE("R2C",'Mapa final'!$R$65),"")</f>
        <v/>
      </c>
      <c r="AH28" s="40" t="str">
        <f>IF(AND('Mapa final'!$AH$66="Alta",'Mapa final'!$AJ$66="Mayor"),CONCATENATE("R2C",'Mapa final'!$R$66),"")</f>
        <v/>
      </c>
      <c r="AI28" s="41" t="str">
        <f>IF(AND('Mapa final'!$AH$61="Alta",'Mapa final'!$AJ$61="Catastrófico"),CONCATENATE("R2C",'Mapa final'!$R$61),"")</f>
        <v/>
      </c>
      <c r="AJ28" s="42" t="str">
        <f>IF(AND('Mapa final'!$AH$62="Alta",'Mapa final'!$AJ$62="Catastrófico"),CONCATENATE("R2C",'Mapa final'!$R$62),"")</f>
        <v/>
      </c>
      <c r="AK28" s="42" t="str">
        <f>IF(AND('Mapa final'!$AH$63="Alta",'Mapa final'!$AJ$63="Catastrófico"),CONCATENATE("R2C",'Mapa final'!$R$63),"")</f>
        <v/>
      </c>
      <c r="AL28" s="42" t="str">
        <f>IF(AND('Mapa final'!$AH$64="Alta",'Mapa final'!$AJ$64="Catastrófico"),CONCATENATE("R2C",'Mapa final'!$R$64),"")</f>
        <v/>
      </c>
      <c r="AM28" s="42" t="str">
        <f>IF(AND('Mapa final'!$AH$65="Alta",'Mapa final'!$AJ$65="Catastrófico"),CONCATENATE("R2C",'Mapa final'!$R$65),"")</f>
        <v/>
      </c>
      <c r="AN28" s="43" t="str">
        <f>IF(AND('Mapa final'!$AH$66="Alta",'Mapa final'!$AJ$66="Catastrófico"),CONCATENATE("R2C",'Mapa final'!$R$66),"")</f>
        <v/>
      </c>
      <c r="AO28" s="68"/>
      <c r="AP28" s="499"/>
      <c r="AQ28" s="500"/>
      <c r="AR28" s="500"/>
      <c r="AS28" s="500"/>
      <c r="AT28" s="500"/>
      <c r="AU28" s="501"/>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row>
    <row r="29" spans="2:77" ht="15" customHeight="1">
      <c r="B29" s="68"/>
      <c r="C29" s="446"/>
      <c r="D29" s="446"/>
      <c r="E29" s="447"/>
      <c r="F29" s="489"/>
      <c r="G29" s="490"/>
      <c r="H29" s="490"/>
      <c r="I29" s="490"/>
      <c r="J29" s="490"/>
      <c r="K29" s="53" t="str">
        <f>IF(AND('Mapa final'!$AH$67="Alta",'Mapa final'!$AJ$67="Leve"),CONCATENATE("R2C",'Mapa final'!$R$67),"")</f>
        <v/>
      </c>
      <c r="L29" s="54" t="str">
        <f>IF(AND('Mapa final'!$AH$68="Alta",'Mapa final'!$AJ$68="Leve"),CONCATENATE("R2C",'Mapa final'!$R$68),"")</f>
        <v/>
      </c>
      <c r="M29" s="54" t="str">
        <f>IF(AND('Mapa final'!$AH$69="Alta",'Mapa final'!$AJ$69="Leve"),CONCATENATE("R2C",'Mapa final'!$R$69),"")</f>
        <v/>
      </c>
      <c r="N29" s="54" t="str">
        <f>IF(AND('Mapa final'!$AH$70="Alta",'Mapa final'!$AJ$70="Leve"),CONCATENATE("R2C",'Mapa final'!$R$70),"")</f>
        <v/>
      </c>
      <c r="O29" s="54" t="str">
        <f>IF(AND('Mapa final'!$AH$71="Alta",'Mapa final'!$AJ$71="Leve"),CONCATENATE("R2C",'Mapa final'!$R$71),"")</f>
        <v/>
      </c>
      <c r="P29" s="55" t="str">
        <f>IF(AND('Mapa final'!$AH$72="Alta",'Mapa final'!$AJ$72="Leve"),CONCATENATE("R2C",'Mapa final'!$R$72),"")</f>
        <v/>
      </c>
      <c r="Q29" s="53" t="str">
        <f>IF(AND('Mapa final'!$AH$67="Alta",'Mapa final'!$AJ$67="Menor"),CONCATENATE("R2C",'Mapa final'!$R$67),"")</f>
        <v/>
      </c>
      <c r="R29" s="54" t="str">
        <f>IF(AND('Mapa final'!$AH$68="Alta",'Mapa final'!$AJ$68="Menor"),CONCATENATE("R2C",'Mapa final'!$R$68),"")</f>
        <v/>
      </c>
      <c r="S29" s="54" t="str">
        <f>IF(AND('Mapa final'!$AH$69="Alta",'Mapa final'!$AJ$69="Menor"),CONCATENATE("R2C",'Mapa final'!$R$69),"")</f>
        <v/>
      </c>
      <c r="T29" s="54" t="str">
        <f>IF(AND('Mapa final'!$AH$70="Alta",'Mapa final'!$AJ$70="Menor"),CONCATENATE("R2C",'Mapa final'!$R$70),"")</f>
        <v/>
      </c>
      <c r="U29" s="54" t="str">
        <f>IF(AND('Mapa final'!$AH$71="Alta",'Mapa final'!$AJ$71="Menor"),CONCATENATE("R2C",'Mapa final'!$R$71),"")</f>
        <v/>
      </c>
      <c r="V29" s="55" t="str">
        <f>IF(AND('Mapa final'!$AH$72="Alta",'Mapa final'!$AJ$72="Menor"),CONCATENATE("R2C",'Mapa final'!$R$72),"")</f>
        <v/>
      </c>
      <c r="W29" s="38" t="str">
        <f>IF(AND('Mapa final'!$AH$67="Alta",'Mapa final'!$AJ$67="Moderado"),CONCATENATE("R2C",'Mapa final'!$R$67),"")</f>
        <v/>
      </c>
      <c r="X29" s="39" t="str">
        <f>IF(AND('Mapa final'!$AH$68="Alta",'Mapa final'!$AJ$68="Moderado"),CONCATENATE("R2C",'Mapa final'!$R$68),"")</f>
        <v/>
      </c>
      <c r="Y29" s="39" t="str">
        <f>IF(AND('Mapa final'!$AH$69="Alta",'Mapa final'!$AJ$69="Moderado"),CONCATENATE("R2C",'Mapa final'!$R$69),"")</f>
        <v/>
      </c>
      <c r="Z29" s="39" t="str">
        <f>IF(AND('Mapa final'!$AH$70="Alta",'Mapa final'!$AJ$70="Moderado"),CONCATENATE("R2C",'Mapa final'!$R$70),"")</f>
        <v/>
      </c>
      <c r="AA29" s="39" t="str">
        <f>IF(AND('Mapa final'!$AH$71="Alta",'Mapa final'!$AJ$71="Moderado"),CONCATENATE("R2C",'Mapa final'!$R$71),"")</f>
        <v/>
      </c>
      <c r="AB29" s="40" t="str">
        <f>IF(AND('Mapa final'!$AH$72="Alta",'Mapa final'!$AJ$72="Moderado"),CONCATENATE("R2C",'Mapa final'!$R$72),"")</f>
        <v/>
      </c>
      <c r="AC29" s="38" t="str">
        <f>IF(AND('Mapa final'!$AH$67="Alta",'Mapa final'!$AJ$67="Mayor"),CONCATENATE("R2C",'Mapa final'!$R$67),"")</f>
        <v/>
      </c>
      <c r="AD29" s="39" t="str">
        <f>IF(AND('Mapa final'!$AH$68="Alta",'Mapa final'!$AJ$68="Mayor"),CONCATENATE("R2C",'Mapa final'!$R$68),"")</f>
        <v/>
      </c>
      <c r="AE29" s="39" t="str">
        <f>IF(AND('Mapa final'!$AH$69="Alta",'Mapa final'!$AJ$69="Mayor"),CONCATENATE("R2C",'Mapa final'!$R$69),"")</f>
        <v/>
      </c>
      <c r="AF29" s="39" t="str">
        <f>IF(AND('Mapa final'!$AH$70="Alta",'Mapa final'!$AJ$70="Mayor"),CONCATENATE("R2C",'Mapa final'!$R$70),"")</f>
        <v/>
      </c>
      <c r="AG29" s="39" t="str">
        <f>IF(AND('Mapa final'!$AH$71="Alta",'Mapa final'!$AJ$71="Mayor"),CONCATENATE("R2C",'Mapa final'!$R$71),"")</f>
        <v/>
      </c>
      <c r="AH29" s="40" t="str">
        <f>IF(AND('Mapa final'!$AH$72="Alta",'Mapa final'!$AJ$72="Mayor"),CONCATENATE("R2C",'Mapa final'!$R$72),"")</f>
        <v/>
      </c>
      <c r="AI29" s="41" t="str">
        <f>IF(AND('Mapa final'!$AH$67="Alta",'Mapa final'!$AJ$67="Catastrófico"),CONCATENATE("R2C",'Mapa final'!$R$67),"")</f>
        <v/>
      </c>
      <c r="AJ29" s="42" t="str">
        <f>IF(AND('Mapa final'!$AH$68="Alta",'Mapa final'!$AJ$68="Catastrófico"),CONCATENATE("R2C",'Mapa final'!$R$68),"")</f>
        <v/>
      </c>
      <c r="AK29" s="42" t="str">
        <f>IF(AND('Mapa final'!$AH$69="Alta",'Mapa final'!$AJ$69="Catastrófico"),CONCATENATE("R2C",'Mapa final'!$R$69),"")</f>
        <v/>
      </c>
      <c r="AL29" s="42" t="str">
        <f>IF(AND('Mapa final'!$AH$70="Alta",'Mapa final'!$AJ$70="Catastrófico"),CONCATENATE("R2C",'Mapa final'!$R$70),"")</f>
        <v/>
      </c>
      <c r="AM29" s="42" t="str">
        <f>IF(AND('Mapa final'!$AH$71="Alta",'Mapa final'!$AJ$71="Catastrófico"),CONCATENATE("R2C",'Mapa final'!$R$71),"")</f>
        <v/>
      </c>
      <c r="AN29" s="43" t="str">
        <f>IF(AND('Mapa final'!$AH$72="Alta",'Mapa final'!$AJ$72="Catastrófico"),CONCATENATE("R2C",'Mapa final'!$R$72),"")</f>
        <v/>
      </c>
      <c r="AO29" s="68"/>
      <c r="AP29" s="499"/>
      <c r="AQ29" s="500"/>
      <c r="AR29" s="500"/>
      <c r="AS29" s="500"/>
      <c r="AT29" s="500"/>
      <c r="AU29" s="501"/>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row>
    <row r="30" spans="2:77" ht="15" customHeight="1">
      <c r="B30" s="68"/>
      <c r="C30" s="446"/>
      <c r="D30" s="446"/>
      <c r="E30" s="447"/>
      <c r="F30" s="489"/>
      <c r="G30" s="490"/>
      <c r="H30" s="490"/>
      <c r="I30" s="490"/>
      <c r="J30" s="490"/>
      <c r="K30" s="53" t="str">
        <f>IF(AND('Mapa final'!$AH$73="Alta",'Mapa final'!$AJ$73="Leve"),CONCATENATE("R2C",'Mapa final'!$R$73),"")</f>
        <v/>
      </c>
      <c r="L30" s="54" t="str">
        <f>IF(AND('Mapa final'!$AH$74="Alta",'Mapa final'!$AJ$74="Leve"),CONCATENATE("R2C",'Mapa final'!$R$74),"")</f>
        <v/>
      </c>
      <c r="M30" s="54" t="str">
        <f>IF(AND('Mapa final'!$AH$75="Alta",'Mapa final'!$AJ$75="Leve"),CONCATENATE("R2C",'Mapa final'!$R$75),"")</f>
        <v/>
      </c>
      <c r="N30" s="54" t="str">
        <f>IF(AND('Mapa final'!$AH$76="Alta",'Mapa final'!$AJ$76="Leve"),CONCATENATE("R2C",'Mapa final'!$R$76),"")</f>
        <v/>
      </c>
      <c r="O30" s="54" t="str">
        <f>IF(AND('Mapa final'!$AH$77="Alta",'Mapa final'!$AJ$77="Leve"),CONCATENATE("R2C",'Mapa final'!$R$77),"")</f>
        <v/>
      </c>
      <c r="P30" s="55" t="str">
        <f>IF(AND('Mapa final'!$AH$78="Alta",'Mapa final'!$AJ$78="Leve"),CONCATENATE("R2C",'Mapa final'!$R$78),"")</f>
        <v/>
      </c>
      <c r="Q30" s="53" t="str">
        <f>IF(AND('Mapa final'!$AH$73="Alta",'Mapa final'!$AJ$73="Menor"),CONCATENATE("R2C",'Mapa final'!$R$73),"")</f>
        <v/>
      </c>
      <c r="R30" s="54" t="str">
        <f>IF(AND('Mapa final'!$AH$74="Alta",'Mapa final'!$AJ$74="Menor"),CONCATENATE("R2C",'Mapa final'!$R$74),"")</f>
        <v/>
      </c>
      <c r="S30" s="54" t="str">
        <f>IF(AND('Mapa final'!$AH$75="Alta",'Mapa final'!$AJ$75="Menor"),CONCATENATE("R2C",'Mapa final'!$R$75),"")</f>
        <v/>
      </c>
      <c r="T30" s="54" t="str">
        <f>IF(AND('Mapa final'!$AH$76="Alta",'Mapa final'!$AJ$76="Menor"),CONCATENATE("R2C",'Mapa final'!$R$76),"")</f>
        <v/>
      </c>
      <c r="U30" s="54" t="str">
        <f>IF(AND('Mapa final'!$AH$77="Alta",'Mapa final'!$AJ$77="Menor"),CONCATENATE("R2C",'Mapa final'!$R$77),"")</f>
        <v/>
      </c>
      <c r="V30" s="55" t="str">
        <f>IF(AND('Mapa final'!$AH$78="Alta",'Mapa final'!$AJ$78="Menor"),CONCATENATE("R2C",'Mapa final'!$R$78),"")</f>
        <v/>
      </c>
      <c r="W30" s="38" t="str">
        <f>IF(AND('Mapa final'!$AH$73="Alta",'Mapa final'!$AJ$73="Moderado"),CONCATENATE("R2C",'Mapa final'!$R$73),"")</f>
        <v/>
      </c>
      <c r="X30" s="39" t="str">
        <f>IF(AND('Mapa final'!$AH$74="Alta",'Mapa final'!$AJ$74="Moderado"),CONCATENATE("R2C",'Mapa final'!$R$74),"")</f>
        <v/>
      </c>
      <c r="Y30" s="39" t="str">
        <f>IF(AND('Mapa final'!$AH$75="Alta",'Mapa final'!$AJ$75="Moderado"),CONCATENATE("R2C",'Mapa final'!$R$75),"")</f>
        <v/>
      </c>
      <c r="Z30" s="39" t="str">
        <f>IF(AND('Mapa final'!$AH$76="Alta",'Mapa final'!$AJ$76="Moderado"),CONCATENATE("R2C",'Mapa final'!$R$76),"")</f>
        <v/>
      </c>
      <c r="AA30" s="39" t="str">
        <f>IF(AND('Mapa final'!$AH$77="Alta",'Mapa final'!$AJ$77="Moderado"),CONCATENATE("R2C",'Mapa final'!$R$77),"")</f>
        <v/>
      </c>
      <c r="AB30" s="40" t="str">
        <f>IF(AND('Mapa final'!$AH$78="Alta",'Mapa final'!$AJ$78="Moderado"),CONCATENATE("R2C",'Mapa final'!$R$78),"")</f>
        <v/>
      </c>
      <c r="AC30" s="38" t="str">
        <f>IF(AND('Mapa final'!$AH$73="Alta",'Mapa final'!$AJ$73="Mayor"),CONCATENATE("R2C",'Mapa final'!$R$73),"")</f>
        <v/>
      </c>
      <c r="AD30" s="39" t="str">
        <f>IF(AND('Mapa final'!$AH$74="Alta",'Mapa final'!$AJ$74="Mayor"),CONCATENATE("R2C",'Mapa final'!$R$74),"")</f>
        <v/>
      </c>
      <c r="AE30" s="39" t="str">
        <f>IF(AND('Mapa final'!$AH$75="Alta",'Mapa final'!$AJ$75="Mayor"),CONCATENATE("R2C",'Mapa final'!$R$75),"")</f>
        <v/>
      </c>
      <c r="AF30" s="39" t="str">
        <f>IF(AND('Mapa final'!$AH$76="Alta",'Mapa final'!$AJ$76="Mayor"),CONCATENATE("R2C",'Mapa final'!$R$76),"")</f>
        <v/>
      </c>
      <c r="AG30" s="39" t="str">
        <f>IF(AND('Mapa final'!$AH$77="Alta",'Mapa final'!$AJ$77="Mayor"),CONCATENATE("R2C",'Mapa final'!$R$77),"")</f>
        <v/>
      </c>
      <c r="AH30" s="40" t="str">
        <f>IF(AND('Mapa final'!$AH$78="Alta",'Mapa final'!$AJ$78="Mayor"),CONCATENATE("R2C",'Mapa final'!$R$78),"")</f>
        <v/>
      </c>
      <c r="AI30" s="41" t="str">
        <f>IF(AND('Mapa final'!$AH$73="Alta",'Mapa final'!$AJ$73="Catastrófico"),CONCATENATE("R2C",'Mapa final'!$R$73),"")</f>
        <v/>
      </c>
      <c r="AJ30" s="42" t="str">
        <f>IF(AND('Mapa final'!$AH$74="Alta",'Mapa final'!$AJ$74="Catastrófico"),CONCATENATE("R2C",'Mapa final'!$R$74),"")</f>
        <v/>
      </c>
      <c r="AK30" s="42" t="str">
        <f>IF(AND('Mapa final'!$AH$75="Alta",'Mapa final'!$AJ$75="Catastrófico"),CONCATENATE("R2C",'Mapa final'!$R$75),"")</f>
        <v/>
      </c>
      <c r="AL30" s="42" t="str">
        <f>IF(AND('Mapa final'!$AH$76="Alta",'Mapa final'!$AJ$76="Catastrófico"),CONCATENATE("R2C",'Mapa final'!$R$76),"")</f>
        <v/>
      </c>
      <c r="AM30" s="42" t="str">
        <f>IF(AND('Mapa final'!$AH$77="Alta",'Mapa final'!$AJ$77="Catastrófico"),CONCATENATE("R2C",'Mapa final'!$R$77),"")</f>
        <v/>
      </c>
      <c r="AN30" s="43" t="str">
        <f>IF(AND('Mapa final'!$AH$78="Alta",'Mapa final'!$AJ$78="Catastrófico"),CONCATENATE("R2C",'Mapa final'!$R$78),"")</f>
        <v/>
      </c>
      <c r="AO30" s="68"/>
      <c r="AP30" s="499"/>
      <c r="AQ30" s="500"/>
      <c r="AR30" s="500"/>
      <c r="AS30" s="500"/>
      <c r="AT30" s="500"/>
      <c r="AU30" s="501"/>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row>
    <row r="31" spans="2:77" ht="15.75" customHeight="1" thickBot="1">
      <c r="B31" s="68"/>
      <c r="C31" s="446"/>
      <c r="D31" s="446"/>
      <c r="E31" s="447"/>
      <c r="F31" s="492"/>
      <c r="G31" s="493"/>
      <c r="H31" s="493"/>
      <c r="I31" s="493"/>
      <c r="J31" s="493"/>
      <c r="K31" s="56" t="str">
        <f>IF(AND('Mapa final'!$AH$79="Alta",'Mapa final'!$AJ$79="Leve"),CONCATENATE("R2C",'Mapa final'!$R$79),"")</f>
        <v/>
      </c>
      <c r="L31" s="57" t="str">
        <f>IF(AND('Mapa final'!$AH$80="Alta",'Mapa final'!$AJ$80="Leve"),CONCATENATE("R2C",'Mapa final'!$R$80),"")</f>
        <v/>
      </c>
      <c r="M31" s="57" t="str">
        <f>IF(AND('Mapa final'!$AH$81="Alta",'Mapa final'!$AJ$81="Leve"),CONCATENATE("R2C",'Mapa final'!$R$81),"")</f>
        <v/>
      </c>
      <c r="N31" s="57" t="str">
        <f>IF(AND('Mapa final'!$AH$82="Alta",'Mapa final'!$AJ$82="Leve"),CONCATENATE("R2C",'Mapa final'!$R$82),"")</f>
        <v/>
      </c>
      <c r="O31" s="57" t="str">
        <f>IF(AND('Mapa final'!$AH$84="Alta",'Mapa final'!$AJ$84="Leve"),CONCATENATE("R2C",'Mapa final'!$R$84),"")</f>
        <v/>
      </c>
      <c r="P31" s="58" t="str">
        <f>IF(AND('Mapa final'!$AH$85="Alta",'Mapa final'!$AJ$85="Leve"),CONCATENATE("R2C",'Mapa final'!$R$85),"")</f>
        <v/>
      </c>
      <c r="Q31" s="56" t="str">
        <f>IF(AND('Mapa final'!$AH$79="Alta",'Mapa final'!$AJ$79="Menor"),CONCATENATE("R2C",'Mapa final'!$R$79),"")</f>
        <v/>
      </c>
      <c r="R31" s="57" t="str">
        <f>IF(AND('Mapa final'!$AH$80="Alta",'Mapa final'!$AJ$80="Menor"),CONCATENATE("R2C",'Mapa final'!$R$80),"")</f>
        <v/>
      </c>
      <c r="S31" s="57" t="str">
        <f>IF(AND('Mapa final'!$AH$81="Alta",'Mapa final'!$AJ$81="Menor"),CONCATENATE("R2C",'Mapa final'!$R$81),"")</f>
        <v/>
      </c>
      <c r="T31" s="57" t="str">
        <f>IF(AND('Mapa final'!$AH$82="Alta",'Mapa final'!$AJ$82="Menor"),CONCATENATE("R2C",'Mapa final'!$R$82),"")</f>
        <v/>
      </c>
      <c r="U31" s="57" t="str">
        <f>IF(AND('Mapa final'!$AH$84="Alta",'Mapa final'!$AJ$84="Menor"),CONCATENATE("R2C",'Mapa final'!$R$84),"")</f>
        <v/>
      </c>
      <c r="V31" s="58" t="str">
        <f>IF(AND('Mapa final'!$AH$85="Alta",'Mapa final'!$AJ$85="Menor"),CONCATENATE("R2C",'Mapa final'!$R$85),"")</f>
        <v/>
      </c>
      <c r="W31" s="44" t="str">
        <f>IF(AND('Mapa final'!$AH$79="Alta",'Mapa final'!$AJ$79="Moderado"),CONCATENATE("R2C",'Mapa final'!$R$79),"")</f>
        <v/>
      </c>
      <c r="X31" s="45" t="str">
        <f>IF(AND('Mapa final'!$AH$80="Alta",'Mapa final'!$AJ$80="Moderado"),CONCATENATE("R2C",'Mapa final'!$R$80),"")</f>
        <v/>
      </c>
      <c r="Y31" s="45" t="str">
        <f>IF(AND('Mapa final'!$AH$81="Alta",'Mapa final'!$AJ$81="Moderado"),CONCATENATE("R2C",'Mapa final'!$R$81),"")</f>
        <v/>
      </c>
      <c r="Z31" s="45" t="str">
        <f>IF(AND('Mapa final'!$AH$82="Alta",'Mapa final'!$AJ$82="Moderado"),CONCATENATE("R2C",'Mapa final'!$R$82),"")</f>
        <v/>
      </c>
      <c r="AA31" s="45" t="str">
        <f>IF(AND('Mapa final'!$AH$84="Alta",'Mapa final'!$AJ$84="Moderado"),CONCATENATE("R2C",'Mapa final'!$R$84),"")</f>
        <v/>
      </c>
      <c r="AB31" s="46" t="str">
        <f>IF(AND('Mapa final'!$AH$85="Alta",'Mapa final'!$AJ$85="Moderado"),CONCATENATE("R2C",'Mapa final'!$R$85),"")</f>
        <v/>
      </c>
      <c r="AC31" s="44" t="str">
        <f>IF(AND('Mapa final'!$AH$79="Alta",'Mapa final'!$AJ$79="Mayor"),CONCATENATE("R2C",'Mapa final'!$R$79),"")</f>
        <v/>
      </c>
      <c r="AD31" s="45" t="str">
        <f>IF(AND('Mapa final'!$AH$80="Alta",'Mapa final'!$AJ$80="Mayor"),CONCATENATE("R2C",'Mapa final'!$R$80),"")</f>
        <v/>
      </c>
      <c r="AE31" s="45" t="str">
        <f>IF(AND('Mapa final'!$AH$81="Alta",'Mapa final'!$AJ$81="Mayor"),CONCATENATE("R2C",'Mapa final'!$R$81),"")</f>
        <v/>
      </c>
      <c r="AF31" s="45" t="str">
        <f>IF(AND('Mapa final'!$AH$82="Alta",'Mapa final'!$AJ$82="Mayor"),CONCATENATE("R2C",'Mapa final'!$R$82),"")</f>
        <v/>
      </c>
      <c r="AG31" s="45" t="str">
        <f>IF(AND('Mapa final'!$AH$84="Alta",'Mapa final'!$AJ$84="Mayor"),CONCATENATE("R2C",'Mapa final'!$R$84),"")</f>
        <v/>
      </c>
      <c r="AH31" s="46" t="str">
        <f>IF(AND('Mapa final'!$AH$85="Alta",'Mapa final'!$AJ$85="Mayor"),CONCATENATE("R2C",'Mapa final'!$R$85),"")</f>
        <v/>
      </c>
      <c r="AI31" s="47" t="str">
        <f>IF(AND('Mapa final'!$AH$79="Alta",'Mapa final'!$AJ$79="Catastrófico"),CONCATENATE("R2C",'Mapa final'!$R$79),"")</f>
        <v/>
      </c>
      <c r="AJ31" s="48" t="str">
        <f>IF(AND('Mapa final'!$AH$80="Alta",'Mapa final'!$AJ$80="Catastrófico"),CONCATENATE("R2C",'Mapa final'!$R$80),"")</f>
        <v/>
      </c>
      <c r="AK31" s="48" t="str">
        <f>IF(AND('Mapa final'!$AH$81="Alta",'Mapa final'!$AJ$81="Catastrófico"),CONCATENATE("R2C",'Mapa final'!$R$81),"")</f>
        <v/>
      </c>
      <c r="AL31" s="48" t="str">
        <f>IF(AND('Mapa final'!$AH$82="Alta",'Mapa final'!$AJ$82="Catastrófico"),CONCATENATE("R2C",'Mapa final'!$R$82),"")</f>
        <v/>
      </c>
      <c r="AM31" s="48" t="str">
        <f>IF(AND('Mapa final'!$AH$84="Alta",'Mapa final'!$AJ$84="Catastrófico"),CONCATENATE("R2C",'Mapa final'!$R$84),"")</f>
        <v/>
      </c>
      <c r="AN31" s="49" t="str">
        <f>IF(AND('Mapa final'!$AH$85="Muy Alta",'Mapa final'!$AJ$85="Catastrófico"),CONCATENATE("R2C",'Mapa final'!$R$85),"")</f>
        <v/>
      </c>
      <c r="AO31" s="68"/>
      <c r="AP31" s="502"/>
      <c r="AQ31" s="503"/>
      <c r="AR31" s="503"/>
      <c r="AS31" s="503"/>
      <c r="AT31" s="503"/>
      <c r="AU31" s="504"/>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row>
    <row r="32" spans="2:77" ht="15" customHeight="1">
      <c r="B32" s="68"/>
      <c r="C32" s="446"/>
      <c r="D32" s="446"/>
      <c r="E32" s="447"/>
      <c r="F32" s="486" t="s">
        <v>335</v>
      </c>
      <c r="G32" s="487"/>
      <c r="H32" s="487"/>
      <c r="I32" s="487"/>
      <c r="J32" s="488"/>
      <c r="K32" s="50"/>
      <c r="L32" s="51" t="str">
        <f>IF(AND('Mapa final'!$AH$16="Media",'Mapa final'!$AJ$16="Leve"),CONCATENATE("R2C",'Mapa final'!$R$15),"")</f>
        <v/>
      </c>
      <c r="M32" s="51" t="str">
        <f>IF(AND('Mapa final'!$AH$17="Media",'Mapa final'!$AJ$17="Leve"),CONCATENATE("R2C",'Mapa final'!$R$17),"")</f>
        <v/>
      </c>
      <c r="N32" s="51" t="str">
        <f>IF(AND('Mapa final'!$AH$20="Media",'Mapa final'!$AJ$20="Leve"),CONCATENATE("R2C",'Mapa final'!$R$20),"")</f>
        <v/>
      </c>
      <c r="O32" s="51" t="str">
        <f>IF(AND('Mapa final'!$AH$21="Media",'Mapa final'!$AJ$21="Leve"),CONCATENATE("R2C",'Mapa final'!$R$21),"")</f>
        <v/>
      </c>
      <c r="P32" s="52" t="str">
        <f>IF(AND('Mapa final'!$AH$22="Media",'Mapa final'!$AJ$22="Leve"),CONCATENATE("R2C",'Mapa final'!$R$22),"")</f>
        <v/>
      </c>
      <c r="Q32" s="50"/>
      <c r="R32" s="51" t="str">
        <f>IF(AND('Mapa final'!$AH$16="Media",'Mapa final'!$AJ$16="Menore"),CONCATENATE("R2C",'Mapa final'!$R$15),"")</f>
        <v/>
      </c>
      <c r="S32" s="51" t="str">
        <f>IF(AND('Mapa final'!$AH$17="Media",'Mapa final'!$AJ$17="Menor"),CONCATENATE("R2C",'Mapa final'!$R$17),"")</f>
        <v/>
      </c>
      <c r="T32" s="51" t="str">
        <f>IF(AND('Mapa final'!$AH$20="Media",'Mapa final'!$AJ$20="Menor"),CONCATENATE("R2C",'Mapa final'!$R$20),"")</f>
        <v/>
      </c>
      <c r="U32" s="51" t="str">
        <f>IF(AND('Mapa final'!$AH$21="Media",'Mapa final'!$AJ$21="Menor"),CONCATENATE("R2C",'Mapa final'!$R$21),"")</f>
        <v/>
      </c>
      <c r="V32" s="52" t="str">
        <f>IF(AND('Mapa final'!$AH$22="Media",'Mapa final'!$AJ$22="Menor"),CONCATENATE("R2C",'Mapa final'!$R$22),"")</f>
        <v/>
      </c>
      <c r="W32" s="50"/>
      <c r="X32" s="51" t="str">
        <f>IF(AND('Mapa final'!$AH$16="Media",'Mapa final'!$AJ$16="Moderado"),CONCATENATE("R2C",'Mapa final'!$R$15),"")</f>
        <v/>
      </c>
      <c r="Y32" s="51"/>
      <c r="Z32" s="51" t="str">
        <f>IF(AND('Mapa final'!$AH$20="Media",'Mapa final'!$AJ$20="Moderado"),CONCATENATE("R2C",'Mapa final'!$R$20),"")</f>
        <v/>
      </c>
      <c r="AA32" s="51" t="str">
        <f>IF(AND('Mapa final'!$AH$21="Media",'Mapa final'!$AJ$21="Moderado"),CONCATENATE("R2C",'Mapa final'!$R$21),"")</f>
        <v>R2C     El riesgo afecta la imagen de la entidad con algunos usuarios de relevancia frente al logro de los objetivos</v>
      </c>
      <c r="AB32" s="52" t="str">
        <f>IF(AND('Mapa final'!$AH$22="Media",'Mapa final'!$AJ$22="Moderado"),CONCATENATE("R2C",'Mapa final'!$R$22),"")</f>
        <v/>
      </c>
      <c r="AC32" s="32"/>
      <c r="AD32" s="33" t="str">
        <f>IF(AND('Mapa final'!$AH$16="Media",'Mapa final'!$AJ$16="Mayor"),CONCATENATE("R2C",'Mapa final'!$R$15),"")</f>
        <v/>
      </c>
      <c r="AE32" s="33" t="str">
        <f>IF(AND('Mapa final'!$AH$17="Media",'Mapa final'!$AJ$17="Mayor"),CONCATENATE("R2C",'Mapa final'!$R$17),"")</f>
        <v/>
      </c>
      <c r="AF32" s="33" t="str">
        <f>IF(AND('Mapa final'!$AH$20="Media",'Mapa final'!$AJ$20="Mayor"),CONCATENATE("R2C",'Mapa final'!$R$20),"")</f>
        <v/>
      </c>
      <c r="AG32" s="33" t="str">
        <f>IF(AND('Mapa final'!$AH$21="Media",'Mapa final'!$AJ$21="Mayor"),CONCATENATE("R2C",'Mapa final'!$R$21),"")</f>
        <v/>
      </c>
      <c r="AH32" s="34" t="str">
        <f>IF(AND('Mapa final'!$AH$22="Media",'Mapa final'!$AJ$22="Mayor"),CONCATENATE("R2C",'Mapa final'!$R$22),"")</f>
        <v/>
      </c>
      <c r="AI32" s="35"/>
      <c r="AJ32" s="36" t="str">
        <f>IF(AND('Mapa final'!$AH$16="Media",'Mapa final'!$AJ$16="Catastrófico"),CONCATENATE("R2C",'Mapa final'!$R$15),"")</f>
        <v/>
      </c>
      <c r="AK32" s="36" t="str">
        <f>IF(AND('Mapa final'!$AH$17="Media",'Mapa final'!$AJ$17="Catastrófico"),CONCATENATE("R2C",'Mapa final'!$R$17),"")</f>
        <v/>
      </c>
      <c r="AL32" s="36" t="str">
        <f>IF(AND('Mapa final'!$AH$20="Media",'Mapa final'!$AJ$20="Catastrófico"),CONCATENATE("R2C",'Mapa final'!$R$20),"")</f>
        <v/>
      </c>
      <c r="AM32" s="36" t="str">
        <f>IF(AND('Mapa final'!$AH$21="Media",'Mapa final'!$AJ$21="Catastrófico"),CONCATENATE("R2C",'Mapa final'!$R$21),"")</f>
        <v/>
      </c>
      <c r="AN32" s="37" t="str">
        <f>IF(AND('Mapa final'!$AH$22="Media",'Mapa final'!$AJ$22="Catastrófico"),CONCATENATE("R2C",'Mapa final'!$R$22),"")</f>
        <v/>
      </c>
      <c r="AO32" s="68"/>
      <c r="AP32" s="527" t="s">
        <v>219</v>
      </c>
      <c r="AQ32" s="528"/>
      <c r="AR32" s="528"/>
      <c r="AS32" s="528"/>
      <c r="AT32" s="528"/>
      <c r="AU32" s="529"/>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row>
    <row r="33" spans="2:77" ht="15" customHeight="1">
      <c r="B33" s="68"/>
      <c r="C33" s="446"/>
      <c r="D33" s="446"/>
      <c r="E33" s="447"/>
      <c r="F33" s="505"/>
      <c r="G33" s="490"/>
      <c r="H33" s="490"/>
      <c r="I33" s="490"/>
      <c r="J33" s="491"/>
      <c r="K33" s="53" t="str">
        <f>IF(AND('Mapa final'!$AH$23="Media",'Mapa final'!$AJ$23="Leve"),CONCATENATE("R2C",'Mapa final'!$R$23),"")</f>
        <v/>
      </c>
      <c r="L33" s="54" t="str">
        <f>IF(AND('Mapa final'!$AH$24="Media",'Mapa final'!$AJ$24="Leve"),CONCATENATE("R2C",'Mapa final'!$R$24),"")</f>
        <v/>
      </c>
      <c r="M33" s="54" t="str">
        <f>IF(AND('Mapa final'!$AH$33="Media",'Mapa final'!$AJ$33="Leve"),CONCATENATE("R2C",'Mapa final'!$R$33),"")</f>
        <v/>
      </c>
      <c r="N33" s="54" t="str">
        <f>IF(AND('Mapa final'!$AH$34="Media",'Mapa final'!$AJ$34="Leve"),CONCATENATE("R2C",'Mapa final'!$R$34),"")</f>
        <v/>
      </c>
      <c r="O33" s="54" t="str">
        <f>IF(AND('Mapa final'!$AH$35="Media",'Mapa final'!$AJ$35="Leve"),CONCATENATE("R2C",'Mapa final'!$R$35),"")</f>
        <v/>
      </c>
      <c r="P33" s="55" t="str">
        <f>IF(AND('Mapa final'!$AH$36="Media",'Mapa final'!$AJ$36="Leve"),CONCATENATE("R2C",'Mapa final'!$R$36),"")</f>
        <v/>
      </c>
      <c r="Q33" s="53" t="str">
        <f>IF(AND('Mapa final'!$AH$23="Media",'Mapa final'!$AJ$23="Menor"),CONCATENATE("R2C",'Mapa final'!$R$23),"")</f>
        <v/>
      </c>
      <c r="R33" s="54" t="str">
        <f>IF(AND('Mapa final'!$AH$24="Media",'Mapa final'!$AJ$24="Menor"),CONCATENATE("R2C",'Mapa final'!$R$24),"")</f>
        <v/>
      </c>
      <c r="S33" s="54" t="str">
        <f>IF(AND('Mapa final'!$AH$33="Media",'Mapa final'!$AJ$33="Menor"),CONCATENATE("R2C",'Mapa final'!$R$33),"")</f>
        <v/>
      </c>
      <c r="T33" s="54" t="str">
        <f>IF(AND('Mapa final'!$AH$34="Media",'Mapa final'!$AJ$34="Menor"),CONCATENATE("R2C",'Mapa final'!$R$34),"")</f>
        <v/>
      </c>
      <c r="U33" s="54" t="str">
        <f>IF(AND('Mapa final'!$AH$35="Media",'Mapa final'!$AJ$35="Menor"),CONCATENATE("R2C",'Mapa final'!$R$35),"")</f>
        <v/>
      </c>
      <c r="V33" s="55" t="str">
        <f>IF(AND('Mapa final'!$AH$36="Media",'Mapa final'!$AJ$36="Menor"),CONCATENATE("R2C",'Mapa final'!$R$36),"")</f>
        <v/>
      </c>
      <c r="W33" s="53" t="str">
        <f>IF(AND('Mapa final'!$AH$23="Media",'Mapa final'!$AJ$23="Moderado"),CONCATENATE("R2C",'Mapa final'!$R$23),"")</f>
        <v/>
      </c>
      <c r="X33" s="54" t="str">
        <f>IF(AND('Mapa final'!$AH$24="Media",'Mapa final'!$AJ$24="Moderado"),CONCATENATE("R2C",'Mapa final'!$R$24),"")</f>
        <v/>
      </c>
      <c r="Y33" s="54" t="str">
        <f>IF(AND('Mapa final'!$AH$33="Media",'Mapa final'!$AJ$33="Moderado"),CONCATENATE("R2C",'Mapa final'!$R$33),"")</f>
        <v/>
      </c>
      <c r="Z33" s="54" t="str">
        <f>IF(AND('Mapa final'!$AH$34="Media",'Mapa final'!$AJ$34="Moderado"),CONCATENATE("R2C",'Mapa final'!$R$34),"")</f>
        <v/>
      </c>
      <c r="AA33" s="54" t="str">
        <f>IF(AND('Mapa final'!$AH$35="Media",'Mapa final'!$AJ$35="Moderado"),CONCATENATE("R2C",'Mapa final'!$R$35),"")</f>
        <v/>
      </c>
      <c r="AB33" s="55" t="str">
        <f>IF(AND('Mapa final'!$AH$36="Media",'Mapa final'!$AJ$36="Moderado"),CONCATENATE("R2C",'Mapa final'!$R$36),"")</f>
        <v/>
      </c>
      <c r="AC33" s="38" t="str">
        <f>IF(AND('Mapa final'!$AH$23="Media",'Mapa final'!$AJ$23="Mayor"),CONCATENATE("R2C",'Mapa final'!$R$23),"")</f>
        <v>R2CMayor (Corrupción)</v>
      </c>
      <c r="AD33" s="39" t="str">
        <f>IF(AND('Mapa final'!$AH$24="Muy Alta",'Mapa final'!$AJ$24="Mayor"),CONCATENATE("R2C",'Mapa final'!$R$24),"")</f>
        <v/>
      </c>
      <c r="AE33" s="39" t="str">
        <f>IF(AND('Mapa final'!$AH$33="Media",'Mapa final'!$AJ$33="Mayor"),CONCATENATE("R2C",'Mapa final'!$R$33),"")</f>
        <v/>
      </c>
      <c r="AF33" s="39" t="str">
        <f>IF(AND('Mapa final'!$AH$34="Media",'Mapa final'!$AJ$34="Mayor"),CONCATENATE("R2C",'Mapa final'!$R$34),"")</f>
        <v/>
      </c>
      <c r="AG33" s="39" t="str">
        <f>IF(AND('Mapa final'!$AH$35="Media",'Mapa final'!$AJ$35="Mayor"),CONCATENATE("R2C",'Mapa final'!$R$35),"")</f>
        <v/>
      </c>
      <c r="AH33" s="40" t="str">
        <f>IF(AND('Mapa final'!$AH$36="Media",'Mapa final'!$AJ$36="Mayor"),CONCATENATE("R2C",'Mapa final'!$R$36),"")</f>
        <v/>
      </c>
      <c r="AI33" s="41" t="str">
        <f>IF(AND('Mapa final'!$AH$23="Media",'Mapa final'!$AJ$23="Catastrófico"),CONCATENATE("R2C",'Mapa final'!$R$23),"")</f>
        <v/>
      </c>
      <c r="AJ33" s="42" t="str">
        <f>IF(AND('Mapa final'!$AH$24="Media",'Mapa final'!$AJ$24="Catastrófico"),CONCATENATE("R2C",'Mapa final'!$R$24),"")</f>
        <v/>
      </c>
      <c r="AK33" s="42" t="str">
        <f>IF(AND('Mapa final'!$AH$33="Media",'Mapa final'!$AJ$33="Catastrófico"),CONCATENATE("R2C",'Mapa final'!$R$33),"")</f>
        <v/>
      </c>
      <c r="AL33" s="42" t="str">
        <f>IF(AND('Mapa final'!$AH$34="Media",'Mapa final'!$AJ$34="Catastrófico"),CONCATENATE("R2C",'Mapa final'!$R$34),"")</f>
        <v/>
      </c>
      <c r="AM33" s="42" t="str">
        <f>IF(AND('Mapa final'!$AH$35="Media",'Mapa final'!$AJ$35="Catastrófico"),CONCATENATE("R2C",'Mapa final'!$R$35),"")</f>
        <v/>
      </c>
      <c r="AN33" s="43" t="str">
        <f>IF(AND('Mapa final'!$AH$36="Media",'Mapa final'!$AJ$36="Catastrófico"),CONCATENATE("R2C",'Mapa final'!$R$36),"")</f>
        <v/>
      </c>
      <c r="AO33" s="68"/>
      <c r="AP33" s="530"/>
      <c r="AQ33" s="531"/>
      <c r="AR33" s="531"/>
      <c r="AS33" s="531"/>
      <c r="AT33" s="531"/>
      <c r="AU33" s="532"/>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row>
    <row r="34" spans="2:77" ht="15" customHeight="1">
      <c r="B34" s="68"/>
      <c r="C34" s="446"/>
      <c r="D34" s="446"/>
      <c r="E34" s="447"/>
      <c r="F34" s="489"/>
      <c r="G34" s="490"/>
      <c r="H34" s="490"/>
      <c r="I34" s="490"/>
      <c r="J34" s="491"/>
      <c r="K34" s="53" t="str">
        <f>IF(AND('Mapa final'!$AH$37="Media",'Mapa final'!$AJ$37="Leve"),CONCATENATE("R2C",'Mapa final'!$R$37),"")</f>
        <v/>
      </c>
      <c r="L34" s="54" t="str">
        <f>IF(AND('Mapa final'!$AH$38="Media",'Mapa final'!$AJ$38="Leve"),CONCATENATE("R2C",'Mapa final'!$R$38),"")</f>
        <v/>
      </c>
      <c r="M34" s="54" t="str">
        <f>IF(AND('Mapa final'!$AH$39="Media",'Mapa final'!$AJ$39="Leve"),CONCATENATE("R2C",'Mapa final'!$R$39),"")</f>
        <v/>
      </c>
      <c r="N34" s="54" t="str">
        <f>IF(AND('Mapa final'!$AH$40="Media",'Mapa final'!$AJ$40="Leve"),CONCATENATE("R2C",'Mapa final'!$R$40),"")</f>
        <v/>
      </c>
      <c r="O34" s="54" t="str">
        <f>IF(AND('Mapa final'!$AH$41="Media",'Mapa final'!$AJ$41="Leve"),CONCATENATE("R2C",'Mapa final'!$R$41),"")</f>
        <v/>
      </c>
      <c r="P34" s="55" t="str">
        <f>IF(AND('Mapa final'!$AH$42="Media",'Mapa final'!$AJ$42="Leve"),CONCATENATE("R2C",'Mapa final'!$R$42),"")</f>
        <v/>
      </c>
      <c r="Q34" s="53" t="str">
        <f>IF(AND('Mapa final'!$AH$37="Media",'Mapa final'!$AJ$37="Menor"),CONCATENATE("R2C",'Mapa final'!$R$37),"")</f>
        <v/>
      </c>
      <c r="R34" s="54" t="str">
        <f>IF(AND('Mapa final'!$AH$38="Media",'Mapa final'!$AJ$38="Menor"),CONCATENATE("R2C",'Mapa final'!$R$38),"")</f>
        <v/>
      </c>
      <c r="S34" s="54" t="str">
        <f>IF(AND('Mapa final'!$AH$39="Media",'Mapa final'!$AJ$39="Menor"),CONCATENATE("R2C",'Mapa final'!$R$39),"")</f>
        <v/>
      </c>
      <c r="T34" s="54" t="str">
        <f>IF(AND('Mapa final'!$AH$40="Media",'Mapa final'!$AJ$40="Menor"),CONCATENATE("R2C",'Mapa final'!$R$40),"")</f>
        <v/>
      </c>
      <c r="U34" s="54" t="str">
        <f>IF(AND('Mapa final'!$AH$41="Media",'Mapa final'!$AJ$41="Menor"),CONCATENATE("R2C",'Mapa final'!$R$41),"")</f>
        <v/>
      </c>
      <c r="V34" s="55" t="str">
        <f>IF(AND('Mapa final'!$AH$42="Media",'Mapa final'!$AJ$42="Menor"),CONCATENATE("R2C",'Mapa final'!$R$42),"")</f>
        <v/>
      </c>
      <c r="W34" s="53" t="str">
        <f>IF(AND('Mapa final'!$AH$37="Media",'Mapa final'!$AJ$37="Moderado"),CONCATENATE("R2C",'Mapa final'!$R$37),"")</f>
        <v/>
      </c>
      <c r="X34" s="54" t="str">
        <f>IF(AND('Mapa final'!$AH$38="Media",'Mapa final'!$AJ$38="Moderado"),CONCATENATE("R2C",'Mapa final'!$R$38),"")</f>
        <v/>
      </c>
      <c r="Y34" s="54" t="str">
        <f>IF(AND('Mapa final'!$AH$39="Media",'Mapa final'!$AJ$39="Moderado"),CONCATENATE("R2C",'Mapa final'!$R$39),"")</f>
        <v/>
      </c>
      <c r="Z34" s="54" t="str">
        <f>IF(AND('Mapa final'!$AH$40="Media",'Mapa final'!$AJ$40="Moderado"),CONCATENATE("R2C",'Mapa final'!$R$40),"")</f>
        <v/>
      </c>
      <c r="AA34" s="54" t="str">
        <f>IF(AND('Mapa final'!$AH$41="Media",'Mapa final'!$AJ$41="Moderado"),CONCATENATE("R2C",'Mapa final'!$R$41),"")</f>
        <v/>
      </c>
      <c r="AB34" s="55" t="str">
        <f>IF(AND('Mapa final'!$AH$42="Media",'Mapa final'!$AJ$42="Moderado"),CONCATENATE("R2C",'Mapa final'!$R$42),"")</f>
        <v/>
      </c>
      <c r="AC34" s="38" t="str">
        <f>IF(AND('Mapa final'!$AH$37="Media",'Mapa final'!$AJ$37="Mayor"),CONCATENATE("R2C",'Mapa final'!$R$37),"")</f>
        <v/>
      </c>
      <c r="AD34" s="39" t="str">
        <f>IF(AND('Mapa final'!$AH$38="Media",'Mapa final'!$AJ$38="Mayor"),CONCATENATE("R2C",'Mapa final'!$R$38),"")</f>
        <v/>
      </c>
      <c r="AE34" s="39" t="str">
        <f>IF(AND('Mapa final'!$AH$39="Media",'Mapa final'!$AJ$39="Mayor"),CONCATENATE("R2C",'Mapa final'!$R$39),"")</f>
        <v/>
      </c>
      <c r="AF34" s="39" t="str">
        <f>IF(AND('Mapa final'!$AH$40="Media",'Mapa final'!$AJ$40="Mayor"),CONCATENATE("R2C",'Mapa final'!$R$40),"")</f>
        <v/>
      </c>
      <c r="AG34" s="39" t="str">
        <f>IF(AND('Mapa final'!$AH$41="Media",'Mapa final'!$AJ$41="Mayor"),CONCATENATE("R2C",'Mapa final'!$R$41),"")</f>
        <v/>
      </c>
      <c r="AH34" s="40" t="str">
        <f>IF(AND('Mapa final'!$AH$42="Media",'Mapa final'!$AJ$42="Mayor"),CONCATENATE("R2C",'Mapa final'!$R$42),"")</f>
        <v/>
      </c>
      <c r="AI34" s="41" t="str">
        <f>IF(AND('Mapa final'!$AH$37="Media",'Mapa final'!$AJ$37="Catastrófico"),CONCATENATE("R2C",'Mapa final'!$R$37),"")</f>
        <v/>
      </c>
      <c r="AJ34" s="42" t="str">
        <f>IF(AND('Mapa final'!$AH$38="Media",'Mapa final'!$AJ$38="Catastrófico"),CONCATENATE("R2C",'Mapa final'!$R$38),"")</f>
        <v/>
      </c>
      <c r="AK34" s="42" t="str">
        <f>IF(AND('Mapa final'!$AH$39="Media",'Mapa final'!$AJ$39="Catastrófico"),CONCATENATE("R2C",'Mapa final'!$R$39),"")</f>
        <v/>
      </c>
      <c r="AL34" s="42" t="str">
        <f>IF(AND('Mapa final'!$AH$40="Media",'Mapa final'!$AJ$40="Catastrófico"),CONCATENATE("R2C",'Mapa final'!$R$40),"")</f>
        <v/>
      </c>
      <c r="AM34" s="42" t="str">
        <f>IF(AND('Mapa final'!$AH$41="Media",'Mapa final'!$AJ$41="Catastrófico"),CONCATENATE("R2C",'Mapa final'!$R$41),"")</f>
        <v/>
      </c>
      <c r="AN34" s="43" t="str">
        <f>IF(AND('Mapa final'!$AH$42="Media",'Mapa final'!$AJ$42="Catastrófico"),CONCATENATE("R2C",'Mapa final'!$R$42),"")</f>
        <v/>
      </c>
      <c r="AO34" s="68"/>
      <c r="AP34" s="530"/>
      <c r="AQ34" s="531"/>
      <c r="AR34" s="531"/>
      <c r="AS34" s="531"/>
      <c r="AT34" s="531"/>
      <c r="AU34" s="532"/>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row>
    <row r="35" spans="2:77" ht="15" customHeight="1">
      <c r="B35" s="68"/>
      <c r="C35" s="446"/>
      <c r="D35" s="446"/>
      <c r="E35" s="447"/>
      <c r="F35" s="489"/>
      <c r="G35" s="490"/>
      <c r="H35" s="490"/>
      <c r="I35" s="490"/>
      <c r="J35" s="491"/>
      <c r="K35" s="53" t="str">
        <f>IF(AND('Mapa final'!$AH$43="Media",'Mapa final'!$AJ$43="Leve"),CONCATENATE("R2C",'Mapa final'!$R$43),"")</f>
        <v/>
      </c>
      <c r="L35" s="54" t="str">
        <f>IF(AND('Mapa final'!$AH$44="Media",'Mapa final'!$AJ$44="Leve"),CONCATENATE("R2C",'Mapa final'!$R$44),"")</f>
        <v/>
      </c>
      <c r="M35" s="54" t="str">
        <f>IF(AND('Mapa final'!$AH$45="Media",'Mapa final'!$AJ$45="Leve"),CONCATENATE("R2C",'Mapa final'!$R$45),"")</f>
        <v/>
      </c>
      <c r="N35" s="54" t="str">
        <f>IF(AND('Mapa final'!$AH$46="Media",'Mapa final'!$AJ$46="Leve"),CONCATENATE("R2C",'Mapa final'!$R$46),"")</f>
        <v/>
      </c>
      <c r="O35" s="54" t="str">
        <f>IF(AND('Mapa final'!$AH$47="Media",'Mapa final'!$AJ$47="Leve"),CONCATENATE("R2C",'Mapa final'!$R$47),"")</f>
        <v/>
      </c>
      <c r="P35" s="55" t="str">
        <f>IF(AND('Mapa final'!$AH$48="Media",'Mapa final'!$AJ$48="Leve"),CONCATENATE("R2C",'Mapa final'!$R$48),"")</f>
        <v/>
      </c>
      <c r="Q35" s="53" t="str">
        <f>IF(AND('Mapa final'!$AH$43="Media",'Mapa final'!$AJ$43="Menor"),CONCATENATE("R2C",'Mapa final'!$R$43),"")</f>
        <v/>
      </c>
      <c r="R35" s="54" t="str">
        <f>IF(AND('Mapa final'!$AH$44="Media",'Mapa final'!$AJ$44="Menor"),CONCATENATE("R2C",'Mapa final'!$R$44),"")</f>
        <v/>
      </c>
      <c r="S35" s="54" t="str">
        <f>IF(AND('Mapa final'!$AH$45="Media",'Mapa final'!$AJ$45="Menor"),CONCATENATE("R2C",'Mapa final'!$R$45),"")</f>
        <v/>
      </c>
      <c r="T35" s="54" t="str">
        <f>IF(AND('Mapa final'!$AH$46="Media",'Mapa final'!$AJ$46="Menor"),CONCATENATE("R2C",'Mapa final'!$R$46),"")</f>
        <v/>
      </c>
      <c r="U35" s="54" t="str">
        <f>IF(AND('Mapa final'!$AH$47="Media",'Mapa final'!$AJ$47="LMenor"),CONCATENATE("R2C",'Mapa final'!$R$47),"")</f>
        <v/>
      </c>
      <c r="V35" s="55" t="str">
        <f>IF(AND('Mapa final'!$AH$48="Media",'Mapa final'!$AJ$48="Menor"),CONCATENATE("R2C",'Mapa final'!$R$48),"")</f>
        <v/>
      </c>
      <c r="W35" s="53" t="str">
        <f>IF(AND('Mapa final'!$AH$43="Media",'Mapa final'!$AJ$43="Moderado"),CONCATENATE("R2C",'Mapa final'!$R$43),"")</f>
        <v/>
      </c>
      <c r="X35" s="54" t="str">
        <f>IF(AND('Mapa final'!$AH$44="Media",'Mapa final'!$AJ$44="Moderado"),CONCATENATE("R2C",'Mapa final'!$R$44),"")</f>
        <v/>
      </c>
      <c r="Y35" s="54" t="str">
        <f>IF(AND('Mapa final'!$AH$45="Media",'Mapa final'!$AJ$45="Moderado"),CONCATENATE("R2C",'Mapa final'!$R$45),"")</f>
        <v/>
      </c>
      <c r="Z35" s="54" t="str">
        <f>IF(AND('Mapa final'!$AH$46="Media",'Mapa final'!$AJ$46="Moderado"),CONCATENATE("R2C",'Mapa final'!$R$46),"")</f>
        <v/>
      </c>
      <c r="AA35" s="54" t="str">
        <f>IF(AND('Mapa final'!$AH$47="Media",'Mapa final'!$AJ$47="Moderado"),CONCATENATE("R2C",'Mapa final'!$R$47),"")</f>
        <v/>
      </c>
      <c r="AB35" s="55" t="str">
        <f>IF(AND('Mapa final'!$AH$48="Media",'Mapa final'!$AJ$48="Moderado"),CONCATENATE("R2C",'Mapa final'!$R$48),"")</f>
        <v/>
      </c>
      <c r="AC35" s="38" t="str">
        <f>IF(AND('Mapa final'!$AH$43="Media",'Mapa final'!$AJ$43="Mayor"),CONCATENATE("R2C",'Mapa final'!$R$43),"")</f>
        <v/>
      </c>
      <c r="AD35" s="39" t="str">
        <f>IF(AND('Mapa final'!$AH$44="Media",'Mapa final'!$AJ$44="Mayor"),CONCATENATE("R2C",'Mapa final'!$R$44),"")</f>
        <v/>
      </c>
      <c r="AE35" s="39" t="str">
        <f>IF(AND('Mapa final'!$AH$45="Media",'Mapa final'!$AJ$45="Mayor"),CONCATENATE("R2C",'Mapa final'!$R$45),"")</f>
        <v/>
      </c>
      <c r="AF35" s="39" t="str">
        <f>IF(AND('Mapa final'!$AH$46="Media",'Mapa final'!$AJ$46="Mayor"),CONCATENATE("R2C",'Mapa final'!$R$46),"")</f>
        <v/>
      </c>
      <c r="AG35" s="39" t="str">
        <f>IF(AND('Mapa final'!$AH$47="Media",'Mapa final'!$AJ$47="Mayor"),CONCATENATE("R2C",'Mapa final'!$R$47),"")</f>
        <v/>
      </c>
      <c r="AH35" s="40" t="str">
        <f>IF(AND('Mapa final'!$AH$48="Media",'Mapa final'!$AJ$48="Mayor"),CONCATENATE("R2C",'Mapa final'!$R$48),"")</f>
        <v/>
      </c>
      <c r="AI35" s="41" t="str">
        <f>IF(AND('Mapa final'!$AH$43="Media",'Mapa final'!$AJ$43="Catastrófico"),CONCATENATE("R2C",'Mapa final'!$R$43),"")</f>
        <v/>
      </c>
      <c r="AJ35" s="42" t="str">
        <f>IF(AND('Mapa final'!$AH$44="Media",'Mapa final'!$AJ$44="Catastrófico"),CONCATENATE("R2C",'Mapa final'!$R$44),"")</f>
        <v/>
      </c>
      <c r="AK35" s="42" t="str">
        <f>IF(AND('Mapa final'!$AH$45="Media",'Mapa final'!$AJ$45="Catastrófico"),CONCATENATE("R2C",'Mapa final'!$R$45),"")</f>
        <v/>
      </c>
      <c r="AL35" s="42" t="str">
        <f>IF(AND('Mapa final'!$AH$46="Media",'Mapa final'!$AJ$46="Catastrófico"),CONCATENATE("R2C",'Mapa final'!$R$46),"")</f>
        <v/>
      </c>
      <c r="AM35" s="42" t="str">
        <f>IF(AND('Mapa final'!$AH$47="Media",'Mapa final'!$AJ$47="LCatastrófico"),CONCATENATE("R2C",'Mapa final'!$R$47),"")</f>
        <v/>
      </c>
      <c r="AN35" s="43" t="str">
        <f>IF(AND('Mapa final'!$AH$48="Media",'Mapa final'!$AJ$48="Catastrófico"),CONCATENATE("R2C",'Mapa final'!$R$48),"")</f>
        <v/>
      </c>
      <c r="AO35" s="68"/>
      <c r="AP35" s="530"/>
      <c r="AQ35" s="531"/>
      <c r="AR35" s="531"/>
      <c r="AS35" s="531"/>
      <c r="AT35" s="531"/>
      <c r="AU35" s="532"/>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row>
    <row r="36" spans="2:77" ht="15" customHeight="1">
      <c r="B36" s="68"/>
      <c r="C36" s="446"/>
      <c r="D36" s="446"/>
      <c r="E36" s="447"/>
      <c r="F36" s="489"/>
      <c r="G36" s="490"/>
      <c r="H36" s="490"/>
      <c r="I36" s="490"/>
      <c r="J36" s="491"/>
      <c r="K36" s="53" t="str">
        <f>IF(AND('Mapa final'!$AH$49="Media",'Mapa final'!$AJ$49="Leve"),CONCATENATE("R2C",'Mapa final'!$R$49),"")</f>
        <v/>
      </c>
      <c r="L36" s="54" t="str">
        <f>IF(AND('Mapa final'!$AH$50="Media",'Mapa final'!$AJ$50="Leve"),CONCATENATE("R2C",'Mapa final'!$R$50),"")</f>
        <v/>
      </c>
      <c r="M36" s="54" t="str">
        <f>IF(AND('Mapa final'!$AH$51="Media",'Mapa final'!$AJ$51="Leve"),CONCATENATE("R2C",'Mapa final'!$R$51),"")</f>
        <v/>
      </c>
      <c r="N36" s="54" t="str">
        <f>IF(AND('Mapa final'!$AH$52="Media",'Mapa final'!$AJ$52="Leve"),CONCATENATE("R2C",'Mapa final'!$R$52),"")</f>
        <v/>
      </c>
      <c r="O36" s="54" t="str">
        <f>IF(AND('Mapa final'!$AH$53="Media",'Mapa final'!$AJ$53="Leve"),CONCATENATE("R2C",'Mapa final'!$R$53),"")</f>
        <v/>
      </c>
      <c r="P36" s="55" t="str">
        <f>IF(AND('Mapa final'!$AH$54="Media",'Mapa final'!$AJ$54="Leve"),CONCATENATE("R2C",'Mapa final'!$R$54),"")</f>
        <v/>
      </c>
      <c r="Q36" s="53" t="str">
        <f>IF(AND('Mapa final'!$AH$49="Media",'Mapa final'!$AJ$49="Menor"),CONCATENATE("R2C",'Mapa final'!$R$49),"")</f>
        <v/>
      </c>
      <c r="R36" s="54" t="str">
        <f>IF(AND('Mapa final'!$AH$50="Media",'Mapa final'!$AJ$50="Menor"),CONCATENATE("R2C",'Mapa final'!$R$50),"")</f>
        <v/>
      </c>
      <c r="S36" s="54" t="str">
        <f>IF(AND('Mapa final'!$AH$51="Media",'Mapa final'!$AJ$51="Menor"),CONCATENATE("R2C",'Mapa final'!$R$51),"")</f>
        <v/>
      </c>
      <c r="T36" s="54" t="str">
        <f>IF(AND('Mapa final'!$AH$52="Media",'Mapa final'!$AJ$52="Menor"),CONCATENATE("R2C",'Mapa final'!$R$52),"")</f>
        <v/>
      </c>
      <c r="U36" s="54" t="str">
        <f>IF(AND('Mapa final'!$AH$53="Media",'Mapa final'!$AJ$53="Menor"),CONCATENATE("R2C",'Mapa final'!$R$53),"")</f>
        <v/>
      </c>
      <c r="V36" s="55" t="str">
        <f>IF(AND('Mapa final'!$AH$54="Media",'Mapa final'!$AJ$54="Menor"),CONCATENATE("R2C",'Mapa final'!$R$54),"")</f>
        <v/>
      </c>
      <c r="W36" s="53" t="str">
        <f>IF(AND('Mapa final'!$AH$49="Media",'Mapa final'!$AJ$49="Moderado"),CONCATENATE("R2C",'Mapa final'!$R$49),"")</f>
        <v/>
      </c>
      <c r="X36" s="54" t="str">
        <f>IF(AND('Mapa final'!$AH$50="Media",'Mapa final'!$AJ$50="Moderado"),CONCATENATE("R2C",'Mapa final'!$R$50),"")</f>
        <v/>
      </c>
      <c r="Y36" s="54" t="str">
        <f>IF(AND('Mapa final'!$AH$51="Media",'Mapa final'!$AJ$51="Moderado"),CONCATENATE("R2C",'Mapa final'!$R$51),"")</f>
        <v/>
      </c>
      <c r="Z36" s="54" t="str">
        <f>IF(AND('Mapa final'!$AH$52="Media",'Mapa final'!$AJ$52="Moderado"),CONCATENATE("R2C",'Mapa final'!$R$52),"")</f>
        <v/>
      </c>
      <c r="AA36" s="54" t="str">
        <f>IF(AND('Mapa final'!$AH$53="Media",'Mapa final'!$AJ$53="Moderado"),CONCATENATE("R2C",'Mapa final'!$R$53),"")</f>
        <v/>
      </c>
      <c r="AB36" s="55" t="str">
        <f>IF(AND('Mapa final'!$AH$54="Media",'Mapa final'!$AJ$54="Moderado"),CONCATENATE("R2C",'Mapa final'!$R$54),"")</f>
        <v/>
      </c>
      <c r="AC36" s="38" t="str">
        <f>IF(AND('Mapa final'!$AH$49="Media",'Mapa final'!$AJ$49="Mayor"),CONCATENATE("R2C",'Mapa final'!$R$49),"")</f>
        <v/>
      </c>
      <c r="AD36" s="39" t="str">
        <f>IF(AND('Mapa final'!$AH$50="Media",'Mapa final'!$AJ$50="Mayor"),CONCATENATE("R2C",'Mapa final'!$R$50),"")</f>
        <v/>
      </c>
      <c r="AE36" s="39" t="str">
        <f>IF(AND('Mapa final'!$AH$51="Media",'Mapa final'!$AJ$51="Mayor"),CONCATENATE("R2C",'Mapa final'!$R$51),"")</f>
        <v/>
      </c>
      <c r="AF36" s="39" t="str">
        <f>IF(AND('Mapa final'!$AH$52="Media",'Mapa final'!$AJ$52="Mayor"),CONCATENATE("R2C",'Mapa final'!$R$52),"")</f>
        <v/>
      </c>
      <c r="AG36" s="39" t="str">
        <f>IF(AND('Mapa final'!$AH$53="Media",'Mapa final'!$AJ$53="Mayor"),CONCATENATE("R2C",'Mapa final'!$R$53),"")</f>
        <v/>
      </c>
      <c r="AH36" s="40" t="str">
        <f>IF(AND('Mapa final'!$AH$54="Media",'Mapa final'!$AJ$54="Mayor"),CONCATENATE("R2C",'Mapa final'!$R$54),"")</f>
        <v/>
      </c>
      <c r="AI36" s="41" t="str">
        <f>IF(AND('Mapa final'!$AH$49="Media",'Mapa final'!$AJ$49="Catastrófico"),CONCATENATE("R2C",'Mapa final'!$R$49),"")</f>
        <v/>
      </c>
      <c r="AJ36" s="42" t="str">
        <f>IF(AND('Mapa final'!$AH$50="Media",'Mapa final'!$AJ$50="Catastrófico"),CONCATENATE("R2C",'Mapa final'!$R$50),"")</f>
        <v/>
      </c>
      <c r="AK36" s="42" t="str">
        <f>IF(AND('Mapa final'!$AH$51="Media",'Mapa final'!$AJ$51="Catastrófico"),CONCATENATE("R2C",'Mapa final'!$R$51),"")</f>
        <v/>
      </c>
      <c r="AL36" s="42" t="str">
        <f>IF(AND('Mapa final'!$AH$52="Media",'Mapa final'!$AJ$52="Catastrófico"),CONCATENATE("R2C",'Mapa final'!$R$52),"")</f>
        <v/>
      </c>
      <c r="AM36" s="42" t="str">
        <f>IF(AND('Mapa final'!$AH$53="Media",'Mapa final'!$AJ$53="Catastrófico"),CONCATENATE("R2C",'Mapa final'!$R$53),"")</f>
        <v/>
      </c>
      <c r="AN36" s="43" t="str">
        <f>IF(AND('Mapa final'!$AH$54="Media",'Mapa final'!$AJ$54="Catastrófico"),CONCATENATE("R2C",'Mapa final'!$R$54),"")</f>
        <v/>
      </c>
      <c r="AO36" s="68"/>
      <c r="AP36" s="530"/>
      <c r="AQ36" s="531"/>
      <c r="AR36" s="531"/>
      <c r="AS36" s="531"/>
      <c r="AT36" s="531"/>
      <c r="AU36" s="532"/>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row>
    <row r="37" spans="2:77" ht="15" customHeight="1">
      <c r="B37" s="68"/>
      <c r="C37" s="446"/>
      <c r="D37" s="446"/>
      <c r="E37" s="447"/>
      <c r="F37" s="489"/>
      <c r="G37" s="490"/>
      <c r="H37" s="490"/>
      <c r="I37" s="490"/>
      <c r="J37" s="491"/>
      <c r="K37" s="53" t="str">
        <f>IF(AND('Mapa final'!$AH$55="Media",'Mapa final'!$AJ$55="Leve"),CONCATENATE("R2C",'Mapa final'!$R$55),"")</f>
        <v/>
      </c>
      <c r="L37" s="54" t="str">
        <f>IF(AND('Mapa final'!$AH$56="Media",'Mapa final'!$AJ$56="Leve"),CONCATENATE("R2C",'Mapa final'!$R$56),"")</f>
        <v/>
      </c>
      <c r="M37" s="54" t="str">
        <f>IF(AND('Mapa final'!$AH$57="Media",'Mapa final'!$AJ$57="Leve"),CONCATENATE("R2C",'Mapa final'!$R$57),"")</f>
        <v/>
      </c>
      <c r="N37" s="54" t="str">
        <f>IF(AND('Mapa final'!$AH$58="Media",'Mapa final'!$AJ$58="Leve"),CONCATENATE("R2C",'Mapa final'!$R$58),"")</f>
        <v/>
      </c>
      <c r="O37" s="54" t="str">
        <f>IF(AND('Mapa final'!$AH$59="Media",'Mapa final'!$AJ$59="Leve"),CONCATENATE("R2C",'Mapa final'!$R$59),"")</f>
        <v/>
      </c>
      <c r="P37" s="55" t="str">
        <f>IF(AND('Mapa final'!$AH$70="Media",'Mapa final'!$AJ$60="Leve"),CONCATENATE("R2C",'Mapa final'!$R$60),"")</f>
        <v/>
      </c>
      <c r="Q37" s="53" t="str">
        <f>IF(AND('Mapa final'!$AH$55="Media",'Mapa final'!$AJ$55="Menor"),CONCATENATE("R2C",'Mapa final'!$R$55),"")</f>
        <v/>
      </c>
      <c r="R37" s="54" t="str">
        <f>IF(AND('Mapa final'!$AH$56="Media",'Mapa final'!$AJ$56="Menor"),CONCATENATE("R2C",'Mapa final'!$R$56),"")</f>
        <v/>
      </c>
      <c r="S37" s="54" t="str">
        <f>IF(AND('Mapa final'!$AH$57="Media",'Mapa final'!$AJ$57="Menor"),CONCATENATE("R2C",'Mapa final'!$R$57),"")</f>
        <v/>
      </c>
      <c r="T37" s="54" t="str">
        <f>IF(AND('Mapa final'!$AH$58="Media",'Mapa final'!$AJ$58="Menor"),CONCATENATE("R2C",'Mapa final'!$R$58),"")</f>
        <v/>
      </c>
      <c r="U37" s="54" t="str">
        <f>IF(AND('Mapa final'!$AH$59="Media",'Mapa final'!$AJ$59="Menor"),CONCATENATE("R2C",'Mapa final'!$R$59),"")</f>
        <v/>
      </c>
      <c r="V37" s="55" t="str">
        <f>IF(AND('Mapa final'!$AH$70="Media",'Mapa final'!$AJ$60="Menor"),CONCATENATE("R2C",'Mapa final'!$R$60),"")</f>
        <v/>
      </c>
      <c r="W37" s="53" t="str">
        <f>IF(AND('Mapa final'!$AH$55="Media",'Mapa final'!$AJ$55="Moderado"),CONCATENATE("R2C",'Mapa final'!$R$55),"")</f>
        <v/>
      </c>
      <c r="X37" s="54" t="str">
        <f>IF(AND('Mapa final'!$AH$56="Media",'Mapa final'!$AJ$56="Moderado"),CONCATENATE("R2C",'Mapa final'!$R$56),"")</f>
        <v/>
      </c>
      <c r="Y37" s="54" t="str">
        <f>IF(AND('Mapa final'!$AH$57="Media",'Mapa final'!$AJ$57="Moderado"),CONCATENATE("R2C",'Mapa final'!$R$57),"")</f>
        <v/>
      </c>
      <c r="Z37" s="54" t="str">
        <f>IF(AND('Mapa final'!$AH$58="Media",'Mapa final'!$AJ$58="Moderado"),CONCATENATE("R2C",'Mapa final'!$R$58),"")</f>
        <v/>
      </c>
      <c r="AA37" s="54" t="str">
        <f>IF(AND('Mapa final'!$AH$59="Media",'Mapa final'!$AJ$59="Moderado"),CONCATENATE("R2C",'Mapa final'!$R$59),"")</f>
        <v/>
      </c>
      <c r="AB37" s="55" t="str">
        <f>IF(AND('Mapa final'!$AH$70="Media",'Mapa final'!$AJ$60="Moderado"),CONCATENATE("R2C",'Mapa final'!$R$60),"")</f>
        <v/>
      </c>
      <c r="AC37" s="38" t="str">
        <f>IF(AND('Mapa final'!$AH$55="Media",'Mapa final'!$AJ$55="Mayor"),CONCATENATE("R2C",'Mapa final'!$R$55),"")</f>
        <v/>
      </c>
      <c r="AD37" s="39" t="str">
        <f>IF(AND('Mapa final'!$AH$56="Media",'Mapa final'!$AJ$56="Mayor"),CONCATENATE("R2C",'Mapa final'!$R$56),"")</f>
        <v/>
      </c>
      <c r="AE37" s="39" t="str">
        <f>IF(AND('Mapa final'!$AH$57="Media",'Mapa final'!$AJ$57="Mayor"),CONCATENATE("R2C",'Mapa final'!$R$57),"")</f>
        <v/>
      </c>
      <c r="AF37" s="39" t="str">
        <f>IF(AND('Mapa final'!$AH$58="Media",'Mapa final'!$AJ$58="Mayor"),CONCATENATE("R2C",'Mapa final'!$R$58),"")</f>
        <v/>
      </c>
      <c r="AG37" s="39" t="str">
        <f>IF(AND('Mapa final'!$AH$59="Media",'Mapa final'!$AJ$59="Mayor"),CONCATENATE("R2C",'Mapa final'!$R$59),"")</f>
        <v/>
      </c>
      <c r="AH37" s="40" t="str">
        <f>IF(AND('Mapa final'!$AH$70="Media",'Mapa final'!$AJ$60="Mayor"),CONCATENATE("R2C",'Mapa final'!$R$60),"")</f>
        <v/>
      </c>
      <c r="AI37" s="41" t="str">
        <f>IF(AND('Mapa final'!$AH$55="Media",'Mapa final'!$AJ$55="Catastrófico"),CONCATENATE("R2C",'Mapa final'!$R$55),"")</f>
        <v/>
      </c>
      <c r="AJ37" s="42" t="str">
        <f>IF(AND('Mapa final'!$AH$56="Media",'Mapa final'!$AJ$56="Catastrófico"),CONCATENATE("R2C",'Mapa final'!$R$56),"")</f>
        <v/>
      </c>
      <c r="AK37" s="42" t="str">
        <f>IF(AND('Mapa final'!$AH$57="Media",'Mapa final'!$AJ$57="Catastrófico"),CONCATENATE("R2C",'Mapa final'!$R$57),"")</f>
        <v/>
      </c>
      <c r="AL37" s="42" t="str">
        <f>IF(AND('Mapa final'!$AH$58="Media",'Mapa final'!$AJ$58="Catastrófico"),CONCATENATE("R2C",'Mapa final'!$R$58),"")</f>
        <v/>
      </c>
      <c r="AM37" s="42" t="str">
        <f>IF(AND('Mapa final'!$AH$59="Media",'Mapa final'!$AJ$59="Catastrófico"),CONCATENATE("R2C",'Mapa final'!$R$59),"")</f>
        <v/>
      </c>
      <c r="AN37" s="43" t="str">
        <f>IF(AND('Mapa final'!$AH$70="Media",'Mapa final'!$AJ$60="Catastrófico"),CONCATENATE("R2C",'Mapa final'!$R$60),"")</f>
        <v/>
      </c>
      <c r="AO37" s="68"/>
      <c r="AP37" s="530"/>
      <c r="AQ37" s="531"/>
      <c r="AR37" s="531"/>
      <c r="AS37" s="531"/>
      <c r="AT37" s="531"/>
      <c r="AU37" s="532"/>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row>
    <row r="38" spans="2:77" ht="15" customHeight="1">
      <c r="B38" s="68"/>
      <c r="C38" s="446"/>
      <c r="D38" s="446"/>
      <c r="E38" s="447"/>
      <c r="F38" s="489"/>
      <c r="G38" s="490"/>
      <c r="H38" s="490"/>
      <c r="I38" s="490"/>
      <c r="J38" s="491"/>
      <c r="K38" s="53" t="str">
        <f>IF(AND('Mapa final'!$AH$61="Media",'Mapa final'!$AJ$61="Leve"),CONCATENATE("R2C",'Mapa final'!$R$61),"")</f>
        <v/>
      </c>
      <c r="L38" s="54" t="str">
        <f>IF(AND('Mapa final'!$AH$62="Media",'Mapa final'!$AJ$62="Leve"),CONCATENATE("R2C",'Mapa final'!$R$62),"")</f>
        <v/>
      </c>
      <c r="M38" s="54" t="str">
        <f>IF(AND('Mapa final'!$AH$63="Media",'Mapa final'!$AJ$63="Leve"),CONCATENATE("R2C",'Mapa final'!$R$63),"")</f>
        <v/>
      </c>
      <c r="N38" s="54" t="str">
        <f>IF(AND('Mapa final'!$AH$64="Media",'Mapa final'!$AJ$64="Leve"),CONCATENATE("R2C",'Mapa final'!$R$64),"")</f>
        <v/>
      </c>
      <c r="O38" s="54" t="str">
        <f>IF(AND('Mapa final'!$AH$65="Media",'Mapa final'!$AJ$65="Leve"),CONCATENATE("R2C",'Mapa final'!$R$65),"")</f>
        <v/>
      </c>
      <c r="P38" s="55" t="str">
        <f>IF(AND('Mapa final'!$AH$66="Media",'Mapa final'!$AJ$66="Leve"),CONCATENATE("R2C",'Mapa final'!$R$66),"")</f>
        <v/>
      </c>
      <c r="Q38" s="53" t="str">
        <f>IF(AND('Mapa final'!$AH$61="Media",'Mapa final'!$AJ$61="Menor"),CONCATENATE("R2C",'Mapa final'!$R$61),"")</f>
        <v/>
      </c>
      <c r="R38" s="54" t="str">
        <f>IF(AND('Mapa final'!$AH$62="Media",'Mapa final'!$AJ$62="Menor"),CONCATENATE("R2C",'Mapa final'!$R$62),"")</f>
        <v/>
      </c>
      <c r="S38" s="54" t="str">
        <f>IF(AND('Mapa final'!$AH$63="Media",'Mapa final'!$AJ$63="Menor"),CONCATENATE("R2C",'Mapa final'!$R$63),"")</f>
        <v/>
      </c>
      <c r="T38" s="54" t="str">
        <f>IF(AND('Mapa final'!$AH$64="Media",'Mapa final'!$AJ$64="Menor"),CONCATENATE("R2C",'Mapa final'!$R$64),"")</f>
        <v/>
      </c>
      <c r="U38" s="54" t="str">
        <f>IF(AND('Mapa final'!$AH$65="Media",'Mapa final'!$AJ$65="Menor"),CONCATENATE("R2C",'Mapa final'!$R$65),"")</f>
        <v/>
      </c>
      <c r="V38" s="55" t="str">
        <f>IF(AND('Mapa final'!$AH$66="Media",'Mapa final'!$AJ$66="Menor"),CONCATENATE("R2C",'Mapa final'!$R$66),"")</f>
        <v/>
      </c>
      <c r="W38" s="53" t="str">
        <f>IF(AND('Mapa final'!$AH$61="Media",'Mapa final'!$AJ$61="Moderado"),CONCATENATE("R2C",'Mapa final'!$R$61),"")</f>
        <v/>
      </c>
      <c r="X38" s="54" t="str">
        <f>IF(AND('Mapa final'!$AH$62="Media",'Mapa final'!$AJ$62="Moderado"),CONCATENATE("R2C",'Mapa final'!$R$62),"")</f>
        <v/>
      </c>
      <c r="Y38" s="54" t="str">
        <f>IF(AND('Mapa final'!$AH$63="Media",'Mapa final'!$AJ$63="Moderado"),CONCATENATE("R2C",'Mapa final'!$R$63),"")</f>
        <v/>
      </c>
      <c r="Z38" s="54" t="str">
        <f>IF(AND('Mapa final'!$AH$64="Media",'Mapa final'!$AJ$64="Moderado"),CONCATENATE("R2C",'Mapa final'!$R$64),"")</f>
        <v/>
      </c>
      <c r="AA38" s="54" t="str">
        <f>IF(AND('Mapa final'!$AH$65="Media",'Mapa final'!$AJ$65="Moderado"),CONCATENATE("R2C",'Mapa final'!$R$65),"")</f>
        <v/>
      </c>
      <c r="AB38" s="55" t="str">
        <f>IF(AND('Mapa final'!$AH$66="Media",'Mapa final'!$AJ$66="Moderado"),CONCATENATE("R2C",'Mapa final'!$R$66),"")</f>
        <v/>
      </c>
      <c r="AC38" s="38" t="str">
        <f>IF(AND('Mapa final'!$AH$61="Media",'Mapa final'!$AJ$61="Mayor"),CONCATENATE("R2C",'Mapa final'!$R$61),"")</f>
        <v/>
      </c>
      <c r="AD38" s="39" t="str">
        <f>IF(AND('Mapa final'!$AH$62="Media",'Mapa final'!$AJ$62="Mayor"),CONCATENATE("R2C",'Mapa final'!$R$62),"")</f>
        <v/>
      </c>
      <c r="AE38" s="39" t="str">
        <f>IF(AND('Mapa final'!$AH$63="Media",'Mapa final'!$AJ$63="Mayor"),CONCATENATE("R2C",'Mapa final'!$R$63),"")</f>
        <v/>
      </c>
      <c r="AF38" s="39" t="str">
        <f>IF(AND('Mapa final'!$AH$64="Media",'Mapa final'!$AJ$64="Mayor"),CONCATENATE("R2C",'Mapa final'!$R$64),"")</f>
        <v/>
      </c>
      <c r="AG38" s="39" t="str">
        <f>IF(AND('Mapa final'!$AH$65="Media",'Mapa final'!$AJ$65="Mayor"),CONCATENATE("R2C",'Mapa final'!$R$65),"")</f>
        <v/>
      </c>
      <c r="AH38" s="40" t="str">
        <f>IF(AND('Mapa final'!$AH$66="Media",'Mapa final'!$AJ$66="Mayor"),CONCATENATE("R2C",'Mapa final'!$R$66),"")</f>
        <v/>
      </c>
      <c r="AI38" s="41" t="str">
        <f>IF(AND('Mapa final'!$AH$61="Media",'Mapa final'!$AJ$61="Catastrófico"),CONCATENATE("R2C",'Mapa final'!$R$61),"")</f>
        <v/>
      </c>
      <c r="AJ38" s="42" t="str">
        <f>IF(AND('Mapa final'!$AH$62="Media",'Mapa final'!$AJ$62="Catastrófico"),CONCATENATE("R2C",'Mapa final'!$R$62),"")</f>
        <v/>
      </c>
      <c r="AK38" s="42" t="str">
        <f>IF(AND('Mapa final'!$AH$63="Media",'Mapa final'!$AJ$63="Catastrófico"),CONCATENATE("R2C",'Mapa final'!$R$63),"")</f>
        <v/>
      </c>
      <c r="AL38" s="42" t="str">
        <f>IF(AND('Mapa final'!$AH$64="Media",'Mapa final'!$AJ$64="Catastrófico"),CONCATENATE("R2C",'Mapa final'!$R$64),"")</f>
        <v/>
      </c>
      <c r="AM38" s="42" t="str">
        <f>IF(AND('Mapa final'!$AH$65="Media",'Mapa final'!$AJ$65="Catastrófico"),CONCATENATE("R2C",'Mapa final'!$R$65),"")</f>
        <v/>
      </c>
      <c r="AN38" s="43" t="str">
        <f>IF(AND('Mapa final'!$AH$66="Media",'Mapa final'!$AJ$66="Catastrófico"),CONCATENATE("R2C",'Mapa final'!$R$66),"")</f>
        <v/>
      </c>
      <c r="AO38" s="68"/>
      <c r="AP38" s="530"/>
      <c r="AQ38" s="531"/>
      <c r="AR38" s="531"/>
      <c r="AS38" s="531"/>
      <c r="AT38" s="531"/>
      <c r="AU38" s="532"/>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row>
    <row r="39" spans="2:77" ht="15" customHeight="1">
      <c r="B39" s="68"/>
      <c r="C39" s="446"/>
      <c r="D39" s="446"/>
      <c r="E39" s="447"/>
      <c r="F39" s="489"/>
      <c r="G39" s="490"/>
      <c r="H39" s="490"/>
      <c r="I39" s="490"/>
      <c r="J39" s="491"/>
      <c r="K39" s="53" t="str">
        <f>IF(AND('Mapa final'!$AH$67="Media",'Mapa final'!$AJ$67="Leve"),CONCATENATE("R2C",'Mapa final'!$R$67),"")</f>
        <v/>
      </c>
      <c r="L39" s="54" t="str">
        <f>IF(AND('Mapa final'!$AH$68="Media",'Mapa final'!$AJ$68="Leve"),CONCATENATE("R2C",'Mapa final'!$R$68),"")</f>
        <v/>
      </c>
      <c r="M39" s="54" t="str">
        <f>IF(AND('Mapa final'!$AH$69="Media",'Mapa final'!$AJ$69="Leve"),CONCATENATE("R2C",'Mapa final'!$R$69),"")</f>
        <v/>
      </c>
      <c r="N39" s="54" t="str">
        <f>IF(AND('Mapa final'!$AH$70="Media",'Mapa final'!$AJ$70="Leve"),CONCATENATE("R2C",'Mapa final'!$R$70),"")</f>
        <v/>
      </c>
      <c r="O39" s="54" t="str">
        <f>IF(AND('Mapa final'!$AH$71="Media",'Mapa final'!$AJ$71="Leve"),CONCATENATE("R2C",'Mapa final'!$R$71),"")</f>
        <v/>
      </c>
      <c r="P39" s="55" t="str">
        <f>IF(AND('Mapa final'!$AH$72="Media",'Mapa final'!$AJ$72="Leve"),CONCATENATE("R2C",'Mapa final'!$R$72),"")</f>
        <v/>
      </c>
      <c r="Q39" s="53" t="str">
        <f>IF(AND('Mapa final'!$AH$67="Media",'Mapa final'!$AJ$67="Menor"),CONCATENATE("R2C",'Mapa final'!$R$67),"")</f>
        <v/>
      </c>
      <c r="R39" s="54" t="str">
        <f>IF(AND('Mapa final'!$AH$68="Media",'Mapa final'!$AJ$68="Menor"),CONCATENATE("R2C",'Mapa final'!$R$68),"")</f>
        <v/>
      </c>
      <c r="S39" s="54" t="str">
        <f>IF(AND('Mapa final'!$AH$69="Media",'Mapa final'!$AJ$69="Menor"),CONCATENATE("R2C",'Mapa final'!$R$69),"")</f>
        <v/>
      </c>
      <c r="T39" s="54" t="str">
        <f>IF(AND('Mapa final'!$AH$70="Media",'Mapa final'!$AJ$70="Menor"),CONCATENATE("R2C",'Mapa final'!$R$70),"")</f>
        <v/>
      </c>
      <c r="U39" s="54" t="str">
        <f>IF(AND('Mapa final'!$AH$71="Media",'Mapa final'!$AJ$71="Menor"),CONCATENATE("R2C",'Mapa final'!$R$71),"")</f>
        <v/>
      </c>
      <c r="V39" s="55" t="str">
        <f>IF(AND('Mapa final'!$AH$72="Media",'Mapa final'!$AJ$72="Menor"),CONCATENATE("R2C",'Mapa final'!$R$72),"")</f>
        <v/>
      </c>
      <c r="W39" s="53" t="str">
        <f>IF(AND('Mapa final'!$AH$67="Media",'Mapa final'!$AJ$67="Moderado"),CONCATENATE("R2C",'Mapa final'!$R$67),"")</f>
        <v/>
      </c>
      <c r="X39" s="54" t="str">
        <f>IF(AND('Mapa final'!$AH$68="Media",'Mapa final'!$AJ$68="Moderado"),CONCATENATE("R2C",'Mapa final'!$R$68),"")</f>
        <v/>
      </c>
      <c r="Y39" s="54" t="str">
        <f>IF(AND('Mapa final'!$AH$69="Media",'Mapa final'!$AJ$69="Moderado"),CONCATENATE("R2C",'Mapa final'!$R$69),"")</f>
        <v/>
      </c>
      <c r="Z39" s="54" t="str">
        <f>IF(AND('Mapa final'!$AH$70="Media",'Mapa final'!$AJ$70="Moderado"),CONCATENATE("R2C",'Mapa final'!$R$70),"")</f>
        <v/>
      </c>
      <c r="AA39" s="54" t="str">
        <f>IF(AND('Mapa final'!$AH$71="Media",'Mapa final'!$AJ$71="Moderado"),CONCATENATE("R2C",'Mapa final'!$R$71),"")</f>
        <v/>
      </c>
      <c r="AB39" s="55" t="str">
        <f>IF(AND('Mapa final'!$AH$72="Media",'Mapa final'!$AJ$72="Moderado"),CONCATENATE("R2C",'Mapa final'!$R$72),"")</f>
        <v/>
      </c>
      <c r="AC39" s="38" t="str">
        <f>IF(AND('Mapa final'!$AH$67="Media",'Mapa final'!$AJ$67="Mayor"),CONCATENATE("R2C",'Mapa final'!$R$67),"")</f>
        <v/>
      </c>
      <c r="AD39" s="39" t="str">
        <f>IF(AND('Mapa final'!$AH$68="Media",'Mapa final'!$AJ$68="Mayor"),CONCATENATE("R2C",'Mapa final'!$R$68),"")</f>
        <v/>
      </c>
      <c r="AE39" s="39" t="str">
        <f>IF(AND('Mapa final'!$AH$69="Media",'Mapa final'!$AJ$69="Mayor"),CONCATENATE("R2C",'Mapa final'!$R$69),"")</f>
        <v/>
      </c>
      <c r="AF39" s="39" t="str">
        <f>IF(AND('Mapa final'!$AH$70="Media",'Mapa final'!$AJ$70="Mayor"),CONCATENATE("R2C",'Mapa final'!$R$70),"")</f>
        <v/>
      </c>
      <c r="AG39" s="39" t="str">
        <f>IF(AND('Mapa final'!$AH$71="Media",'Mapa final'!$AJ$71="Mayor"),CONCATENATE("R2C",'Mapa final'!$R$71),"")</f>
        <v/>
      </c>
      <c r="AH39" s="40" t="str">
        <f>IF(AND('Mapa final'!$AH$72="Media",'Mapa final'!$AJ$72="Mayor"),CONCATENATE("R2C",'Mapa final'!$R$72),"")</f>
        <v/>
      </c>
      <c r="AI39" s="41" t="str">
        <f>IF(AND('Mapa final'!$AH$67="Media",'Mapa final'!$AJ$67="Catastrófico"),CONCATENATE("R2C",'Mapa final'!$R$67),"")</f>
        <v/>
      </c>
      <c r="AJ39" s="42" t="str">
        <f>IF(AND('Mapa final'!$AH$68="Media",'Mapa final'!$AJ$68="Catastrófico"),CONCATENATE("R2C",'Mapa final'!$R$68),"")</f>
        <v/>
      </c>
      <c r="AK39" s="42" t="str">
        <f>IF(AND('Mapa final'!$AH$69="Media",'Mapa final'!$AJ$69="Catastrófico"),CONCATENATE("R2C",'Mapa final'!$R$69),"")</f>
        <v/>
      </c>
      <c r="AL39" s="42" t="str">
        <f>IF(AND('Mapa final'!$AH$70="Media",'Mapa final'!$AJ$70="Catastrófico"),CONCATENATE("R2C",'Mapa final'!$R$70),"")</f>
        <v/>
      </c>
      <c r="AM39" s="42" t="str">
        <f>IF(AND('Mapa final'!$AH$71="Media",'Mapa final'!$AJ$71="Catastrófico"),CONCATENATE("R2C",'Mapa final'!$R$71),"")</f>
        <v/>
      </c>
      <c r="AN39" s="43" t="str">
        <f>IF(AND('Mapa final'!$AH$72="Media",'Mapa final'!$AJ$72="Catastrófico"),CONCATENATE("R2C",'Mapa final'!$R$72),"")</f>
        <v/>
      </c>
      <c r="AO39" s="68"/>
      <c r="AP39" s="530"/>
      <c r="AQ39" s="531"/>
      <c r="AR39" s="531"/>
      <c r="AS39" s="531"/>
      <c r="AT39" s="531"/>
      <c r="AU39" s="532"/>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row>
    <row r="40" spans="2:77" ht="15" customHeight="1">
      <c r="B40" s="68"/>
      <c r="C40" s="446"/>
      <c r="D40" s="446"/>
      <c r="E40" s="447"/>
      <c r="F40" s="489"/>
      <c r="G40" s="490"/>
      <c r="H40" s="490"/>
      <c r="I40" s="490"/>
      <c r="J40" s="491"/>
      <c r="K40" s="53" t="str">
        <f>IF(AND('Mapa final'!$AH$73="Media",'Mapa final'!$AJ$73="Leve"),CONCATENATE("R2C",'Mapa final'!$R$73),"")</f>
        <v/>
      </c>
      <c r="L40" s="54" t="str">
        <f>IF(AND('Mapa final'!$AH$74="Media",'Mapa final'!$AJ$74="Leve"),CONCATENATE("R2C",'Mapa final'!$R$74),"")</f>
        <v/>
      </c>
      <c r="M40" s="54" t="str">
        <f>IF(AND('Mapa final'!$AH$75="Media",'Mapa final'!$AJ$75="Leve"),CONCATENATE("R2C",'Mapa final'!$R$75),"")</f>
        <v/>
      </c>
      <c r="N40" s="54" t="str">
        <f>IF(AND('Mapa final'!$AH$76="Media",'Mapa final'!$AJ$76="Leve"),CONCATENATE("R2C",'Mapa final'!$R$76),"")</f>
        <v/>
      </c>
      <c r="O40" s="54" t="str">
        <f>IF(AND('Mapa final'!$AH$77="Media",'Mapa final'!$AJ$77="Leve"),CONCATENATE("R2C",'Mapa final'!$R$77),"")</f>
        <v/>
      </c>
      <c r="P40" s="55" t="str">
        <f>IF(AND('Mapa final'!$AH$78="Media",'Mapa final'!$AJ$78="Leve"),CONCATENATE("R2C",'Mapa final'!$R$78),"")</f>
        <v/>
      </c>
      <c r="Q40" s="53" t="str">
        <f>IF(AND('Mapa final'!$AH$73="Media",'Mapa final'!$AJ$73="Menor"),CONCATENATE("R2C",'Mapa final'!$R$73),"")</f>
        <v/>
      </c>
      <c r="R40" s="54" t="str">
        <f>IF(AND('Mapa final'!$AH$74="Media",'Mapa final'!$AJ$74="Menor"),CONCATENATE("R2C",'Mapa final'!$R$74),"")</f>
        <v/>
      </c>
      <c r="S40" s="54" t="str">
        <f>IF(AND('Mapa final'!$AH$75="Media",'Mapa final'!$AJ$75="Menor"),CONCATENATE("R2C",'Mapa final'!$R$75),"")</f>
        <v/>
      </c>
      <c r="T40" s="54" t="str">
        <f>IF(AND('Mapa final'!$AH$76="Media",'Mapa final'!$AJ$76="Menor"),CONCATENATE("R2C",'Mapa final'!$R$76),"")</f>
        <v/>
      </c>
      <c r="U40" s="54" t="str">
        <f>IF(AND('Mapa final'!$AH$77="Media",'Mapa final'!$AJ$77="Menor"),CONCATENATE("R2C",'Mapa final'!$R$77),"")</f>
        <v/>
      </c>
      <c r="V40" s="55" t="str">
        <f>IF(AND('Mapa final'!$AH$78="Media",'Mapa final'!$AJ$78="Menor"),CONCATENATE("R2C",'Mapa final'!$R$78),"")</f>
        <v/>
      </c>
      <c r="W40" s="53" t="str">
        <f>IF(AND('Mapa final'!$AH$73="Media",'Mapa final'!$AJ$73="Moderado"),CONCATENATE("R2C",'Mapa final'!$R$73),"")</f>
        <v/>
      </c>
      <c r="X40" s="54" t="str">
        <f>IF(AND('Mapa final'!$AH$74="Media",'Mapa final'!$AJ$74="Moderado"),CONCATENATE("R2C",'Mapa final'!$R$74),"")</f>
        <v/>
      </c>
      <c r="Y40" s="54" t="str">
        <f>IF(AND('Mapa final'!$AH$75="Media",'Mapa final'!$AJ$75="Moderado"),CONCATENATE("R2C",'Mapa final'!$R$75),"")</f>
        <v/>
      </c>
      <c r="Z40" s="54" t="str">
        <f>IF(AND('Mapa final'!$AH$76="Media",'Mapa final'!$AJ$76="Moderado"),CONCATENATE("R2C",'Mapa final'!$R$76),"")</f>
        <v/>
      </c>
      <c r="AA40" s="54" t="str">
        <f>IF(AND('Mapa final'!$AH$77="Media",'Mapa final'!$AJ$77="Moderado"),CONCATENATE("R2C",'Mapa final'!$R$77),"")</f>
        <v/>
      </c>
      <c r="AB40" s="55" t="str">
        <f>IF(AND('Mapa final'!$AH$78="Media",'Mapa final'!$AJ$78="Moderado"),CONCATENATE("R2C",'Mapa final'!$R$78),"")</f>
        <v/>
      </c>
      <c r="AC40" s="38" t="str">
        <f>IF(AND('Mapa final'!$AH$73="Media",'Mapa final'!$AJ$73="Mayor"),CONCATENATE("R2C",'Mapa final'!$R$73),"")</f>
        <v/>
      </c>
      <c r="AD40" s="39" t="str">
        <f>IF(AND('Mapa final'!$AH$74="Media",'Mapa final'!$AJ$74="Mayor"),CONCATENATE("R2C",'Mapa final'!$R$74),"")</f>
        <v/>
      </c>
      <c r="AE40" s="39" t="str">
        <f>IF(AND('Mapa final'!$AH$75="Media",'Mapa final'!$AJ$75="Mayor"),CONCATENATE("R2C",'Mapa final'!$R$75),"")</f>
        <v/>
      </c>
      <c r="AF40" s="39" t="str">
        <f>IF(AND('Mapa final'!$AH$76="Media",'Mapa final'!$AJ$76="Mayor"),CONCATENATE("R2C",'Mapa final'!$R$76),"")</f>
        <v/>
      </c>
      <c r="AG40" s="39" t="str">
        <f>IF(AND('Mapa final'!$AH$77="Media",'Mapa final'!$AJ$77="Mayor"),CONCATENATE("R2C",'Mapa final'!$R$77),"")</f>
        <v/>
      </c>
      <c r="AH40" s="40" t="str">
        <f>IF(AND('Mapa final'!$AH$78="Media",'Mapa final'!$AJ$78="Mayor"),CONCATENATE("R2C",'Mapa final'!$R$78),"")</f>
        <v/>
      </c>
      <c r="AI40" s="41" t="str">
        <f>IF(AND('Mapa final'!$AH$73="Media",'Mapa final'!$AJ$73="Catastrófico"),CONCATENATE("R2C",'Mapa final'!$R$73),"")</f>
        <v/>
      </c>
      <c r="AJ40" s="42" t="str">
        <f>IF(AND('Mapa final'!$AH$74="Media",'Mapa final'!$AJ$74="Catastrófico"),CONCATENATE("R2C",'Mapa final'!$R$74),"")</f>
        <v/>
      </c>
      <c r="AK40" s="42" t="str">
        <f>IF(AND('Mapa final'!$AH$75="Media",'Mapa final'!$AJ$75="Catastrófico"),CONCATENATE("R2C",'Mapa final'!$R$75),"")</f>
        <v/>
      </c>
      <c r="AL40" s="42" t="str">
        <f>IF(AND('Mapa final'!$AH$76="Media",'Mapa final'!$AJ$76="Catastrófico"),CONCATENATE("R2C",'Mapa final'!$R$76),"")</f>
        <v/>
      </c>
      <c r="AM40" s="42" t="str">
        <f>IF(AND('Mapa final'!$AH$77="Media",'Mapa final'!$AJ$77="Catastrófico"),CONCATENATE("R2C",'Mapa final'!$R$77),"")</f>
        <v/>
      </c>
      <c r="AN40" s="43" t="str">
        <f>IF(AND('Mapa final'!$AH$78="Media",'Mapa final'!$AJ$78="Catastrófico"),CONCATENATE("R2C",'Mapa final'!$R$78),"")</f>
        <v/>
      </c>
      <c r="AO40" s="68"/>
      <c r="AP40" s="530"/>
      <c r="AQ40" s="531"/>
      <c r="AR40" s="531"/>
      <c r="AS40" s="531"/>
      <c r="AT40" s="531"/>
      <c r="AU40" s="532"/>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row>
    <row r="41" spans="2:77" ht="15.75" customHeight="1" thickBot="1">
      <c r="B41" s="68"/>
      <c r="C41" s="446"/>
      <c r="D41" s="446"/>
      <c r="E41" s="447"/>
      <c r="F41" s="492"/>
      <c r="G41" s="493"/>
      <c r="H41" s="493"/>
      <c r="I41" s="493"/>
      <c r="J41" s="494"/>
      <c r="K41" s="53" t="str">
        <f>IF(AND('Mapa final'!$AH$79="Media",'Mapa final'!$AJ$79="Leve"),CONCATENATE("R2C",'Mapa final'!$R$79),"")</f>
        <v/>
      </c>
      <c r="L41" s="54" t="str">
        <f>IF(AND('Mapa final'!$AH$80="Media",'Mapa final'!$AJ$80="Leve"),CONCATENATE("R2C",'Mapa final'!$R$80),"")</f>
        <v/>
      </c>
      <c r="M41" s="54" t="str">
        <f>IF(AND('Mapa final'!$AH$81="Media",'Mapa final'!$AJ$81="Leve"),CONCATENATE("R2C",'Mapa final'!$R$81),"")</f>
        <v/>
      </c>
      <c r="N41" s="54" t="str">
        <f>IF(AND('Mapa final'!$AH$82="Media",'Mapa final'!$AJ$82="Leve"),CONCATENATE("R2C",'Mapa final'!$R$82),"")</f>
        <v/>
      </c>
      <c r="O41" s="54" t="str">
        <f>IF(AND('Mapa final'!$AH$84="Media",'Mapa final'!$AJ$84="Leve"),CONCATENATE("R2C",'Mapa final'!$R$84),"")</f>
        <v/>
      </c>
      <c r="P41" s="55" t="str">
        <f>IF(AND('Mapa final'!$AH$85="Media",'Mapa final'!$AJ$85="Leve"),CONCATENATE("R2C",'Mapa final'!$R$85),"")</f>
        <v/>
      </c>
      <c r="Q41" s="53" t="str">
        <f>IF(AND('Mapa final'!$AH$79="Media",'Mapa final'!$AJ$79="Menor"),CONCATENATE("R2C",'Mapa final'!$R$79),"")</f>
        <v/>
      </c>
      <c r="R41" s="54" t="str">
        <f>IF(AND('Mapa final'!$AH$80="Media",'Mapa final'!$AJ$80="Menor"),CONCATENATE("R2C",'Mapa final'!$R$80),"")</f>
        <v/>
      </c>
      <c r="S41" s="54" t="str">
        <f>IF(AND('Mapa final'!$AH$81="Media",'Mapa final'!$AJ$81="Menor"),CONCATENATE("R2C",'Mapa final'!$R$81),"")</f>
        <v/>
      </c>
      <c r="T41" s="54" t="str">
        <f>IF(AND('Mapa final'!$AH$82="Media",'Mapa final'!$AJ$82="Menor"),CONCATENATE("R2C",'Mapa final'!$R$82),"")</f>
        <v/>
      </c>
      <c r="U41" s="54" t="str">
        <f>IF(AND('Mapa final'!$AH$84="Media",'Mapa final'!$AJ$84="Menor"),CONCATENATE("R2C",'Mapa final'!$R$84),"")</f>
        <v/>
      </c>
      <c r="V41" s="55" t="str">
        <f>IF(AND('Mapa final'!$AH$85="Media",'Mapa final'!$AJ$85="Menor"),CONCATENATE("R2C",'Mapa final'!$R$85),"")</f>
        <v/>
      </c>
      <c r="W41" s="53" t="str">
        <f>IF(AND('Mapa final'!$AH$79="Media",'Mapa final'!$AJ$79="Moderado"),CONCATENATE("R2C",'Mapa final'!$R$79),"")</f>
        <v/>
      </c>
      <c r="X41" s="54" t="str">
        <f>IF(AND('Mapa final'!$AH$80="Media",'Mapa final'!$AJ$80="Moderado"),CONCATENATE("R2C",'Mapa final'!$R$80),"")</f>
        <v/>
      </c>
      <c r="Y41" s="54" t="str">
        <f>IF(AND('Mapa final'!$AH$81="Media",'Mapa final'!$AJ$81="Moderado"),CONCATENATE("R2C",'Mapa final'!$R$81),"")</f>
        <v/>
      </c>
      <c r="Z41" s="54" t="str">
        <f>IF(AND('Mapa final'!$AH$82="Media",'Mapa final'!$AJ$82="Moderado"),CONCATENATE("R2C",'Mapa final'!$R$82),"")</f>
        <v/>
      </c>
      <c r="AA41" s="54" t="str">
        <f>IF(AND('Mapa final'!$AH$84="Media",'Mapa final'!$AJ$84="Moderado"),CONCATENATE("R2C",'Mapa final'!$R$84),"")</f>
        <v/>
      </c>
      <c r="AB41" s="55" t="str">
        <f>IF(AND('Mapa final'!$AH$85="Media",'Mapa final'!$AJ$85="Moderado"),CONCATENATE("R2C",'Mapa final'!$R$85),"")</f>
        <v/>
      </c>
      <c r="AC41" s="44" t="str">
        <f>IF(AND('Mapa final'!$AH$79="Media",'Mapa final'!$AJ$79="Mayor"),CONCATENATE("R2C",'Mapa final'!$R$79),"")</f>
        <v/>
      </c>
      <c r="AD41" s="45" t="str">
        <f>IF(AND('Mapa final'!$AH$80="Media",'Mapa final'!$AJ$80="Mayor"),CONCATENATE("R2C",'Mapa final'!$R$80),"")</f>
        <v/>
      </c>
      <c r="AE41" s="45" t="str">
        <f>IF(AND('Mapa final'!$AH$81="Media",'Mapa final'!$AJ$81="Mayor"),CONCATENATE("R2C",'Mapa final'!$R$81),"")</f>
        <v/>
      </c>
      <c r="AF41" s="45" t="str">
        <f>IF(AND('Mapa final'!$AH$82="Media",'Mapa final'!$AJ$82="Mayor"),CONCATENATE("R2C",'Mapa final'!$R$82),"")</f>
        <v/>
      </c>
      <c r="AG41" s="45" t="str">
        <f>IF(AND('Mapa final'!$AH$84="Media",'Mapa final'!$AJ$84="Mayor"),CONCATENATE("R2C",'Mapa final'!$R$84),"")</f>
        <v/>
      </c>
      <c r="AH41" s="46" t="str">
        <f>IF(AND('Mapa final'!$AH$85="Media",'Mapa final'!$AJ$85="Mayor"),CONCATENATE("R2C",'Mapa final'!$R$85),"")</f>
        <v/>
      </c>
      <c r="AI41" s="47" t="str">
        <f>IF(AND('Mapa final'!$AH$79="Media",'Mapa final'!$AJ$79="Catastrófico"),CONCATENATE("R2C",'Mapa final'!$R$79),"")</f>
        <v/>
      </c>
      <c r="AJ41" s="48" t="str">
        <f>IF(AND('Mapa final'!$AH$80="Media",'Mapa final'!$AJ$80="Catastrófico"),CONCATENATE("R2C",'Mapa final'!$R$80),"")</f>
        <v/>
      </c>
      <c r="AK41" s="48" t="str">
        <f>IF(AND('Mapa final'!$AH$81="Media",'Mapa final'!$AJ$81="Catastrófico"),CONCATENATE("R2C",'Mapa final'!$R$81),"")</f>
        <v/>
      </c>
      <c r="AL41" s="48" t="str">
        <f>IF(AND('Mapa final'!$AH$82="Media",'Mapa final'!$AJ$82="Catastrófico"),CONCATENATE("R2C",'Mapa final'!$R$82),"")</f>
        <v/>
      </c>
      <c r="AM41" s="48" t="str">
        <f>IF(AND('Mapa final'!$AH$84="Media",'Mapa final'!$AJ$84="Catastrófico"),CONCATENATE("R2C",'Mapa final'!$R$84),"")</f>
        <v/>
      </c>
      <c r="AN41" s="49" t="str">
        <f>IF(AND('Mapa final'!$AH$85="Muy Alta",'Mapa final'!$AJ$85="Catastrófico"),CONCATENATE("R2C",'Mapa final'!$R$85),"")</f>
        <v/>
      </c>
      <c r="AO41" s="68"/>
      <c r="AP41" s="533"/>
      <c r="AQ41" s="534"/>
      <c r="AR41" s="534"/>
      <c r="AS41" s="534"/>
      <c r="AT41" s="534"/>
      <c r="AU41" s="535"/>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row>
    <row r="42" spans="2:77" ht="15" customHeight="1">
      <c r="B42" s="68"/>
      <c r="C42" s="446"/>
      <c r="D42" s="446"/>
      <c r="E42" s="447"/>
      <c r="F42" s="486" t="s">
        <v>336</v>
      </c>
      <c r="G42" s="487"/>
      <c r="H42" s="487"/>
      <c r="I42" s="487"/>
      <c r="J42" s="487"/>
      <c r="K42" s="59"/>
      <c r="L42" s="60" t="str">
        <f>IF(AND('Mapa final'!$AH$16="Baja",'Mapa final'!$AJ$16="Leve"),CONCATENATE("R2C",'Mapa final'!$R$15),"")</f>
        <v/>
      </c>
      <c r="M42" s="60" t="str">
        <f>IF(AND('Mapa final'!$AH$17="Baja",'Mapa final'!$AJ$17="Leve"),CONCATENATE("R2C",'Mapa final'!$R$17),"")</f>
        <v/>
      </c>
      <c r="N42" s="60" t="str">
        <f>IF(AND('Mapa final'!$AH$20="Baja",'Mapa final'!$AJ$20="Leve"),CONCATENATE("R2C",'Mapa final'!$R$20),"")</f>
        <v/>
      </c>
      <c r="O42" s="60" t="str">
        <f>IF(AND('Mapa final'!$AH$21="Baja",'Mapa final'!$AJ$21="Leve"),CONCATENATE("R2C",'Mapa final'!$R$21),"")</f>
        <v/>
      </c>
      <c r="P42" s="61" t="str">
        <f>IF(AND('Mapa final'!$AH$22="Baja",'Mapa final'!$AJ$22="Leve"),CONCATENATE("R2C",'Mapa final'!$R$22),"")</f>
        <v/>
      </c>
      <c r="Q42" s="50"/>
      <c r="R42" s="51" t="str">
        <f>IF(AND('Mapa final'!$AH$16="Baja",'Mapa final'!$AJ$16="Menore"),CONCATENATE("R2C",'Mapa final'!$R$15),"")</f>
        <v/>
      </c>
      <c r="S42" s="51" t="str">
        <f>IF(AND('Mapa final'!$AH$17="Baja",'Mapa final'!$AJ$17="Menor"),CONCATENATE("R2C",'Mapa final'!$R$17),"")</f>
        <v/>
      </c>
      <c r="T42" s="51" t="str">
        <f>IF(AND('Mapa final'!$AH$20="Baja",'Mapa final'!$AJ$20="Menor"),CONCATENATE("R2C",'Mapa final'!$R$20),"")</f>
        <v/>
      </c>
      <c r="U42" s="51" t="str">
        <f>IF(AND('Mapa final'!$AH$21="Baja",'Mapa final'!$AJ$21="Menor"),CONCATENATE("R2C",'Mapa final'!$R$21),"")</f>
        <v/>
      </c>
      <c r="V42" s="52" t="str">
        <f>IF(AND('Mapa final'!$AH$22="Baja",'Mapa final'!$AJ$22="Menor"),CONCATENATE("R2C",'Mapa final'!$R$22),"")</f>
        <v/>
      </c>
      <c r="W42" s="50"/>
      <c r="X42" s="51" t="str">
        <f>IF(AND('Mapa final'!$AH$16="Baja",'Mapa final'!$AJ$16="Moderado"),CONCATENATE("R2C",'Mapa final'!$R$15),"")</f>
        <v/>
      </c>
      <c r="Y42" s="51"/>
      <c r="Z42" s="51" t="str">
        <f>IF(AND('Mapa final'!$AH$20="Baja",'Mapa final'!$AJ$20="Moderado"),CONCATENATE("R2C",'Mapa final'!$D$19),"")</f>
        <v/>
      </c>
      <c r="AA42" s="51" t="str">
        <f>IF(AND('Mapa final'!$AH$21="Baja",'Mapa final'!$AJ$21="Moderado"),CONCATENATE("R2C",'Mapa final'!$R$21),"")</f>
        <v/>
      </c>
      <c r="AB42" s="52" t="str">
        <f>IF(AND('Mapa final'!$AH$22="Baja",'Mapa final'!$AJ$22="Moderado"),CONCATENATE("R2C",'Mapa final'!$R$22),"")</f>
        <v/>
      </c>
      <c r="AC42" s="32"/>
      <c r="AD42" s="33" t="str">
        <f>IF(AND('Mapa final'!$AH$16="Baja",'Mapa final'!$AJ$16="Mayor"),CONCATENATE("R2C",'Mapa final'!$R$15),"")</f>
        <v/>
      </c>
      <c r="AE42" s="33" t="str">
        <f>IF(AND('Mapa final'!$AH$17="Baja",'Mapa final'!$AJ$17="Mayor"),CONCATENATE("R2C",'Mapa final'!$R$17),"")</f>
        <v/>
      </c>
      <c r="AF42" s="33" t="str">
        <f>IF(AND('Mapa final'!$AH$20="Baja",'Mapa final'!$AJ$20="Mayor"),CONCATENATE("R2C",'Mapa final'!$R$20),"")</f>
        <v/>
      </c>
      <c r="AG42" s="33" t="str">
        <f>IF(AND('Mapa final'!$AH$21="Baja",'Mapa final'!$AJ$21="Mayor"),CONCATENATE("R2C",'Mapa final'!$R$21),"")</f>
        <v/>
      </c>
      <c r="AH42" s="34" t="str">
        <f>IF(AND('Mapa final'!$AH$22="Baja",'Mapa final'!$AJ$22="Mayor"),CONCATENATE("R2C",'Mapa final'!$R$22),"")</f>
        <v/>
      </c>
      <c r="AI42" s="35"/>
      <c r="AJ42" s="36" t="str">
        <f>IF(AND('Mapa final'!$AH$16="Baja",'Mapa final'!$AJ$16="Catastrófico"),CONCATENATE("R2C",'Mapa final'!$R$15),"")</f>
        <v/>
      </c>
      <c r="AK42" s="36" t="str">
        <f>IF(AND('Mapa final'!$AH$17="Baja",'Mapa final'!$AJ$17="Catastrófico"),CONCATENATE("R2C",'Mapa final'!$R$17),"")</f>
        <v/>
      </c>
      <c r="AL42" s="36" t="str">
        <f>IF(AND('Mapa final'!$AH$20="Baja",'Mapa final'!$AJ$20="Catastrófico"),CONCATENATE("R2C",'Mapa final'!$R$20),"")</f>
        <v/>
      </c>
      <c r="AM42" s="36" t="str">
        <f>IF(AND('Mapa final'!$AH$21="Baja",'Mapa final'!$AJ$21="Catastrófico"),CONCATENATE("R2C",'Mapa final'!$R$21),"")</f>
        <v/>
      </c>
      <c r="AN42" s="37" t="str">
        <f>IF(AND('Mapa final'!$AH$22="Baja",'Mapa final'!$AJ$22="Catastrófico"),CONCATENATE("R2C",'Mapa final'!$R$22),"")</f>
        <v/>
      </c>
      <c r="AO42" s="68"/>
      <c r="AP42" s="518" t="s">
        <v>337</v>
      </c>
      <c r="AQ42" s="519"/>
      <c r="AR42" s="519"/>
      <c r="AS42" s="519"/>
      <c r="AT42" s="519"/>
      <c r="AU42" s="520"/>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row>
    <row r="43" spans="2:77" ht="15" customHeight="1">
      <c r="B43" s="68"/>
      <c r="C43" s="446"/>
      <c r="D43" s="446"/>
      <c r="E43" s="447"/>
      <c r="F43" s="505"/>
      <c r="G43" s="490"/>
      <c r="H43" s="490"/>
      <c r="I43" s="490"/>
      <c r="J43" s="490"/>
      <c r="K43" s="62" t="str">
        <f>IF(AND('Mapa final'!$AH$23="Baja",'Mapa final'!$AJ$23="Leve"),CONCATENATE("R2C",'Mapa final'!$R$23),"")</f>
        <v/>
      </c>
      <c r="L43" s="63" t="str">
        <f>IF(AND('Mapa final'!$AH$24="Baja",'Mapa final'!$AJ$24="Leve"),CONCATENATE("R2C",'Mapa final'!$R$24),"")</f>
        <v/>
      </c>
      <c r="M43" s="63" t="str">
        <f>IF(AND('Mapa final'!$AH$33="Baja",'Mapa final'!$AJ$33="Leve"),CONCATENATE("R2C",'Mapa final'!$R$33),"")</f>
        <v/>
      </c>
      <c r="N43" s="63" t="str">
        <f>IF(AND('Mapa final'!$AH$34="Baja",'Mapa final'!$AJ$34="Leve"),CONCATENATE("R2C",'Mapa final'!$R$34),"")</f>
        <v/>
      </c>
      <c r="O43" s="63" t="str">
        <f>IF(AND('Mapa final'!$AH$35="Baja",'Mapa final'!$AJ$35="Leve"),CONCATENATE("R2C",'Mapa final'!$R$35),"")</f>
        <v/>
      </c>
      <c r="P43" s="64" t="str">
        <f>IF(AND('Mapa final'!$AH$36="Baja",'Mapa final'!$AJ$36="Leve"),CONCATENATE("R2C",'Mapa final'!$R$36),"")</f>
        <v/>
      </c>
      <c r="Q43" s="53" t="str">
        <f>IF(AND('Mapa final'!$AH$23="Baja",'Mapa final'!$AJ$23="Menor"),CONCATENATE("R2C",'Mapa final'!$R$23),"")</f>
        <v/>
      </c>
      <c r="R43" s="54" t="str">
        <f>IF(AND('Mapa final'!$AH$24="Baja",'Mapa final'!$AJ$24="Menor"),CONCATENATE("R2C",'Mapa final'!$R$24),"")</f>
        <v/>
      </c>
      <c r="S43" s="54" t="str">
        <f>IF(AND('Mapa final'!$AH$33="Baja",'Mapa final'!$AJ$33="Menor"),CONCATENATE("R2C",'Mapa final'!$R$33),"")</f>
        <v/>
      </c>
      <c r="T43" s="54" t="str">
        <f>IF(AND('Mapa final'!$AH$34="Baja",'Mapa final'!$AJ$34="Menor"),CONCATENATE("R2C",'Mapa final'!$R$34),"")</f>
        <v/>
      </c>
      <c r="U43" s="54" t="str">
        <f>IF(AND('Mapa final'!$AH$35="Baja",'Mapa final'!$AJ$35="Menor"),CONCATENATE("R2C",'Mapa final'!$R$35),"")</f>
        <v/>
      </c>
      <c r="V43" s="55" t="str">
        <f>IF(AND('Mapa final'!$AH$36="Baja",'Mapa final'!$AJ$36="Menor"),CONCATENATE("R2C",'Mapa final'!$R$36),"")</f>
        <v/>
      </c>
      <c r="W43" s="53" t="str">
        <f>IF(AND('Mapa final'!$AH$23="Baja",'Mapa final'!$AJ$23="Moderado"),CONCATENATE("R2C",'Mapa final'!$R$23),"")</f>
        <v/>
      </c>
      <c r="X43" s="54" t="str">
        <f>IF(AND('Mapa final'!$AH$24="Baja",'Mapa final'!$AJ$24="Moderado"),CONCATENATE("R2C",'Mapa final'!$R$24),"")</f>
        <v/>
      </c>
      <c r="Y43" s="54" t="str">
        <f>IF(AND('Mapa final'!$AH$33="Baja",'Mapa final'!$AJ$33="Moderado"),CONCATENATE("R2C",'Mapa final'!$R$33),"")</f>
        <v/>
      </c>
      <c r="Z43" s="54" t="str">
        <f>IF(AND('Mapa final'!$AH$34="Baja",'Mapa final'!$AJ$34="Moderado"),CONCATENATE("R2C",'Mapa final'!$R$34),"")</f>
        <v/>
      </c>
      <c r="AA43" s="54" t="str">
        <f>IF(AND('Mapa final'!$AH$35="Baja",'Mapa final'!$AJ$35="Moderado"),CONCATENATE("R2C",'Mapa final'!$R$35),"")</f>
        <v/>
      </c>
      <c r="AB43" s="55" t="str">
        <f>IF(AND('Mapa final'!$AH$36="Baja",'Mapa final'!$AJ$36="Moderado"),CONCATENATE("R2C",'Mapa final'!$R$36),"")</f>
        <v/>
      </c>
      <c r="AC43" s="38" t="str">
        <f>IF(AND('Mapa final'!$AH$23="Baja",'Mapa final'!$AJ$23="Mayor"),CONCATENATE("R2C",'Mapa final'!$R$23),"")</f>
        <v/>
      </c>
      <c r="AD43" s="39" t="str">
        <f>IF(AND('Mapa final'!$AH$24="Baja",'Mapa final'!$AJ$24="Mayor"),CONCATENATE("R2C",'Mapa final'!$R$24),"")</f>
        <v/>
      </c>
      <c r="AE43" s="39" t="str">
        <f>IF(AND('Mapa final'!$AH$33="Baja",'Mapa final'!$AJ$33="Mayor"),CONCATENATE("R2C",'Mapa final'!$R$33),"")</f>
        <v/>
      </c>
      <c r="AF43" s="39" t="str">
        <f>IF(AND('Mapa final'!$AH$34="Baja",'Mapa final'!$AJ$34="Mayor"),CONCATENATE("R2C",'Mapa final'!$R$34),"")</f>
        <v/>
      </c>
      <c r="AG43" s="39" t="str">
        <f>IF(AND('Mapa final'!$AH$35="Baja",'Mapa final'!$AJ$35="Mayor"),CONCATENATE("R2C",'Mapa final'!$R$35),"")</f>
        <v/>
      </c>
      <c r="AH43" s="40" t="str">
        <f>IF(AND('Mapa final'!$AH$36="Baja",'Mapa final'!$AJ$36="Mayor"),CONCATENATE("R2C",'Mapa final'!$R$36),"")</f>
        <v/>
      </c>
      <c r="AI43" s="41" t="str">
        <f>IF(AND('Mapa final'!$AH$23="Baja",'Mapa final'!$AJ$23="Catastrófico"),CONCATENATE("R2C",'Mapa final'!$R$23),"")</f>
        <v/>
      </c>
      <c r="AJ43" s="42" t="str">
        <f>IF(AND('Mapa final'!$AH$24="Baja",'Mapa final'!$AJ$24="Catastrófico"),CONCATENATE("R2C",'Mapa final'!$R$24),"")</f>
        <v/>
      </c>
      <c r="AK43" s="42" t="str">
        <f>IF(AND('Mapa final'!$AH$33="Baja",'Mapa final'!$AJ$33="Catastrófico"),CONCATENATE("R2C",'Mapa final'!$R$33),"")</f>
        <v/>
      </c>
      <c r="AL43" s="42" t="str">
        <f>IF(AND('Mapa final'!$AH$34="Baja",'Mapa final'!$AJ$34="Catastrófico"),CONCATENATE("R2C",'Mapa final'!$R$34),"")</f>
        <v/>
      </c>
      <c r="AM43" s="42" t="str">
        <f>IF(AND('Mapa final'!$AH$35="Baja",'Mapa final'!$AJ$35="Catastrófico"),CONCATENATE("R2C",'Mapa final'!$R$35),"")</f>
        <v/>
      </c>
      <c r="AN43" s="43" t="str">
        <f>IF(AND('Mapa final'!$AH$36="Baja",'Mapa final'!$AJ$36="Catastrófico"),CONCATENATE("R2C",'Mapa final'!$R$36),"")</f>
        <v/>
      </c>
      <c r="AO43" s="68"/>
      <c r="AP43" s="521"/>
      <c r="AQ43" s="522"/>
      <c r="AR43" s="522"/>
      <c r="AS43" s="522"/>
      <c r="AT43" s="522"/>
      <c r="AU43" s="523"/>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row>
    <row r="44" spans="2:77" ht="15" customHeight="1">
      <c r="B44" s="68"/>
      <c r="C44" s="446"/>
      <c r="D44" s="446"/>
      <c r="E44" s="447"/>
      <c r="F44" s="489"/>
      <c r="G44" s="490"/>
      <c r="H44" s="490"/>
      <c r="I44" s="490"/>
      <c r="J44" s="490"/>
      <c r="K44" s="62" t="str">
        <f>IF(AND('Mapa final'!$AH$37="Baja",'Mapa final'!$AJ$37="Leve"),CONCATENATE("R2C",'Mapa final'!$R$37),"")</f>
        <v/>
      </c>
      <c r="L44" s="63" t="str">
        <f>IF(AND('Mapa final'!$AH$38="Baja",'Mapa final'!$AJ$38="Leve"),CONCATENATE("R2C",'Mapa final'!$R$38),"")</f>
        <v/>
      </c>
      <c r="M44" s="63" t="str">
        <f>IF(AND('Mapa final'!$AH$39="Baja",'Mapa final'!$AJ$39="Leve"),CONCATENATE("R2C",'Mapa final'!$R$39),"")</f>
        <v/>
      </c>
      <c r="N44" s="63" t="str">
        <f>IF(AND('Mapa final'!$AH$40="Baja",'Mapa final'!$AJ$40="Leve"),CONCATENATE("R2C",'Mapa final'!$R$40),"")</f>
        <v/>
      </c>
      <c r="O44" s="63" t="str">
        <f>IF(AND('Mapa final'!$AH$41="Baja",'Mapa final'!$AJ$41="Leve"),CONCATENATE("R2C",'Mapa final'!$R$41),"")</f>
        <v/>
      </c>
      <c r="P44" s="64" t="str">
        <f>IF(AND('Mapa final'!$AH$42="Baja",'Mapa final'!$AJ$42="Leve"),CONCATENATE("R2C",'Mapa final'!$R$42),"")</f>
        <v/>
      </c>
      <c r="Q44" s="53" t="str">
        <f>IF(AND('Mapa final'!$AH$37="Baja",'Mapa final'!$AJ$37="Menor"),CONCATENATE("R2C",'Mapa final'!$R$37),"")</f>
        <v/>
      </c>
      <c r="R44" s="54" t="str">
        <f>IF(AND('Mapa final'!$AH$38="Baja",'Mapa final'!$AJ$38="Menor"),CONCATENATE("R2C",'Mapa final'!$R$38),"")</f>
        <v/>
      </c>
      <c r="S44" s="54" t="str">
        <f>IF(AND('Mapa final'!$AH$39="Baja",'Mapa final'!$AJ$39="Menor"),CONCATENATE("R2C",'Mapa final'!$R$39),"")</f>
        <v/>
      </c>
      <c r="T44" s="54" t="str">
        <f>IF(AND('Mapa final'!$AH$40="Baja",'Mapa final'!$AJ$40="Menor"),CONCATENATE("R2C",'Mapa final'!$R$40),"")</f>
        <v/>
      </c>
      <c r="U44" s="54" t="str">
        <f>IF(AND('Mapa final'!$AH$41="Baja",'Mapa final'!$AJ$41="Menor"),CONCATENATE("R2C",'Mapa final'!$R$41),"")</f>
        <v/>
      </c>
      <c r="V44" s="55" t="str">
        <f>IF(AND('Mapa final'!$AH$42="Baja",'Mapa final'!$AJ$42="Menor"),CONCATENATE("R2C",'Mapa final'!$R$42),"")</f>
        <v/>
      </c>
      <c r="W44" s="53" t="str">
        <f>IF(AND('Mapa final'!$AH$37="Baja",'Mapa final'!$AJ$37="Moderado"),CONCATENATE("R2C",'Mapa final'!$R$37),"")</f>
        <v/>
      </c>
      <c r="X44" s="54" t="str">
        <f>IF(AND('Mapa final'!$AH$38="Baja",'Mapa final'!$AJ$38="Moderado"),CONCATENATE("R2C",'Mapa final'!$R$38),"")</f>
        <v/>
      </c>
      <c r="Y44" s="54" t="str">
        <f>IF(AND('Mapa final'!$AH$39="Baja",'Mapa final'!$AJ$39="Moderado"),CONCATENATE("R2C",'Mapa final'!$R$39),"")</f>
        <v/>
      </c>
      <c r="Z44" s="54" t="str">
        <f>IF(AND('Mapa final'!$AH$40="Baja",'Mapa final'!$AJ$40="Moderado"),CONCATENATE("R2C",'Mapa final'!$R$40),"")</f>
        <v/>
      </c>
      <c r="AA44" s="54" t="str">
        <f>IF(AND('Mapa final'!$AH$41="Baja",'Mapa final'!$AJ$41="Moderado"),CONCATENATE("R2C",'Mapa final'!$R$41),"")</f>
        <v/>
      </c>
      <c r="AB44" s="55" t="str">
        <f>IF(AND('Mapa final'!$AH$42="Baja",'Mapa final'!$AJ$42="Moderado"),CONCATENATE("R2C",'Mapa final'!$R$42),"")</f>
        <v/>
      </c>
      <c r="AC44" s="38" t="str">
        <f>IF(AND('Mapa final'!$AH$37="Baja",'Mapa final'!$AJ$37="Mayor"),CONCATENATE("R2C",'Mapa final'!$R$37),"")</f>
        <v/>
      </c>
      <c r="AD44" s="39" t="str">
        <f>IF(AND('Mapa final'!$AH$38="Baja",'Mapa final'!$AJ$38="Mayor"),CONCATENATE("R2C",'Mapa final'!$R$38),"")</f>
        <v/>
      </c>
      <c r="AE44" s="39" t="str">
        <f>IF(AND('Mapa final'!$AH$39="Baja",'Mapa final'!$AJ$39="Mayor"),CONCATENATE("R2C",'Mapa final'!$R$39),"")</f>
        <v/>
      </c>
      <c r="AF44" s="39" t="str">
        <f>IF(AND('Mapa final'!$AH$40="Baja",'Mapa final'!$AJ$40="Mayor"),CONCATENATE("R2C",'Mapa final'!$R$40),"")</f>
        <v/>
      </c>
      <c r="AG44" s="39" t="str">
        <f>IF(AND('Mapa final'!$AH$41="Baja",'Mapa final'!$AJ$41="Mayor"),CONCATENATE("R2C",'Mapa final'!$R$41),"")</f>
        <v/>
      </c>
      <c r="AH44" s="40" t="str">
        <f>IF(AND('Mapa final'!$AH$42="Baja",'Mapa final'!$AJ$42="Mayor"),CONCATENATE("R2C",'Mapa final'!$R$42),"")</f>
        <v/>
      </c>
      <c r="AI44" s="41" t="str">
        <f>IF(AND('Mapa final'!$AH$37="Baja",'Mapa final'!$AJ$37="Catastrófico"),CONCATENATE("R2C",'Mapa final'!$R$37),"")</f>
        <v/>
      </c>
      <c r="AJ44" s="42" t="str">
        <f>IF(AND('Mapa final'!$AH$38="Baja",'Mapa final'!$AJ$38="Catastrófico"),CONCATENATE("R2C",'Mapa final'!$R$38),"")</f>
        <v/>
      </c>
      <c r="AK44" s="42" t="str">
        <f>IF(AND('Mapa final'!$AH$39="Baja",'Mapa final'!$AJ$39="Catastrófico"),CONCATENATE("R2C",'Mapa final'!$R$39),"")</f>
        <v/>
      </c>
      <c r="AL44" s="42" t="str">
        <f>IF(AND('Mapa final'!$AH$40="Baja",'Mapa final'!$AJ$40="Catastrófico"),CONCATENATE("R2C",'Mapa final'!$R$40),"")</f>
        <v/>
      </c>
      <c r="AM44" s="42" t="str">
        <f>IF(AND('Mapa final'!$AH$41="Baja",'Mapa final'!$AJ$41="Catastrófico"),CONCATENATE("R2C",'Mapa final'!$R$41),"")</f>
        <v/>
      </c>
      <c r="AN44" s="43" t="str">
        <f>IF(AND('Mapa final'!$AH$42="Baja",'Mapa final'!$AJ$42="Catastrófico"),CONCATENATE("R2C",'Mapa final'!$R$42),"")</f>
        <v/>
      </c>
      <c r="AO44" s="68"/>
      <c r="AP44" s="521"/>
      <c r="AQ44" s="522"/>
      <c r="AR44" s="522"/>
      <c r="AS44" s="522"/>
      <c r="AT44" s="522"/>
      <c r="AU44" s="523"/>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row>
    <row r="45" spans="2:77" ht="15" customHeight="1">
      <c r="B45" s="68"/>
      <c r="C45" s="446"/>
      <c r="D45" s="446"/>
      <c r="E45" s="447"/>
      <c r="F45" s="489"/>
      <c r="G45" s="490"/>
      <c r="H45" s="490"/>
      <c r="I45" s="490"/>
      <c r="J45" s="490"/>
      <c r="K45" s="62" t="str">
        <f>IF(AND('Mapa final'!$AH$43="Baja",'Mapa final'!$AJ$43="Leve"),CONCATENATE("R2C",'Mapa final'!$R$43),"")</f>
        <v/>
      </c>
      <c r="L45" s="63" t="str">
        <f>IF(AND('Mapa final'!$AH$44="Baja",'Mapa final'!$AJ$44="Leve"),CONCATENATE("R2C",'Mapa final'!$R$44),"")</f>
        <v/>
      </c>
      <c r="M45" s="63" t="str">
        <f>IF(AND('Mapa final'!$AH$45="Baja",'Mapa final'!$AJ$45="Leve"),CONCATENATE("R2C",'Mapa final'!$R$45),"")</f>
        <v/>
      </c>
      <c r="N45" s="63" t="str">
        <f>IF(AND('Mapa final'!$AH$46="Baja",'Mapa final'!$AJ$46="Leve"),CONCATENATE("R2C",'Mapa final'!$R$46),"")</f>
        <v/>
      </c>
      <c r="O45" s="63" t="str">
        <f>IF(AND('Mapa final'!$AH$47="Baja",'Mapa final'!$AJ$47="Leve"),CONCATENATE("R2C",'Mapa final'!$R$47),"")</f>
        <v/>
      </c>
      <c r="P45" s="64" t="str">
        <f>IF(AND('Mapa final'!$AH$48="Baja",'Mapa final'!$AJ$48="Leve"),CONCATENATE("R2C",'Mapa final'!$R$48),"")</f>
        <v/>
      </c>
      <c r="Q45" s="53" t="str">
        <f>IF(AND('Mapa final'!$AH$43="Baja",'Mapa final'!$AJ$43="Menor"),CONCATENATE("R2C",'Mapa final'!$R$43),"")</f>
        <v/>
      </c>
      <c r="R45" s="54" t="str">
        <f>IF(AND('Mapa final'!$AH$44="Baja",'Mapa final'!$AJ$44="Menor"),CONCATENATE("R2C",'Mapa final'!$R$44),"")</f>
        <v/>
      </c>
      <c r="S45" s="54" t="str">
        <f>IF(AND('Mapa final'!$AH$45="Baja",'Mapa final'!$AJ$45="Menor"),CONCATENATE("R2C",'Mapa final'!$R$45),"")</f>
        <v/>
      </c>
      <c r="T45" s="54" t="str">
        <f>IF(AND('Mapa final'!$AH$46="Baja",'Mapa final'!$AJ$46="Menor"),CONCATENATE("R2C",'Mapa final'!$R$46),"")</f>
        <v/>
      </c>
      <c r="U45" s="54" t="str">
        <f>IF(AND('Mapa final'!$AH$47="Baja",'Mapa final'!$AJ$47="LMenor"),CONCATENATE("R2C",'Mapa final'!$R$47),"")</f>
        <v/>
      </c>
      <c r="V45" s="55" t="str">
        <f>IF(AND('Mapa final'!$AH$48="Baja",'Mapa final'!$AJ$48="Menor"),CONCATENATE("R2C",'Mapa final'!$R$48),"")</f>
        <v/>
      </c>
      <c r="W45" s="53" t="str">
        <f>IF(AND('Mapa final'!$AH$43="Baja",'Mapa final'!$AJ$43="Moderado"),CONCATENATE("R2C",'Mapa final'!$R$43),"")</f>
        <v/>
      </c>
      <c r="X45" s="54" t="str">
        <f>IF(AND('Mapa final'!$AH$44="Baja",'Mapa final'!$AJ$44="Moderado"),CONCATENATE("R2C",'Mapa final'!$R$44),"")</f>
        <v/>
      </c>
      <c r="Y45" s="54" t="str">
        <f>IF(AND('Mapa final'!$AH$45="Baja",'Mapa final'!$AJ$45="Moderado"),CONCATENATE("R2C",'Mapa final'!$R$45),"")</f>
        <v/>
      </c>
      <c r="Z45" s="54" t="str">
        <f>IF(AND('Mapa final'!$AH$46="Baja",'Mapa final'!$AJ$46="Moderado"),CONCATENATE("R2C",'Mapa final'!$R$46),"")</f>
        <v/>
      </c>
      <c r="AA45" s="54" t="str">
        <f>IF(AND('Mapa final'!$AH$47="Baja",'Mapa final'!$AJ$47="Moderado"),CONCATENATE("R2C",'Mapa final'!$R$47),"")</f>
        <v/>
      </c>
      <c r="AB45" s="55" t="str">
        <f>IF(AND('Mapa final'!$AH$48="Baja",'Mapa final'!$AJ$48="Moderado"),CONCATENATE("R2C",'Mapa final'!$R$48),"")</f>
        <v/>
      </c>
      <c r="AC45" s="38" t="str">
        <f>IF(AND('Mapa final'!$AH$43="Baja",'Mapa final'!$AJ$43="Mayor"),CONCATENATE("R2C",'Mapa final'!$R$43),"")</f>
        <v/>
      </c>
      <c r="AD45" s="39" t="str">
        <f>IF(AND('Mapa final'!$AH$44="Baja",'Mapa final'!$AJ$44="Mayor"),CONCATENATE("R2C",'Mapa final'!$R$44),"")</f>
        <v/>
      </c>
      <c r="AE45" s="39" t="str">
        <f>IF(AND('Mapa final'!$AH$45="Baja",'Mapa final'!$AJ$45="Mayor"),CONCATENATE("R2C",'Mapa final'!$R$45),"")</f>
        <v/>
      </c>
      <c r="AF45" s="39" t="str">
        <f>IF(AND('Mapa final'!$AH$46="Baja",'Mapa final'!$AJ$46="Mayor"),CONCATENATE("R2C",'Mapa final'!$R$46),"")</f>
        <v/>
      </c>
      <c r="AG45" s="39" t="str">
        <f>IF(AND('Mapa final'!$AH$47="Baja",'Mapa final'!$AJ$47="Mayor"),CONCATENATE("R2C",'Mapa final'!$R$47),"")</f>
        <v/>
      </c>
      <c r="AH45" s="40" t="str">
        <f>IF(AND('Mapa final'!$AH$48="Baja",'Mapa final'!$AJ$48="Mayor"),CONCATENATE("R2C",'Mapa final'!$R$48),"")</f>
        <v/>
      </c>
      <c r="AI45" s="41" t="str">
        <f>IF(AND('Mapa final'!$AH$43="Baja",'Mapa final'!$AJ$43="Catastrófico"),CONCATENATE("R2C",'Mapa final'!$R$43),"")</f>
        <v/>
      </c>
      <c r="AJ45" s="42" t="str">
        <f>IF(AND('Mapa final'!$AH$44="Baja",'Mapa final'!$AJ$44="Catastrófico"),CONCATENATE("R2C",'Mapa final'!$R$44),"")</f>
        <v/>
      </c>
      <c r="AK45" s="42" t="str">
        <f>IF(AND('Mapa final'!$AH$45="Baja",'Mapa final'!$AJ$45="Catastrófico"),CONCATENATE("R2C",'Mapa final'!$R$45),"")</f>
        <v/>
      </c>
      <c r="AL45" s="42" t="str">
        <f>IF(AND('Mapa final'!$AH$46="Baja",'Mapa final'!$AJ$46="Catastrófico"),CONCATENATE("R2C",'Mapa final'!$R$46),"")</f>
        <v/>
      </c>
      <c r="AM45" s="42" t="str">
        <f>IF(AND('Mapa final'!$AH$47="Baja",'Mapa final'!$AJ$47="LCatastrófico"),CONCATENATE("R2C",'Mapa final'!$R$47),"")</f>
        <v/>
      </c>
      <c r="AN45" s="43" t="str">
        <f>IF(AND('Mapa final'!$AH$48="Baja",'Mapa final'!$AJ$48="Catastrófico"),CONCATENATE("R2C",'Mapa final'!$R$48),"")</f>
        <v/>
      </c>
      <c r="AO45" s="68"/>
      <c r="AP45" s="521"/>
      <c r="AQ45" s="522"/>
      <c r="AR45" s="522"/>
      <c r="AS45" s="522"/>
      <c r="AT45" s="522"/>
      <c r="AU45" s="523"/>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row>
    <row r="46" spans="2:77" ht="15" customHeight="1">
      <c r="B46" s="68"/>
      <c r="C46" s="446"/>
      <c r="D46" s="446"/>
      <c r="E46" s="447"/>
      <c r="F46" s="489"/>
      <c r="G46" s="490"/>
      <c r="H46" s="490"/>
      <c r="I46" s="490"/>
      <c r="J46" s="490"/>
      <c r="K46" s="62" t="str">
        <f>IF(AND('Mapa final'!$AH$49="Baja",'Mapa final'!$AJ$49="Leve"),CONCATENATE("R2C",'Mapa final'!$R$49),"")</f>
        <v/>
      </c>
      <c r="L46" s="63" t="str">
        <f>IF(AND('Mapa final'!$AH$50="Baja",'Mapa final'!$AJ$50="Leve"),CONCATENATE("R2C",'Mapa final'!$R$50),"")</f>
        <v/>
      </c>
      <c r="M46" s="63" t="str">
        <f>IF(AND('Mapa final'!$AH$51="Baja",'Mapa final'!$AJ$51="Leve"),CONCATENATE("R2C",'Mapa final'!$R$51),"")</f>
        <v/>
      </c>
      <c r="N46" s="63" t="str">
        <f>IF(AND('Mapa final'!$AH$52="Baja",'Mapa final'!$AJ$52="Leve"),CONCATENATE("R2C",'Mapa final'!$R$52),"")</f>
        <v/>
      </c>
      <c r="O46" s="63" t="str">
        <f>IF(AND('Mapa final'!$AH$53="Baja",'Mapa final'!$AJ$53="Leve"),CONCATENATE("R2C",'Mapa final'!$R$53),"")</f>
        <v/>
      </c>
      <c r="P46" s="64" t="str">
        <f>IF(AND('Mapa final'!$AH$54="Baja",'Mapa final'!$AJ$54="Leve"),CONCATENATE("R2C",'Mapa final'!$R$54),"")</f>
        <v/>
      </c>
      <c r="Q46" s="53" t="str">
        <f>IF(AND('Mapa final'!$AH$49="Baja",'Mapa final'!$AJ$49="Menor"),CONCATENATE("R2C",'Mapa final'!$R$49),"")</f>
        <v/>
      </c>
      <c r="R46" s="54" t="str">
        <f>IF(AND('Mapa final'!$AH$50="Baja",'Mapa final'!$AJ$50="Menor"),CONCATENATE("R2C",'Mapa final'!$R$50),"")</f>
        <v/>
      </c>
      <c r="S46" s="54" t="str">
        <f>IF(AND('Mapa final'!$AH$51="Baja",'Mapa final'!$AJ$51="Menor"),CONCATENATE("R2C",'Mapa final'!$R$51),"")</f>
        <v/>
      </c>
      <c r="T46" s="54" t="str">
        <f>IF(AND('Mapa final'!$AH$52="Baja",'Mapa final'!$AJ$52="Menor"),CONCATENATE("R2C",'Mapa final'!$R$52),"")</f>
        <v/>
      </c>
      <c r="U46" s="54" t="str">
        <f>IF(AND('Mapa final'!$AH$53="Baja",'Mapa final'!$AJ$53="Menor"),CONCATENATE("R2C",'Mapa final'!$R$53),"")</f>
        <v/>
      </c>
      <c r="V46" s="55" t="str">
        <f>IF(AND('Mapa final'!$AH$54="Baja",'Mapa final'!$AJ$54="Menor"),CONCATENATE("R2C",'Mapa final'!$R$54),"")</f>
        <v/>
      </c>
      <c r="W46" s="53" t="str">
        <f>IF(AND('Mapa final'!$AH$49="Baja",'Mapa final'!$AJ$49="Moderado"),CONCATENATE("R2C",'Mapa final'!$R$49),"")</f>
        <v/>
      </c>
      <c r="X46" s="54" t="str">
        <f>IF(AND('Mapa final'!$AH$50="Baja",'Mapa final'!$AJ$50="Moderado"),CONCATENATE("R2C",'Mapa final'!$R$50),"")</f>
        <v/>
      </c>
      <c r="Y46" s="54" t="str">
        <f>IF(AND('Mapa final'!$AH$51="Baja",'Mapa final'!$AJ$51="Moderado"),CONCATENATE("R2C",'Mapa final'!$R$51),"")</f>
        <v/>
      </c>
      <c r="Z46" s="54" t="str">
        <f>IF(AND('Mapa final'!$AH$52="Baja",'Mapa final'!$AJ$52="Moderado"),CONCATENATE("R2C",'Mapa final'!$R$52),"")</f>
        <v/>
      </c>
      <c r="AA46" s="54" t="str">
        <f>IF(AND('Mapa final'!$AH$53="Baja",'Mapa final'!$AJ$53="Moderado"),CONCATENATE("R2C",'Mapa final'!$R$53),"")</f>
        <v/>
      </c>
      <c r="AB46" s="55" t="str">
        <f>IF(AND('Mapa final'!$AH$54="Baja",'Mapa final'!$AJ$54="Moderado"),CONCATENATE("R2C",'Mapa final'!$R$54),"")</f>
        <v/>
      </c>
      <c r="AC46" s="38" t="str">
        <f>IF(AND('Mapa final'!$AH$49="Baja",'Mapa final'!$AJ$49="Mayor"),CONCATENATE("R2C",'Mapa final'!$R$49),"")</f>
        <v/>
      </c>
      <c r="AD46" s="39" t="str">
        <f>IF(AND('Mapa final'!$AH$50="Baja",'Mapa final'!$AJ$50="Mayor"),CONCATENATE("R2C",'Mapa final'!$R$50),"")</f>
        <v/>
      </c>
      <c r="AE46" s="39" t="str">
        <f>IF(AND('Mapa final'!$AH$51="Baja",'Mapa final'!$AJ$51="Mayor"),CONCATENATE("R2C",'Mapa final'!$R$51),"")</f>
        <v/>
      </c>
      <c r="AF46" s="39" t="str">
        <f>IF(AND('Mapa final'!$AH$52="Baja",'Mapa final'!$AJ$52="Mayor"),CONCATENATE("R2C",'Mapa final'!$R$52),"")</f>
        <v/>
      </c>
      <c r="AG46" s="39" t="str">
        <f>IF(AND('Mapa final'!$AH$53="Baja",'Mapa final'!$AJ$53="Mayor"),CONCATENATE("R2C",'Mapa final'!$R$53),"")</f>
        <v/>
      </c>
      <c r="AH46" s="40" t="str">
        <f>IF(AND('Mapa final'!$AH$54="Baja",'Mapa final'!$AJ$54="Mayor"),CONCATENATE("R2C",'Mapa final'!$R$54),"")</f>
        <v/>
      </c>
      <c r="AI46" s="41" t="str">
        <f>IF(AND('Mapa final'!$AH$49="Baja",'Mapa final'!$AJ$49="Catastrófico"),CONCATENATE("R2C",'Mapa final'!$R$49),"")</f>
        <v/>
      </c>
      <c r="AJ46" s="42" t="str">
        <f>IF(AND('Mapa final'!$AH$50="Baja",'Mapa final'!$AJ$50="Catastrófico"),CONCATENATE("R2C",'Mapa final'!$R$50),"")</f>
        <v/>
      </c>
      <c r="AK46" s="42" t="str">
        <f>IF(AND('Mapa final'!$AH$51="Baja",'Mapa final'!$AJ$51="Catastrófico"),CONCATENATE("R2C",'Mapa final'!$R$51),"")</f>
        <v/>
      </c>
      <c r="AL46" s="42" t="str">
        <f>IF(AND('Mapa final'!$AH$52="Baja",'Mapa final'!$AJ$52="Catastrófico"),CONCATENATE("R2C",'Mapa final'!$R$52),"")</f>
        <v/>
      </c>
      <c r="AM46" s="42" t="str">
        <f>IF(AND('Mapa final'!$AH$53="Baja",'Mapa final'!$AJ$53="Catastrófico"),CONCATENATE("R2C",'Mapa final'!$R$53),"")</f>
        <v/>
      </c>
      <c r="AN46" s="43" t="str">
        <f>IF(AND('Mapa final'!$AH$54="Baja",'Mapa final'!$AJ$54="Catastrófico"),CONCATENATE("R2C",'Mapa final'!$R$54),"")</f>
        <v/>
      </c>
      <c r="AO46" s="68"/>
      <c r="AP46" s="521"/>
      <c r="AQ46" s="522"/>
      <c r="AR46" s="522"/>
      <c r="AS46" s="522"/>
      <c r="AT46" s="522"/>
      <c r="AU46" s="523"/>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row>
    <row r="47" spans="2:77" ht="15" customHeight="1">
      <c r="B47" s="68"/>
      <c r="C47" s="446"/>
      <c r="D47" s="446"/>
      <c r="E47" s="447"/>
      <c r="F47" s="489"/>
      <c r="G47" s="490"/>
      <c r="H47" s="490"/>
      <c r="I47" s="490"/>
      <c r="J47" s="490"/>
      <c r="K47" s="62" t="str">
        <f>IF(AND('Mapa final'!$AH$55="Baja",'Mapa final'!$AJ$55="Leve"),CONCATENATE("R2C",'Mapa final'!$R$55),"")</f>
        <v/>
      </c>
      <c r="L47" s="63" t="str">
        <f>IF(AND('Mapa final'!$AH$56="Baja",'Mapa final'!$AJ$56="Leve"),CONCATENATE("R2C",'Mapa final'!$R$56),"")</f>
        <v/>
      </c>
      <c r="M47" s="63" t="str">
        <f>IF(AND('Mapa final'!$AH$57="Baja",'Mapa final'!$AJ$57="Leve"),CONCATENATE("R2C",'Mapa final'!$R$57),"")</f>
        <v/>
      </c>
      <c r="N47" s="63" t="str">
        <f>IF(AND('Mapa final'!$AH$58="Baja",'Mapa final'!$AJ$58="Leve"),CONCATENATE("R2C",'Mapa final'!$R$58),"")</f>
        <v/>
      </c>
      <c r="O47" s="63" t="str">
        <f>IF(AND('Mapa final'!$AH$59="Baja",'Mapa final'!$AJ$59="Leve"),CONCATENATE("R2C",'Mapa final'!$R$59),"")</f>
        <v/>
      </c>
      <c r="P47" s="64" t="str">
        <f>IF(AND('Mapa final'!$AH$70="Baja",'Mapa final'!$AJ$60="Leve"),CONCATENATE("R2C",'Mapa final'!$R$60),"")</f>
        <v/>
      </c>
      <c r="Q47" s="53" t="str">
        <f>IF(AND('Mapa final'!$AH$55="Baja",'Mapa final'!$AJ$55="Menor"),CONCATENATE("R2C",'Mapa final'!$R$55),"")</f>
        <v/>
      </c>
      <c r="R47" s="54" t="str">
        <f>IF(AND('Mapa final'!$AH$56="Baja",'Mapa final'!$AJ$56="Menor"),CONCATENATE("R2C",'Mapa final'!$R$56),"")</f>
        <v/>
      </c>
      <c r="S47" s="54" t="str">
        <f>IF(AND('Mapa final'!$AH$57="Baja",'Mapa final'!$AJ$57="Menor"),CONCATENATE("R2C",'Mapa final'!$R$57),"")</f>
        <v/>
      </c>
      <c r="T47" s="54" t="str">
        <f>IF(AND('Mapa final'!$AH$58="Baja",'Mapa final'!$AJ$58="Menor"),CONCATENATE("R2C",'Mapa final'!$R$58),"")</f>
        <v/>
      </c>
      <c r="U47" s="54" t="str">
        <f>IF(AND('Mapa final'!$AH$59="Baja",'Mapa final'!$AJ$59="Menor"),CONCATENATE("R2C",'Mapa final'!$R$59),"")</f>
        <v/>
      </c>
      <c r="V47" s="55" t="str">
        <f>IF(AND('Mapa final'!$AH$70="Baja",'Mapa final'!$AJ$60="Menor"),CONCATENATE("R2C",'Mapa final'!$R$60),"")</f>
        <v/>
      </c>
      <c r="W47" s="53" t="str">
        <f>IF(AND('Mapa final'!$AH$55="Baja",'Mapa final'!$AJ$55="Moderado"),CONCATENATE("R2C",'Mapa final'!$R$55),"")</f>
        <v/>
      </c>
      <c r="X47" s="54" t="str">
        <f>IF(AND('Mapa final'!$AH$56="Baja",'Mapa final'!$AJ$56="Moderado"),CONCATENATE("R2C",'Mapa final'!$R$56),"")</f>
        <v/>
      </c>
      <c r="Y47" s="54" t="str">
        <f>IF(AND('Mapa final'!$AH$57="Baja",'Mapa final'!$AJ$57="Moderado"),CONCATENATE("R2C",'Mapa final'!$R$57),"")</f>
        <v/>
      </c>
      <c r="Z47" s="54" t="str">
        <f>IF(AND('Mapa final'!$AH$58="Baja",'Mapa final'!$AJ$58="Moderado"),CONCATENATE("R2C",'Mapa final'!$R$58),"")</f>
        <v/>
      </c>
      <c r="AA47" s="54" t="str">
        <f>IF(AND('Mapa final'!$AH$59="Baja",'Mapa final'!$AJ$59="Moderado"),CONCATENATE("R2C",'Mapa final'!$R$59),"")</f>
        <v/>
      </c>
      <c r="AB47" s="55" t="str">
        <f>IF(AND('Mapa final'!$AH$70="Baja",'Mapa final'!$AJ$60="Moderado"),CONCATENATE("R2C",'Mapa final'!$R$60),"")</f>
        <v/>
      </c>
      <c r="AC47" s="38" t="str">
        <f>IF(AND('Mapa final'!$AH$55="Baja",'Mapa final'!$AJ$55="Mayor"),CONCATENATE("R2C",'Mapa final'!$R$55),"")</f>
        <v/>
      </c>
      <c r="AD47" s="39" t="str">
        <f>IF(AND('Mapa final'!$AH$56="Baja",'Mapa final'!$AJ$56="Mayor"),CONCATENATE("R2C",'Mapa final'!$R$56),"")</f>
        <v/>
      </c>
      <c r="AE47" s="39" t="str">
        <f>IF(AND('Mapa final'!$AH$57="Baja",'Mapa final'!$AJ$57="Mayor"),CONCATENATE("R2C",'Mapa final'!$R$57),"")</f>
        <v/>
      </c>
      <c r="AF47" s="39" t="str">
        <f>IF(AND('Mapa final'!$AH$58="Baja",'Mapa final'!$AJ$58="Mayor"),CONCATENATE("R2C",'Mapa final'!$R$58),"")</f>
        <v/>
      </c>
      <c r="AG47" s="39" t="str">
        <f>IF(AND('Mapa final'!$AH$59="Baja",'Mapa final'!$AJ$59="Mayor"),CONCATENATE("R2C",'Mapa final'!$R$59),"")</f>
        <v/>
      </c>
      <c r="AH47" s="40" t="str">
        <f>IF(AND('Mapa final'!$AH$70="Baja",'Mapa final'!$AJ$60="Mayor"),CONCATENATE("R2C",'Mapa final'!$R$60),"")</f>
        <v/>
      </c>
      <c r="AI47" s="41" t="str">
        <f>IF(AND('Mapa final'!$AH$55="Baja",'Mapa final'!$AJ$55="Catastrófico"),CONCATENATE("R2C",'Mapa final'!$R$55),"")</f>
        <v/>
      </c>
      <c r="AJ47" s="42" t="str">
        <f>IF(AND('Mapa final'!$AH$56="Baja",'Mapa final'!$AJ$56="Catastrófico"),CONCATENATE("R2C",'Mapa final'!$R$56),"")</f>
        <v/>
      </c>
      <c r="AK47" s="42" t="str">
        <f>IF(AND('Mapa final'!$AH$57="Baja",'Mapa final'!$AJ$57="Catastrófico"),CONCATENATE("R2C",'Mapa final'!$R$57),"")</f>
        <v/>
      </c>
      <c r="AL47" s="42" t="str">
        <f>IF(AND('Mapa final'!$AH$58="Baja",'Mapa final'!$AJ$58="Catastrófico"),CONCATENATE("R2C",'Mapa final'!$R$58),"")</f>
        <v/>
      </c>
      <c r="AM47" s="42" t="str">
        <f>IF(AND('Mapa final'!$AH$59="Baja",'Mapa final'!$AJ$59="Catastrófico"),CONCATENATE("R2C",'Mapa final'!$R$59),"")</f>
        <v/>
      </c>
      <c r="AN47" s="43" t="str">
        <f>IF(AND('Mapa final'!$AH$70="Baja",'Mapa final'!$AJ$60="Catastrófico"),CONCATENATE("R2C",'Mapa final'!$R$60),"")</f>
        <v/>
      </c>
      <c r="AO47" s="68"/>
      <c r="AP47" s="521"/>
      <c r="AQ47" s="522"/>
      <c r="AR47" s="522"/>
      <c r="AS47" s="522"/>
      <c r="AT47" s="522"/>
      <c r="AU47" s="523"/>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row>
    <row r="48" spans="2:77" ht="15" customHeight="1">
      <c r="B48" s="68"/>
      <c r="C48" s="446"/>
      <c r="D48" s="446"/>
      <c r="E48" s="447"/>
      <c r="F48" s="489"/>
      <c r="G48" s="490"/>
      <c r="H48" s="490"/>
      <c r="I48" s="490"/>
      <c r="J48" s="490"/>
      <c r="K48" s="62" t="str">
        <f>IF(AND('Mapa final'!$AH$61="Baja",'Mapa final'!$AJ$61="Leve"),CONCATENATE("R2C",'Mapa final'!$R$61),"")</f>
        <v/>
      </c>
      <c r="L48" s="63" t="str">
        <f>IF(AND('Mapa final'!$AH$62="Baja",'Mapa final'!$AJ$62="Leve"),CONCATENATE("R2C",'Mapa final'!$R$62),"")</f>
        <v/>
      </c>
      <c r="M48" s="63" t="str">
        <f>IF(AND('Mapa final'!$AH$63="Baja",'Mapa final'!$AJ$63="Leve"),CONCATENATE("R2C",'Mapa final'!$R$63),"")</f>
        <v/>
      </c>
      <c r="N48" s="63" t="str">
        <f>IF(AND('Mapa final'!$AH$64="Baja",'Mapa final'!$AJ$64="Leve"),CONCATENATE("R2C",'Mapa final'!$R$64),"")</f>
        <v/>
      </c>
      <c r="O48" s="63" t="str">
        <f>IF(AND('Mapa final'!$AH$65="Baja",'Mapa final'!$AJ$65="Leve"),CONCATENATE("R2C",'Mapa final'!$R$65),"")</f>
        <v/>
      </c>
      <c r="P48" s="64" t="str">
        <f>IF(AND('Mapa final'!$AH$66="Baja",'Mapa final'!$AJ$66="Leve"),CONCATENATE("R2C",'Mapa final'!$R$66),"")</f>
        <v/>
      </c>
      <c r="Q48" s="53" t="str">
        <f>IF(AND('Mapa final'!$AH$61="Baja",'Mapa final'!$AJ$61="Menor"),CONCATENATE("R2C",'Mapa final'!$R$61),"")</f>
        <v/>
      </c>
      <c r="R48" s="54" t="str">
        <f>IF(AND('Mapa final'!$AH$62="Baja",'Mapa final'!$AJ$62="Menor"),CONCATENATE("R2C",'Mapa final'!$R$62),"")</f>
        <v/>
      </c>
      <c r="S48" s="54" t="str">
        <f>IF(AND('Mapa final'!$AH$63="Baja",'Mapa final'!$AJ$63="Menor"),CONCATENATE("R2C",'Mapa final'!$R$63),"")</f>
        <v/>
      </c>
      <c r="T48" s="54" t="str">
        <f>IF(AND('Mapa final'!$AH$64="Baja",'Mapa final'!$AJ$64="Menor"),CONCATENATE("R2C",'Mapa final'!$R$64),"")</f>
        <v/>
      </c>
      <c r="U48" s="54" t="str">
        <f>IF(AND('Mapa final'!$AH$65="Baja",'Mapa final'!$AJ$65="Menor"),CONCATENATE("R2C",'Mapa final'!$R$65),"")</f>
        <v/>
      </c>
      <c r="V48" s="55" t="str">
        <f>IF(AND('Mapa final'!$AH$66="Baja",'Mapa final'!$AJ$66="Menor"),CONCATENATE("R2C",'Mapa final'!$R$66),"")</f>
        <v/>
      </c>
      <c r="W48" s="53" t="str">
        <f>IF(AND('Mapa final'!$AH$61="Baja",'Mapa final'!$AJ$61="Moderado"),CONCATENATE("R2C",'Mapa final'!$R$61),"")</f>
        <v/>
      </c>
      <c r="X48" s="54" t="str">
        <f>IF(AND('Mapa final'!$AH$62="Baja",'Mapa final'!$AJ$62="Moderado"),CONCATENATE("R2C",'Mapa final'!$R$62),"")</f>
        <v/>
      </c>
      <c r="Y48" s="54" t="str">
        <f>IF(AND('Mapa final'!$AH$63="Baja",'Mapa final'!$AJ$63="Moderado"),CONCATENATE("R2C",'Mapa final'!$R$63),"")</f>
        <v/>
      </c>
      <c r="Z48" s="54" t="str">
        <f>IF(AND('Mapa final'!$AH$64="Baja",'Mapa final'!$AJ$64="Moderado"),CONCATENATE("R2C",'Mapa final'!$R$64),"")</f>
        <v/>
      </c>
      <c r="AA48" s="54" t="str">
        <f>IF(AND('Mapa final'!$AH$65="Baja",'Mapa final'!$AJ$65="Moderado"),CONCATENATE("R2C",'Mapa final'!$R$65),"")</f>
        <v/>
      </c>
      <c r="AB48" s="55" t="str">
        <f>IF(AND('Mapa final'!$AH$66="Baja",'Mapa final'!$AJ$66="Moderado"),CONCATENATE("R2C",'Mapa final'!$R$66),"")</f>
        <v/>
      </c>
      <c r="AC48" s="38" t="str">
        <f>IF(AND('Mapa final'!$AH$61="Baja",'Mapa final'!$AJ$61="Mayor"),CONCATENATE("R2C",'Mapa final'!$R$61),"")</f>
        <v/>
      </c>
      <c r="AD48" s="39" t="str">
        <f>IF(AND('Mapa final'!$AH$62="Baja",'Mapa final'!$AJ$62="Mayor"),CONCATENATE("R2C",'Mapa final'!$R$62),"")</f>
        <v/>
      </c>
      <c r="AE48" s="39" t="str">
        <f>IF(AND('Mapa final'!$AH$63="Baja",'Mapa final'!$AJ$63="Mayor"),CONCATENATE("R2C",'Mapa final'!$R$63),"")</f>
        <v/>
      </c>
      <c r="AF48" s="39" t="str">
        <f>IF(AND('Mapa final'!$AH$64="Baja",'Mapa final'!$AJ$64="Mayor"),CONCATENATE("R2C",'Mapa final'!$R$64),"")</f>
        <v/>
      </c>
      <c r="AG48" s="39" t="str">
        <f>IF(AND('Mapa final'!$AH$65="Baja",'Mapa final'!$AJ$65="Mayor"),CONCATENATE("R2C",'Mapa final'!$R$65),"")</f>
        <v/>
      </c>
      <c r="AH48" s="40" t="str">
        <f>IF(AND('Mapa final'!$AH$66="Baja",'Mapa final'!$AJ$66="Mayor"),CONCATENATE("R2C",'Mapa final'!$R$66),"")</f>
        <v/>
      </c>
      <c r="AI48" s="41" t="str">
        <f>IF(AND('Mapa final'!$AH$61="Baja",'Mapa final'!$AJ$61="Catastrófico"),CONCATENATE("R2C",'Mapa final'!$R$61),"")</f>
        <v/>
      </c>
      <c r="AJ48" s="42" t="str">
        <f>IF(AND('Mapa final'!$AH$62="Baja",'Mapa final'!$AJ$62="Catastrófico"),CONCATENATE("R2C",'Mapa final'!$R$62),"")</f>
        <v/>
      </c>
      <c r="AK48" s="42" t="str">
        <f>IF(AND('Mapa final'!$AH$63="Baja",'Mapa final'!$AJ$63="Catastrófico"),CONCATENATE("R2C",'Mapa final'!$R$63),"")</f>
        <v/>
      </c>
      <c r="AL48" s="42" t="str">
        <f>IF(AND('Mapa final'!$AH$64="Baja",'Mapa final'!$AJ$64="Catastrófico"),CONCATENATE("R2C",'Mapa final'!$R$64),"")</f>
        <v/>
      </c>
      <c r="AM48" s="42" t="str">
        <f>IF(AND('Mapa final'!$AH$65="Baja",'Mapa final'!$AJ$65="Catastrófico"),CONCATENATE("R2C",'Mapa final'!$R$65),"")</f>
        <v/>
      </c>
      <c r="AN48" s="43" t="str">
        <f>IF(AND('Mapa final'!$AH$66="Baja",'Mapa final'!$AJ$66="Catastrófico"),CONCATENATE("R2C",'Mapa final'!$R$66),"")</f>
        <v/>
      </c>
      <c r="AO48" s="68"/>
      <c r="AP48" s="521"/>
      <c r="AQ48" s="522"/>
      <c r="AR48" s="522"/>
      <c r="AS48" s="522"/>
      <c r="AT48" s="522"/>
      <c r="AU48" s="523"/>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row>
    <row r="49" spans="2:81" ht="15" customHeight="1">
      <c r="B49" s="68"/>
      <c r="C49" s="446"/>
      <c r="D49" s="446"/>
      <c r="E49" s="447"/>
      <c r="F49" s="489"/>
      <c r="G49" s="490"/>
      <c r="H49" s="490"/>
      <c r="I49" s="490"/>
      <c r="J49" s="490"/>
      <c r="K49" s="62" t="str">
        <f>IF(AND('Mapa final'!$AH$67="Baja",'Mapa final'!$AJ$67="Leve"),CONCATENATE("R2C",'Mapa final'!$R$67),"")</f>
        <v/>
      </c>
      <c r="L49" s="63" t="str">
        <f>IF(AND('Mapa final'!$AH$68="Baja",'Mapa final'!$AJ$68="Leve"),CONCATENATE("R2C",'Mapa final'!$R$68),"")</f>
        <v/>
      </c>
      <c r="M49" s="63" t="str">
        <f>IF(AND('Mapa final'!$AH$69="Baja",'Mapa final'!$AJ$69="Leve"),CONCATENATE("R2C",'Mapa final'!$R$69),"")</f>
        <v/>
      </c>
      <c r="N49" s="63" t="str">
        <f>IF(AND('Mapa final'!$AH$70="Baja",'Mapa final'!$AJ$70="Leve"),CONCATENATE("R2C",'Mapa final'!$R$70),"")</f>
        <v/>
      </c>
      <c r="O49" s="63" t="str">
        <f>IF(AND('Mapa final'!$AH$71="Baja",'Mapa final'!$AJ$71="Leve"),CONCATENATE("R2C",'Mapa final'!$R$71),"")</f>
        <v/>
      </c>
      <c r="P49" s="64" t="str">
        <f>IF(AND('Mapa final'!$AH$72="Baja",'Mapa final'!$AJ$72="Leve"),CONCATENATE("R2C",'Mapa final'!$R$72),"")</f>
        <v/>
      </c>
      <c r="Q49" s="53" t="str">
        <f>IF(AND('Mapa final'!$AH$67="Baja",'Mapa final'!$AJ$67="Menor"),CONCATENATE("R2C",'Mapa final'!$R$67),"")</f>
        <v/>
      </c>
      <c r="R49" s="54" t="str">
        <f>IF(AND('Mapa final'!$AH$68="Baja",'Mapa final'!$AJ$68="Menor"),CONCATENATE("R2C",'Mapa final'!$R$68),"")</f>
        <v/>
      </c>
      <c r="S49" s="54" t="str">
        <f>IF(AND('Mapa final'!$AH$69="Baja",'Mapa final'!$AJ$69="Menor"),CONCATENATE("R2C",'Mapa final'!$R$69),"")</f>
        <v/>
      </c>
      <c r="T49" s="54" t="str">
        <f>IF(AND('Mapa final'!$AH$70="Baja",'Mapa final'!$AJ$70="Menor"),CONCATENATE("R2C",'Mapa final'!$R$70),"")</f>
        <v/>
      </c>
      <c r="U49" s="54" t="str">
        <f>IF(AND('Mapa final'!$AH$71="Baja",'Mapa final'!$AJ$71="Menor"),CONCATENATE("R2C",'Mapa final'!$R$71),"")</f>
        <v/>
      </c>
      <c r="V49" s="55" t="str">
        <f>IF(AND('Mapa final'!$AH$72="Baja",'Mapa final'!$AJ$72="Menor"),CONCATENATE("R2C",'Mapa final'!$R$72),"")</f>
        <v/>
      </c>
      <c r="W49" s="53" t="str">
        <f>IF(AND('Mapa final'!$AH$67="Baja",'Mapa final'!$AJ$67="Moderado"),CONCATENATE("R2C",'Mapa final'!$R$67),"")</f>
        <v/>
      </c>
      <c r="X49" s="54" t="str">
        <f>IF(AND('Mapa final'!$AH$68="Baja",'Mapa final'!$AJ$68="Moderado"),CONCATENATE("R2C",'Mapa final'!$R$68),"")</f>
        <v/>
      </c>
      <c r="Y49" s="54" t="str">
        <f>IF(AND('Mapa final'!$AH$69="Baja",'Mapa final'!$AJ$69="Moderado"),CONCATENATE("R2C",'Mapa final'!$R$69),"")</f>
        <v/>
      </c>
      <c r="Z49" s="54" t="str">
        <f>IF(AND('Mapa final'!$AH$70="Baja",'Mapa final'!$AJ$70="Moderado"),CONCATENATE("R2C",'Mapa final'!$R$70),"")</f>
        <v/>
      </c>
      <c r="AA49" s="54" t="str">
        <f>IF(AND('Mapa final'!$AH$71="Baja",'Mapa final'!$AJ$71="Moderado"),CONCATENATE("R2C",'Mapa final'!$R$71),"")</f>
        <v/>
      </c>
      <c r="AB49" s="55" t="str">
        <f>IF(AND('Mapa final'!$AH$72="Baja",'Mapa final'!$AJ$72="Moderado"),CONCATENATE("R2C",'Mapa final'!$R$72),"")</f>
        <v/>
      </c>
      <c r="AC49" s="38" t="str">
        <f>IF(AND('Mapa final'!$AH$67="Baja",'Mapa final'!$AJ$67="Mayor"),CONCATENATE("R2C",'Mapa final'!$R$67),"")</f>
        <v/>
      </c>
      <c r="AD49" s="39" t="str">
        <f>IF(AND('Mapa final'!$AH$68="Baja",'Mapa final'!$AJ$68="Mayor"),CONCATENATE("R2C",'Mapa final'!$R$68),"")</f>
        <v/>
      </c>
      <c r="AE49" s="39" t="str">
        <f>IF(AND('Mapa final'!$AH$69="Baja",'Mapa final'!$AJ$69="Mayor"),CONCATENATE("R2C",'Mapa final'!$R$69),"")</f>
        <v/>
      </c>
      <c r="AF49" s="39" t="str">
        <f>IF(AND('Mapa final'!$AH$70="Baja",'Mapa final'!$AJ$70="Mayor"),CONCATENATE("R2C",'Mapa final'!$R$70),"")</f>
        <v/>
      </c>
      <c r="AG49" s="39" t="str">
        <f>IF(AND('Mapa final'!$AH$71="Baja",'Mapa final'!$AJ$71="Mayor"),CONCATENATE("R2C",'Mapa final'!$R$71),"")</f>
        <v/>
      </c>
      <c r="AH49" s="40" t="str">
        <f>IF(AND('Mapa final'!$AH$72="Baja",'Mapa final'!$AJ$72="Mayor"),CONCATENATE("R2C",'Mapa final'!$R$72),"")</f>
        <v/>
      </c>
      <c r="AI49" s="41" t="str">
        <f>IF(AND('Mapa final'!$AH$67="Baja",'Mapa final'!$AJ$67="Catastrófico"),CONCATENATE("R2C",'Mapa final'!$R$67),"")</f>
        <v/>
      </c>
      <c r="AJ49" s="42" t="str">
        <f>IF(AND('Mapa final'!$AH$68="Baja",'Mapa final'!$AJ$68="Catastrófico"),CONCATENATE("R2C",'Mapa final'!$R$68),"")</f>
        <v/>
      </c>
      <c r="AK49" s="42" t="str">
        <f>IF(AND('Mapa final'!$AH$69="Baja",'Mapa final'!$AJ$69="Catastrófico"),CONCATENATE("R2C",'Mapa final'!$R$69),"")</f>
        <v/>
      </c>
      <c r="AL49" s="42" t="str">
        <f>IF(AND('Mapa final'!$AH$70="Baja",'Mapa final'!$AJ$70="Catastrófico"),CONCATENATE("R2C",'Mapa final'!$R$70),"")</f>
        <v/>
      </c>
      <c r="AM49" s="42" t="str">
        <f>IF(AND('Mapa final'!$AH$71="Baja",'Mapa final'!$AJ$71="Catastrófico"),CONCATENATE("R2C",'Mapa final'!$R$71),"")</f>
        <v/>
      </c>
      <c r="AN49" s="43" t="str">
        <f>IF(AND('Mapa final'!$AH$72="Baja",'Mapa final'!$AJ$72="Catastrófico"),CONCATENATE("R2C",'Mapa final'!$R$72),"")</f>
        <v/>
      </c>
      <c r="AO49" s="68"/>
      <c r="AP49" s="521"/>
      <c r="AQ49" s="522"/>
      <c r="AR49" s="522"/>
      <c r="AS49" s="522"/>
      <c r="AT49" s="522"/>
      <c r="AU49" s="523"/>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row>
    <row r="50" spans="2:81" ht="15" customHeight="1">
      <c r="B50" s="68"/>
      <c r="C50" s="446"/>
      <c r="D50" s="446"/>
      <c r="E50" s="447"/>
      <c r="F50" s="489"/>
      <c r="G50" s="490"/>
      <c r="H50" s="490"/>
      <c r="I50" s="490"/>
      <c r="J50" s="490"/>
      <c r="K50" s="62" t="str">
        <f>IF(AND('Mapa final'!$AH$73="Baja",'Mapa final'!$AJ$73="Leve"),CONCATENATE("R2C",'Mapa final'!$R$73),"")</f>
        <v/>
      </c>
      <c r="L50" s="63" t="str">
        <f>IF(AND('Mapa final'!$AH$74="Baja",'Mapa final'!$AJ$74="Leve"),CONCATENATE("R2C",'Mapa final'!$R$74),"")</f>
        <v/>
      </c>
      <c r="M50" s="63" t="str">
        <f>IF(AND('Mapa final'!$AH$75="Baja",'Mapa final'!$AJ$75="Leve"),CONCATENATE("R2C",'Mapa final'!$R$75),"")</f>
        <v/>
      </c>
      <c r="N50" s="63" t="str">
        <f>IF(AND('Mapa final'!$AH$76="Baja",'Mapa final'!$AJ$76="Leve"),CONCATENATE("R2C",'Mapa final'!$R$76),"")</f>
        <v/>
      </c>
      <c r="O50" s="63" t="str">
        <f>IF(AND('Mapa final'!$AH$77="Baja",'Mapa final'!$AJ$77="Leve"),CONCATENATE("R2C",'Mapa final'!$R$77),"")</f>
        <v/>
      </c>
      <c r="P50" s="64" t="str">
        <f>IF(AND('Mapa final'!$AH$78="Baja",'Mapa final'!$AJ$78="Leve"),CONCATENATE("R2C",'Mapa final'!$R$78),"")</f>
        <v/>
      </c>
      <c r="Q50" s="53" t="str">
        <f>IF(AND('Mapa final'!$AH$73="Baja",'Mapa final'!$AJ$73="Menor"),CONCATENATE("R2C",'Mapa final'!$R$73),"")</f>
        <v/>
      </c>
      <c r="R50" s="54" t="str">
        <f>IF(AND('Mapa final'!$AH$74="Baja",'Mapa final'!$AJ$74="Menor"),CONCATENATE("R2C",'Mapa final'!$R$74),"")</f>
        <v/>
      </c>
      <c r="S50" s="54" t="str">
        <f>IF(AND('Mapa final'!$AH$75="Baja",'Mapa final'!$AJ$75="Menor"),CONCATENATE("R2C",'Mapa final'!$R$75),"")</f>
        <v/>
      </c>
      <c r="T50" s="54" t="str">
        <f>IF(AND('Mapa final'!$AH$76="Baja",'Mapa final'!$AJ$76="Menor"),CONCATENATE("R2C",'Mapa final'!$R$76),"")</f>
        <v/>
      </c>
      <c r="U50" s="54" t="str">
        <f>IF(AND('Mapa final'!$AH$77="Baja",'Mapa final'!$AJ$77="Menor"),CONCATENATE("R2C",'Mapa final'!$R$77),"")</f>
        <v/>
      </c>
      <c r="V50" s="55" t="str">
        <f>IF(AND('Mapa final'!$AH$78="Baja",'Mapa final'!$AJ$78="Menor"),CONCATENATE("R2C",'Mapa final'!$R$78),"")</f>
        <v/>
      </c>
      <c r="W50" s="53" t="str">
        <f>IF(AND('Mapa final'!$AH$73="Baja",'Mapa final'!$AJ$73="Moderado"),CONCATENATE("R2C",'Mapa final'!$R$73),"")</f>
        <v/>
      </c>
      <c r="X50" s="54" t="str">
        <f>IF(AND('Mapa final'!$AH$74="Baja",'Mapa final'!$AJ$74="Moderado"),CONCATENATE("R2C",'Mapa final'!$R$74),"")</f>
        <v/>
      </c>
      <c r="Y50" s="54" t="str">
        <f>IF(AND('Mapa final'!$AH$75="Baja",'Mapa final'!$AJ$75="Moderado"),CONCATENATE("R2C",'Mapa final'!$R$75),"")</f>
        <v/>
      </c>
      <c r="Z50" s="54" t="str">
        <f>IF(AND('Mapa final'!$AH$76="Baja",'Mapa final'!$AJ$76="Moderado"),CONCATENATE("R2C",'Mapa final'!$R$76),"")</f>
        <v/>
      </c>
      <c r="AA50" s="54" t="str">
        <f>IF(AND('Mapa final'!$AH$77="Baja",'Mapa final'!$AJ$77="Moderado"),CONCATENATE("R2C",'Mapa final'!$R$77),"")</f>
        <v/>
      </c>
      <c r="AB50" s="55" t="str">
        <f>IF(AND('Mapa final'!$AH$78="Baja",'Mapa final'!$AJ$78="Moderado"),CONCATENATE("R2C",'Mapa final'!$R$78),"")</f>
        <v/>
      </c>
      <c r="AC50" s="38" t="str">
        <f>IF(AND('Mapa final'!$AH$73="Baja",'Mapa final'!$AJ$73="Mayor"),CONCATENATE("R2C",'Mapa final'!$R$73),"")</f>
        <v/>
      </c>
      <c r="AD50" s="39" t="str">
        <f>IF(AND('Mapa final'!$AH$74="Baja",'Mapa final'!$AJ$74="Mayor"),CONCATENATE("R2C",'Mapa final'!$R$74),"")</f>
        <v/>
      </c>
      <c r="AE50" s="39" t="str">
        <f>IF(AND('Mapa final'!$AH$75="Baja",'Mapa final'!$AJ$75="Mayor"),CONCATENATE("R2C",'Mapa final'!$R$75),"")</f>
        <v/>
      </c>
      <c r="AF50" s="39" t="str">
        <f>IF(AND('Mapa final'!$AH$76="Baja",'Mapa final'!$AJ$76="Mayor"),CONCATENATE("R2C",'Mapa final'!$R$76),"")</f>
        <v/>
      </c>
      <c r="AG50" s="39" t="str">
        <f>IF(AND('Mapa final'!$AH$77="Baja",'Mapa final'!$AJ$77="Mayor"),CONCATENATE("R2C",'Mapa final'!$R$77),"")</f>
        <v/>
      </c>
      <c r="AH50" s="40" t="str">
        <f>IF(AND('Mapa final'!$AH$78="Baja",'Mapa final'!$AJ$78="Mayor"),CONCATENATE("R2C",'Mapa final'!$R$78),"")</f>
        <v/>
      </c>
      <c r="AI50" s="41" t="str">
        <f>IF(AND('Mapa final'!$AH$73="Baja",'Mapa final'!$AJ$73="Catastrófico"),CONCATENATE("R2C",'Mapa final'!$R$73),"")</f>
        <v/>
      </c>
      <c r="AJ50" s="42" t="str">
        <f>IF(AND('Mapa final'!$AH$74="Baja",'Mapa final'!$AJ$74="Catastrófico"),CONCATENATE("R2C",'Mapa final'!$R$74),"")</f>
        <v/>
      </c>
      <c r="AK50" s="42" t="str">
        <f>IF(AND('Mapa final'!$AH$75="Baja",'Mapa final'!$AJ$75="Catastrófico"),CONCATENATE("R2C",'Mapa final'!$R$75),"")</f>
        <v/>
      </c>
      <c r="AL50" s="42" t="str">
        <f>IF(AND('Mapa final'!$AH$76="Baja",'Mapa final'!$AJ$76="Catastrófico"),CONCATENATE("R2C",'Mapa final'!$R$76),"")</f>
        <v/>
      </c>
      <c r="AM50" s="42" t="str">
        <f>IF(AND('Mapa final'!$AH$77="Baja",'Mapa final'!$AJ$77="Catastrófico"),CONCATENATE("R2C",'Mapa final'!$R$77),"")</f>
        <v/>
      </c>
      <c r="AN50" s="43" t="str">
        <f>IF(AND('Mapa final'!$AH$78="Baja",'Mapa final'!$AJ$78="Catastrófico"),CONCATENATE("R2C",'Mapa final'!$R$78),"")</f>
        <v/>
      </c>
      <c r="AO50" s="68"/>
      <c r="AP50" s="521"/>
      <c r="AQ50" s="522"/>
      <c r="AR50" s="522"/>
      <c r="AS50" s="522"/>
      <c r="AT50" s="522"/>
      <c r="AU50" s="523"/>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row>
    <row r="51" spans="2:81" ht="15.75" customHeight="1" thickBot="1">
      <c r="B51" s="68"/>
      <c r="C51" s="446"/>
      <c r="D51" s="446"/>
      <c r="E51" s="447"/>
      <c r="F51" s="492"/>
      <c r="G51" s="493"/>
      <c r="H51" s="493"/>
      <c r="I51" s="493"/>
      <c r="J51" s="493"/>
      <c r="K51" s="65" t="str">
        <f>IF(AND('Mapa final'!$AH$79="Baja",'Mapa final'!$AJ$79="Leve"),CONCATENATE("R2C",'Mapa final'!$R$79),"")</f>
        <v/>
      </c>
      <c r="L51" s="66" t="str">
        <f>IF(AND('Mapa final'!$AH$80="Baja",'Mapa final'!$AJ$80="Leve"),CONCATENATE("R2C",'Mapa final'!$R$80),"")</f>
        <v/>
      </c>
      <c r="M51" s="66" t="str">
        <f>IF(AND('Mapa final'!$AH$81="Baja",'Mapa final'!$AJ$81="Leve"),CONCATENATE("R2C",'Mapa final'!$R$81),"")</f>
        <v/>
      </c>
      <c r="N51" s="66" t="str">
        <f>IF(AND('Mapa final'!$AH$82="Baja",'Mapa final'!$AJ$82="Leve"),CONCATENATE("R2C",'Mapa final'!$R$82),"")</f>
        <v/>
      </c>
      <c r="O51" s="66" t="str">
        <f>IF(AND('Mapa final'!$AH$84="Baja",'Mapa final'!$AJ$84="Leve"),CONCATENATE("R2C",'Mapa final'!$R$84),"")</f>
        <v/>
      </c>
      <c r="P51" s="67" t="str">
        <f>IF(AND('Mapa final'!$AH$85="Baja",'Mapa final'!$AJ$85="Leve"),CONCATENATE("R2C",'Mapa final'!$R$85),"")</f>
        <v/>
      </c>
      <c r="Q51" s="53" t="str">
        <f>IF(AND('Mapa final'!$AH$79="Baja",'Mapa final'!$AJ$79="Menor"),CONCATENATE("R2C",'Mapa final'!$R$79),"")</f>
        <v/>
      </c>
      <c r="R51" s="54" t="str">
        <f>IF(AND('Mapa final'!$AH$80="Baja",'Mapa final'!$AJ$80="Menor"),CONCATENATE("R2C",'Mapa final'!$R$80),"")</f>
        <v/>
      </c>
      <c r="S51" s="54" t="str">
        <f>IF(AND('Mapa final'!$AH$81="Baja",'Mapa final'!$AJ$81="Menor"),CONCATENATE("R2C",'Mapa final'!$R$81),"")</f>
        <v/>
      </c>
      <c r="T51" s="54" t="str">
        <f>IF(AND('Mapa final'!$AH$82="Baja",'Mapa final'!$AJ$82="Menor"),CONCATENATE("R2C",'Mapa final'!$R$82),"")</f>
        <v/>
      </c>
      <c r="U51" s="54" t="str">
        <f>IF(AND('Mapa final'!$AH$84="Baja",'Mapa final'!$AJ$84="Menor"),CONCATENATE("R2C",'Mapa final'!$R$84),"")</f>
        <v/>
      </c>
      <c r="V51" s="55" t="str">
        <f>IF(AND('Mapa final'!$AH$85="Baja",'Mapa final'!$AJ$85="Menor"),CONCATENATE("R2C",'Mapa final'!$R$85),"")</f>
        <v/>
      </c>
      <c r="W51" s="56" t="str">
        <f>IF(AND('Mapa final'!$AH$79="Baja",'Mapa final'!$AJ$79="Moderado"),CONCATENATE("R2C",'Mapa final'!$R$79),"")</f>
        <v/>
      </c>
      <c r="X51" s="57" t="str">
        <f>IF(AND('Mapa final'!$AH$80="Baja",'Mapa final'!$AJ$80="Moderado"),CONCATENATE("R2C",'Mapa final'!$R$80),"")</f>
        <v/>
      </c>
      <c r="Y51" s="57" t="str">
        <f>IF(AND('Mapa final'!$AH$81="Baja",'Mapa final'!$AJ$81="Moderado"),CONCATENATE("R2C",'Mapa final'!$R$81),"")</f>
        <v/>
      </c>
      <c r="Z51" s="57" t="str">
        <f>IF(AND('Mapa final'!$AH$82="Baja",'Mapa final'!$AJ$82="Moderado"),CONCATENATE("R2C",'Mapa final'!$R$82),"")</f>
        <v/>
      </c>
      <c r="AA51" s="57" t="str">
        <f>IF(AND('Mapa final'!$AH$84="Baja",'Mapa final'!$AJ$84="Moderado"),CONCATENATE("R2C",'Mapa final'!$R$84),"")</f>
        <v/>
      </c>
      <c r="AB51" s="58" t="str">
        <f>IF(AND('Mapa final'!$AH$85="Baja",'Mapa final'!$AJ$85="Moderado"),CONCATENATE("R2C",'Mapa final'!$R$85),"")</f>
        <v/>
      </c>
      <c r="AC51" s="44" t="str">
        <f>IF(AND('Mapa final'!$AH$79="Baja",'Mapa final'!$AJ$79="Mayor"),CONCATENATE("R2C",'Mapa final'!$R$79),"")</f>
        <v/>
      </c>
      <c r="AD51" s="45" t="str">
        <f>IF(AND('Mapa final'!$AH$80="Baja",'Mapa final'!$AJ$80="Mayor"),CONCATENATE("R2C",'Mapa final'!$R$80),"")</f>
        <v/>
      </c>
      <c r="AE51" s="45" t="str">
        <f>IF(AND('Mapa final'!$AH$81="Baja",'Mapa final'!$AJ$81="Mayor"),CONCATENATE("R2C",'Mapa final'!$R$81),"")</f>
        <v/>
      </c>
      <c r="AF51" s="45" t="str">
        <f>IF(AND('Mapa final'!$AH$82="Baja",'Mapa final'!$AJ$82="Mayor"),CONCATENATE("R2C",'Mapa final'!$R$82),"")</f>
        <v/>
      </c>
      <c r="AG51" s="45" t="str">
        <f>IF(AND('Mapa final'!$AH$84="Baja",'Mapa final'!$AJ$84="Mayor"),CONCATENATE("R2C",'Mapa final'!$R$84),"")</f>
        <v/>
      </c>
      <c r="AH51" s="46" t="str">
        <f>IF(AND('Mapa final'!$AH$85="Baja",'Mapa final'!$AJ$85="Mayor"),CONCATENATE("R2C",'Mapa final'!$R$85),"")</f>
        <v/>
      </c>
      <c r="AI51" s="47" t="str">
        <f>IF(AND('Mapa final'!$AH$79="Baja",'Mapa final'!$AJ$79="Catastrófico"),CONCATENATE("R2C",'Mapa final'!$R$79),"")</f>
        <v/>
      </c>
      <c r="AJ51" s="48" t="str">
        <f>IF(AND('Mapa final'!$AH$80="Baja",'Mapa final'!$AJ$80="Catastrófico"),CONCATENATE("R2C",'Mapa final'!$R$80),"")</f>
        <v/>
      </c>
      <c r="AK51" s="48" t="str">
        <f>IF(AND('Mapa final'!$AH$81="Baja",'Mapa final'!$AJ$81="Catastrófico"),CONCATENATE("R2C",'Mapa final'!$R$81),"")</f>
        <v/>
      </c>
      <c r="AL51" s="48" t="str">
        <f>IF(AND('Mapa final'!$AH$82="Baja",'Mapa final'!$AJ$82="Catastrófico"),CONCATENATE("R2C",'Mapa final'!$R$82),"")</f>
        <v/>
      </c>
      <c r="AM51" s="48" t="str">
        <f>IF(AND('Mapa final'!$AH$84="Baja",'Mapa final'!$AJ$84="Catastrófico"),CONCATENATE("R2C",'Mapa final'!$R$84),"")</f>
        <v/>
      </c>
      <c r="AN51" s="49" t="str">
        <f>IF(AND('Mapa final'!$AH$85="Baja",'Mapa final'!$AJ$85="Catastrófico"),CONCATENATE("R2C",'Mapa final'!$R$85),"")</f>
        <v/>
      </c>
      <c r="AO51" s="68"/>
      <c r="AP51" s="524"/>
      <c r="AQ51" s="525"/>
      <c r="AR51" s="525"/>
      <c r="AS51" s="525"/>
      <c r="AT51" s="525"/>
      <c r="AU51" s="526"/>
    </row>
    <row r="52" spans="2:81" ht="41.25" customHeight="1">
      <c r="B52" s="68"/>
      <c r="C52" s="446"/>
      <c r="D52" s="446"/>
      <c r="E52" s="447"/>
      <c r="F52" s="486" t="s">
        <v>338</v>
      </c>
      <c r="G52" s="487"/>
      <c r="H52" s="487"/>
      <c r="I52" s="487"/>
      <c r="J52" s="488"/>
      <c r="K52" s="59"/>
      <c r="L52" s="60" t="str">
        <f>IF(AND('Mapa final'!$AH$16="Muy Baja",'Mapa final'!$AJ$16="Leve"),CONCATENATE("R2C",'Mapa final'!$R$15),"")</f>
        <v/>
      </c>
      <c r="M52" s="60" t="str">
        <f>IF(AND('Mapa final'!$AH$17="Muy Baja",'Mapa final'!$AJ$17="Leve"),CONCATENATE("R2C",'Mapa final'!$R$17),"")</f>
        <v/>
      </c>
      <c r="N52" s="60" t="str">
        <f>IF(AND('Mapa final'!$AH$20="Muy Baja",'Mapa final'!$AJ$20="Leve"),CONCATENATE("R2C",'Mapa final'!$R$20),"")</f>
        <v/>
      </c>
      <c r="O52" s="60" t="str">
        <f>IF(AND('Mapa final'!$AH$21="Muy Baja",'Mapa final'!$AJ$21="Leve"),CONCATENATE("R2C",'Mapa final'!$R$21),"")</f>
        <v/>
      </c>
      <c r="P52" s="61" t="str">
        <f>IF(AND('Mapa final'!$AH$22="Muy Baja",'Mapa final'!$AJ$22="Leve"),CONCATENATE("R2C",'Mapa final'!$R$22),"")</f>
        <v/>
      </c>
      <c r="Q52" s="59"/>
      <c r="R52" s="60" t="str">
        <f>IF(AND('Mapa final'!$AH$16="Muy Baja",'Mapa final'!$AJ$16="Menore"),CONCATENATE("R2C",'Mapa final'!$R$15),"")</f>
        <v/>
      </c>
      <c r="S52" s="60" t="str">
        <f>IF(AND('Mapa final'!$AH$17="Muy Baja",'Mapa final'!$AJ$17="Menor"),CONCATENATE("R2C",'Mapa final'!$R$17),"")</f>
        <v/>
      </c>
      <c r="T52" s="60" t="str">
        <f>IF(AND('Mapa final'!$AH$20="Muy Baja",'Mapa final'!$AJ$20="Menor"),CONCATENATE("R2C",'Mapa final'!$R$20),"")</f>
        <v/>
      </c>
      <c r="U52" s="60" t="str">
        <f>IF(AND('Mapa final'!$AH$21="Muy Baja",'Mapa final'!$AJ$21="Menor"),CONCATENATE("R2C",'Mapa final'!$R$21),"")</f>
        <v/>
      </c>
      <c r="V52" s="61" t="str">
        <f>IF(AND('Mapa final'!$AH$22="Muy Baja",'Mapa final'!$AJ$22="Menor"),CONCATENATE("R2C",'Mapa final'!$R$22),"")</f>
        <v/>
      </c>
      <c r="W52" s="50"/>
      <c r="X52" s="205" t="str">
        <f>IF(AND('Mapa final'!$AH$16="Muy Baja",'Mapa final'!$AJ$16="Moderado"),CONCATENATE("R2C",'Mapa final'!$D$15),"")</f>
        <v/>
      </c>
      <c r="Y52" s="51"/>
      <c r="Z52" s="51" t="str">
        <f>IF(AND('Mapa final'!$AH$20="Muy Baja",'Mapa final'!$AJ$20="Moderado"),CONCATENATE("R2C",'Mapa final'!$R$20),"")</f>
        <v/>
      </c>
      <c r="AA52" s="51" t="str">
        <f>IF(AND('Mapa final'!$AH$21="Muy Baja",'Mapa final'!$AJ$21="Moderado"),CONCATENATE("R2C",'Mapa final'!$R$21),"")</f>
        <v/>
      </c>
      <c r="AB52" s="52" t="str">
        <f>IF(AND('Mapa final'!$AH$22="Muy Baja",'Mapa final'!$AJ$22="Moderado"),CONCATENATE("R2C",'Mapa final'!$R$22),"")</f>
        <v/>
      </c>
      <c r="AC52" s="32"/>
      <c r="AD52" s="33" t="str">
        <f>IF(AND('Mapa final'!$AH$16="Muy Baja",'Mapa final'!$AJ$16="Mayor"),CONCATENATE("R2C",'Mapa final'!$R$15),"")</f>
        <v/>
      </c>
      <c r="AE52" s="204" t="str">
        <f>IF(AND('Mapa final'!$AH$17="Muy Baja",'Mapa final'!$AJ$17="Mayor"),CONCATENATE("R2C",'Mapa final'!$D$17),"")</f>
        <v/>
      </c>
      <c r="AF52" s="33" t="str">
        <f>IF(AND('Mapa final'!$AH$20="Muy Baja",'Mapa final'!$AJ$20="Mayor"),CONCATENATE("R2C",'Mapa final'!$R$20),"")</f>
        <v/>
      </c>
      <c r="AG52" s="33" t="str">
        <f>IF(AND('Mapa final'!$AH$21="Muy Baja",'Mapa final'!$AJ$21="Mayor"),CONCATENATE("R2C",'Mapa final'!$R$21),"")</f>
        <v/>
      </c>
      <c r="AH52" s="34" t="str">
        <f>IF(AND('Mapa final'!$AH$22="Muy Baja",'Mapa final'!$AJ$22="Mayor"),CONCATENATE("R2C",'Mapa final'!$R$22),"")</f>
        <v/>
      </c>
      <c r="AI52" s="35"/>
      <c r="AJ52" s="36" t="str">
        <f>IF(AND('Mapa final'!$AH$16="Muy Baja",'Mapa final'!$AJ$16="Catastrófico"),CONCATENATE("R2C",'Mapa final'!$D$15),"")</f>
        <v/>
      </c>
      <c r="AK52" s="36" t="str">
        <f>IF(AND('Mapa final'!$AH$17="Muy Baja",'Mapa final'!$AJ$17="Catastrófico"),CONCATENATE("R2C",'Mapa final'!$R$17),"")</f>
        <v/>
      </c>
      <c r="AL52" s="36" t="str">
        <f>IF(AND('Mapa final'!$AH$20="Muy Baja",'Mapa final'!$AJ$20="Catastrófico"),CONCATENATE("R2C",'Mapa final'!$R$20),"")</f>
        <v/>
      </c>
      <c r="AM52" s="36" t="str">
        <f>IF(AND('Mapa final'!$AH$21="Muy Baja",'Mapa final'!$AJ$21="Catastrófico"),CONCATENATE("R2C",'Mapa final'!$R$21),"")</f>
        <v/>
      </c>
      <c r="AN52" s="37" t="str">
        <f>IF(AND('Mapa final'!$AH$22="Muy Baja",'Mapa final'!$AJ$22="Catastrófico"),CONCATENATE("R2C",'Mapa final'!$R$22),"")</f>
        <v/>
      </c>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row>
    <row r="53" spans="2:81" ht="57.75" customHeight="1">
      <c r="B53" s="68"/>
      <c r="C53" s="446"/>
      <c r="D53" s="446"/>
      <c r="E53" s="447"/>
      <c r="F53" s="505"/>
      <c r="G53" s="490"/>
      <c r="H53" s="490"/>
      <c r="I53" s="490"/>
      <c r="J53" s="491"/>
      <c r="K53" s="62" t="str">
        <f>IF(AND('Mapa final'!$AH$23="Muy Baja",'Mapa final'!$AJ$23="Leve"),CONCATENATE("R2C",'Mapa final'!$R$23),"")</f>
        <v/>
      </c>
      <c r="L53" s="63" t="str">
        <f>IF(AND('Mapa final'!$AH$24="Muy Baja",'Mapa final'!$AJ$24="Leve"),CONCATENATE("R2C",'Mapa final'!$R$24),"")</f>
        <v/>
      </c>
      <c r="M53" s="63" t="str">
        <f>IF(AND('Mapa final'!$AH$33="Muy Baja",'Mapa final'!$AJ$33="Leve"),CONCATENATE("R2C",'Mapa final'!$R$33),"")</f>
        <v/>
      </c>
      <c r="N53" s="63" t="str">
        <f>IF(AND('Mapa final'!$AH$34="Muy Baja",'Mapa final'!$AJ$34="Leve"),CONCATENATE("R2C",'Mapa final'!$R$34),"")</f>
        <v/>
      </c>
      <c r="O53" s="63" t="str">
        <f>IF(AND('Mapa final'!$AH$35="Muy Baja",'Mapa final'!$AJ$35="Leve"),CONCATENATE("R2C",'Mapa final'!$R$35),"")</f>
        <v/>
      </c>
      <c r="P53" s="64" t="str">
        <f>IF(AND('Mapa final'!$AH$36="Muy Baja",'Mapa final'!$AJ$36="Leve"),CONCATENATE("R2C",'Mapa final'!$R$36),"")</f>
        <v/>
      </c>
      <c r="Q53" s="62" t="str">
        <f>IF(AND('Mapa final'!$AH$23="Muy Baja",'Mapa final'!$AJ$23="Menor"),CONCATENATE("R2C",'Mapa final'!$R$23),"")</f>
        <v/>
      </c>
      <c r="R53" s="63" t="str">
        <f>IF(AND('Mapa final'!$AH$24="Muy Baja",'Mapa final'!$AJ$24="Menor"),CONCATENATE("R2C",'Mapa final'!$R$24),"")</f>
        <v/>
      </c>
      <c r="S53" s="63" t="str">
        <f>IF(AND('Mapa final'!$AH$33="Muy Baja",'Mapa final'!$AJ$33="Menor"),CONCATENATE("R2C",'Mapa final'!$R$33),"")</f>
        <v/>
      </c>
      <c r="T53" s="63" t="str">
        <f>IF(AND('Mapa final'!$AH$34="Muy Baja",'Mapa final'!$AJ$34="Menor"),CONCATENATE("R2C",'Mapa final'!$R$34),"")</f>
        <v/>
      </c>
      <c r="U53" s="63" t="str">
        <f>IF(AND('Mapa final'!$AH$35="Muy Baja",'Mapa final'!$AJ$35="Menor"),CONCATENATE("R2C",'Mapa final'!$R$35),"")</f>
        <v/>
      </c>
      <c r="V53" s="64" t="str">
        <f>IF(AND('Mapa final'!$AH$36="Muy Baja",'Mapa final'!$AJ$36="Menor"),CONCATENATE("R2C",'Mapa final'!$R$36),"")</f>
        <v/>
      </c>
      <c r="W53" s="53" t="str">
        <f>IF(AND('Mapa final'!$AH$23="Muy Baja",'Mapa final'!$AJ$23="Moderado"),CONCATENATE("R2C",'Mapa final'!$R$23),"")</f>
        <v/>
      </c>
      <c r="X53" s="54" t="str">
        <f>IF(AND('Mapa final'!$AH$24="Muy Baja",'Mapa final'!$AJ$24="Moderado"),CONCATENATE("R2C",'Mapa final'!$R$24),"")</f>
        <v/>
      </c>
      <c r="Y53" s="54" t="str">
        <f>IF(AND('Mapa final'!$AH$33="Muy Baja",'Mapa final'!$AJ$33="Moderado"),CONCATENATE("R2C",'Mapa final'!$R$33),"")</f>
        <v/>
      </c>
      <c r="Z53" s="54" t="str">
        <f>IF(AND('Mapa final'!$AH$34="Muy Baja",'Mapa final'!$AJ$34="Moderado"),CONCATENATE("R2C",'Mapa final'!$R$34),"")</f>
        <v/>
      </c>
      <c r="AA53" s="54" t="str">
        <f>IF(AND('Mapa final'!$AH$35="Muy Baja",'Mapa final'!$AJ$35="Moderado"),CONCATENATE("R2C",'Mapa final'!$R$35),"")</f>
        <v/>
      </c>
      <c r="AB53" s="55" t="str">
        <f>IF(AND('Mapa final'!$AH$36="Muy Baja",'Mapa final'!$AJ$36="Moderado"),CONCATENATE("R2C",'Mapa final'!$R$36),"")</f>
        <v/>
      </c>
      <c r="AC53" s="38" t="str">
        <f>IF(AND('Mapa final'!$AH$23="Muy Baja",'Mapa final'!$AJ$23="Mayor"),CONCATENATE("R2C",'Mapa final'!$R$23),"")</f>
        <v/>
      </c>
      <c r="AD53" s="39" t="str">
        <f>IF(AND('Mapa final'!$AH$24="Muy Baja",'Mapa final'!$AJ$24="Mayor"),CONCATENATE("R2C",'Mapa final'!$R$24),"")</f>
        <v/>
      </c>
      <c r="AE53" s="39" t="str">
        <f>IF(AND('Mapa final'!$AH$33="Muy Baja",'Mapa final'!$AJ$33="Mayor"),CONCATENATE("R2C",'Mapa final'!$R$33),"")</f>
        <v/>
      </c>
      <c r="AF53" s="39" t="str">
        <f>IF(AND('Mapa final'!$AH$34="Muy Baja",'Mapa final'!$AJ$34="Mayor"),CONCATENATE("R2C",'Mapa final'!$R$34),"")</f>
        <v/>
      </c>
      <c r="AG53" s="39" t="str">
        <f>IF(AND('Mapa final'!$AH$35="Muy Baja",'Mapa final'!$AJ$35="Mayor"),CONCATENATE("R2C",'Mapa final'!$R$35),"")</f>
        <v/>
      </c>
      <c r="AH53" s="40" t="str">
        <f>IF(AND('Mapa final'!$AH$36="Muy Baja",'Mapa final'!$AJ$36="Mayor"),CONCATENATE("R2C",'Mapa final'!$R$36),"")</f>
        <v/>
      </c>
      <c r="AI53" s="41" t="str">
        <f>IF(AND('Mapa final'!$AH$23="Muy Baja",'Mapa final'!$AJ$23="Catastrófico"),CONCATENATE("R2C",'Mapa final'!$A$23),"")</f>
        <v/>
      </c>
      <c r="AJ53" s="42" t="str">
        <f>IF(AND('Mapa final'!$AH$24="Muy Baja",'Mapa final'!$AJ$24="Catastrófico"),CONCATENATE("R2C",'Mapa final'!$R$24),"")</f>
        <v/>
      </c>
      <c r="AK53" s="42" t="str">
        <f>IF(AND('Mapa final'!$AH$33="Muy Baja",'Mapa final'!$AJ$33="Catastrófico"),CONCATENATE("R2C",'Mapa final'!$R$33),"")</f>
        <v/>
      </c>
      <c r="AL53" s="42" t="str">
        <f>IF(AND('Mapa final'!$AH$34="Muy Baja",'Mapa final'!$AJ$34="Catastrófico"),CONCATENATE("R2C",'Mapa final'!$R$34),"")</f>
        <v/>
      </c>
      <c r="AM53" s="42" t="str">
        <f>IF(AND('Mapa final'!$AH$35="Muy Baja",'Mapa final'!$AJ$35="Catastrófico"),CONCATENATE("R2C",'Mapa final'!$R$35),"")</f>
        <v/>
      </c>
      <c r="AN53" s="43" t="str">
        <f>IF(AND('Mapa final'!$AH$36="Muy Baja",'Mapa final'!$AJ$36="Catastrófico"),CONCATENATE("R2C",'Mapa final'!$R$36),"")</f>
        <v/>
      </c>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row>
    <row r="54" spans="2:81" ht="15" customHeight="1">
      <c r="B54" s="68"/>
      <c r="C54" s="446"/>
      <c r="D54" s="446"/>
      <c r="E54" s="447"/>
      <c r="F54" s="505"/>
      <c r="G54" s="490"/>
      <c r="H54" s="490"/>
      <c r="I54" s="490"/>
      <c r="J54" s="491"/>
      <c r="K54" s="62" t="str">
        <f>IF(AND('Mapa final'!$AH$37="Muy Baja",'Mapa final'!$AJ$37="Leve"),CONCATENATE("R2C",'Mapa final'!$R$37),"")</f>
        <v/>
      </c>
      <c r="L54" s="63" t="str">
        <f>IF(AND('Mapa final'!$AH$38="Muy Baja",'Mapa final'!$AJ$38="Leve"),CONCATENATE("R2C",'Mapa final'!$R$38),"")</f>
        <v/>
      </c>
      <c r="M54" s="63" t="str">
        <f>IF(AND('Mapa final'!$AH$39="Muy Baja",'Mapa final'!$AJ$39="Leve"),CONCATENATE("R2C",'Mapa final'!$R$39),"")</f>
        <v/>
      </c>
      <c r="N54" s="63" t="str">
        <f>IF(AND('Mapa final'!$AH$40="Muy Baja",'Mapa final'!$AJ$40="Leve"),CONCATENATE("R2C",'Mapa final'!$R$40),"")</f>
        <v/>
      </c>
      <c r="O54" s="63" t="str">
        <f>IF(AND('Mapa final'!$AH$41="Muy Baja",'Mapa final'!$AJ$41="Leve"),CONCATENATE("R2C",'Mapa final'!$R$41),"")</f>
        <v/>
      </c>
      <c r="P54" s="64" t="str">
        <f>IF(AND('Mapa final'!$AH$42="Muy Baja",'Mapa final'!$AJ$42="Leve"),CONCATENATE("R2C",'Mapa final'!$R$42),"")</f>
        <v/>
      </c>
      <c r="Q54" s="62" t="str">
        <f>IF(AND('Mapa final'!$AH$37="Muy Baja",'Mapa final'!$AJ$37="Menor"),CONCATENATE("R2C",'Mapa final'!$R$37),"")</f>
        <v/>
      </c>
      <c r="R54" s="63" t="str">
        <f>IF(AND('Mapa final'!$AH$38="Muy Baja",'Mapa final'!$AJ$38="Menor"),CONCATENATE("R2C",'Mapa final'!$R$38),"")</f>
        <v/>
      </c>
      <c r="S54" s="63" t="str">
        <f>IF(AND('Mapa final'!$AH$39="Muy Baja",'Mapa final'!$AJ$39="Menor"),CONCATENATE("R2C",'Mapa final'!$R$39),"")</f>
        <v/>
      </c>
      <c r="T54" s="63" t="str">
        <f>IF(AND('Mapa final'!$AH$40="Muy Baja",'Mapa final'!$AJ$40="Menor"),CONCATENATE("R2C",'Mapa final'!$R$40),"")</f>
        <v/>
      </c>
      <c r="U54" s="63" t="str">
        <f>IF(AND('Mapa final'!$AH$41="Muy Baja",'Mapa final'!$AJ$41="Menor"),CONCATENATE("R2C",'Mapa final'!$R$41),"")</f>
        <v/>
      </c>
      <c r="V54" s="64" t="str">
        <f>IF(AND('Mapa final'!$AH$42="Muy Baja",'Mapa final'!$AJ$42="Menor"),CONCATENATE("R2C",'Mapa final'!$R$42),"")</f>
        <v/>
      </c>
      <c r="W54" s="53" t="str">
        <f>IF(AND('Mapa final'!$AH$37="Muy Baja",'Mapa final'!$AJ$37="Moderado"),CONCATENATE("R2C",'Mapa final'!$R$37),"")</f>
        <v/>
      </c>
      <c r="X54" s="54" t="str">
        <f>IF(AND('Mapa final'!$AH$38="Muy Baja",'Mapa final'!$AJ$38="Moderado"),CONCATENATE("R2C",'Mapa final'!$R$38),"")</f>
        <v/>
      </c>
      <c r="Y54" s="54" t="str">
        <f>IF(AND('Mapa final'!$AH$39="Muy Baja",'Mapa final'!$AJ$39="Moderado"),CONCATENATE("R2C",'Mapa final'!$R$39),"")</f>
        <v/>
      </c>
      <c r="Z54" s="54" t="str">
        <f>IF(AND('Mapa final'!$AH$40="Muy Baja",'Mapa final'!$AJ$40="Moderado"),CONCATENATE("R2C",'Mapa final'!$R$40),"")</f>
        <v/>
      </c>
      <c r="AA54" s="54" t="str">
        <f>IF(AND('Mapa final'!$AH$41="Muy Baja",'Mapa final'!$AJ$41="Moderado"),CONCATENATE("R2C",'Mapa final'!$R$41),"")</f>
        <v/>
      </c>
      <c r="AB54" s="55" t="str">
        <f>IF(AND('Mapa final'!$AH$42="Muy Baja",'Mapa final'!$AJ$42="Moderado"),CONCATENATE("R2C",'Mapa final'!$R$42),"")</f>
        <v/>
      </c>
      <c r="AC54" s="38" t="str">
        <f>IF(AND('Mapa final'!$AH$37="Muy Baja",'Mapa final'!$AJ$37="Mayor"),CONCATENATE("R2C",'Mapa final'!$R$37),"")</f>
        <v/>
      </c>
      <c r="AD54" s="39" t="str">
        <f>IF(AND('Mapa final'!$AH$38="Muy Baja",'Mapa final'!$AJ$38="Mayor"),CONCATENATE("R2C",'Mapa final'!$R$38),"")</f>
        <v/>
      </c>
      <c r="AE54" s="39" t="str">
        <f>IF(AND('Mapa final'!$AH$39="Muy Baja",'Mapa final'!$AJ$39="Mayor"),CONCATENATE("R2C",'Mapa final'!$R$39),"")</f>
        <v/>
      </c>
      <c r="AF54" s="39" t="str">
        <f>IF(AND('Mapa final'!$AH$40="Muy Baja",'Mapa final'!$AJ$40="Mayor"),CONCATENATE("R2C",'Mapa final'!$R$40),"")</f>
        <v/>
      </c>
      <c r="AG54" s="39" t="str">
        <f>IF(AND('Mapa final'!$AH$41="Muy Baja",'Mapa final'!$AJ$41="Mayor"),CONCATENATE("R2C",'Mapa final'!$R$41),"")</f>
        <v/>
      </c>
      <c r="AH54" s="40" t="str">
        <f>IF(AND('Mapa final'!$AH$42="Muy Baja",'Mapa final'!$AJ$42="Mayor"),CONCATENATE("R2C",'Mapa final'!$R$42),"")</f>
        <v/>
      </c>
      <c r="AI54" s="41" t="str">
        <f>IF(AND('Mapa final'!$AH$37="Muy Baja",'Mapa final'!$AJ$37="Catastrófico"),CONCATENATE("R2C",'Mapa final'!$R$37),"")</f>
        <v/>
      </c>
      <c r="AJ54" s="42" t="str">
        <f>IF(AND('Mapa final'!$AH$38="Muy Baja",'Mapa final'!$AJ$38="Catastrófico"),CONCATENATE("R2C",'Mapa final'!$R$38),"")</f>
        <v/>
      </c>
      <c r="AK54" s="42" t="str">
        <f>IF(AND('Mapa final'!$AH$39="Muy Baja",'Mapa final'!$AJ$39="Catastrófico"),CONCATENATE("R2C",'Mapa final'!$R$39),"")</f>
        <v/>
      </c>
      <c r="AL54" s="42" t="str">
        <f>IF(AND('Mapa final'!$AH$40="Muy Baja",'Mapa final'!$AJ$40="Catastrófico"),CONCATENATE("R2C",'Mapa final'!$R$40),"")</f>
        <v/>
      </c>
      <c r="AM54" s="42" t="str">
        <f>IF(AND('Mapa final'!$AH$41="Muy Baja",'Mapa final'!$AJ$41="Catastrófico"),CONCATENATE("R2C",'Mapa final'!$R$41),"")</f>
        <v/>
      </c>
      <c r="AN54" s="43" t="str">
        <f>IF(AND('Mapa final'!$AH$42="Muy Baja",'Mapa final'!$AJ$42="Catastrófico"),CONCATENATE("R2C",'Mapa final'!$R$42),"")</f>
        <v/>
      </c>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row>
    <row r="55" spans="2:81" ht="15" customHeight="1">
      <c r="B55" s="68"/>
      <c r="C55" s="446"/>
      <c r="D55" s="446"/>
      <c r="E55" s="447"/>
      <c r="F55" s="489"/>
      <c r="G55" s="490"/>
      <c r="H55" s="490"/>
      <c r="I55" s="490"/>
      <c r="J55" s="491"/>
      <c r="K55" s="62" t="str">
        <f>IF(AND('Mapa final'!$AH$43="Muy Baja",'Mapa final'!$AJ$43="Leve"),CONCATENATE("R2C",'Mapa final'!$R$43),"")</f>
        <v/>
      </c>
      <c r="L55" s="63" t="str">
        <f>IF(AND('Mapa final'!$AH$44="Muy Baja",'Mapa final'!$AJ$44="Leve"),CONCATENATE("R2C",'Mapa final'!$R$44),"")</f>
        <v/>
      </c>
      <c r="M55" s="63" t="str">
        <f>IF(AND('Mapa final'!$AH$45="Muy Baja",'Mapa final'!$AJ$45="Leve"),CONCATENATE("R2C",'Mapa final'!$R$45),"")</f>
        <v/>
      </c>
      <c r="N55" s="63" t="str">
        <f>IF(AND('Mapa final'!$AH$46="Muy Baja",'Mapa final'!$AJ$46="Leve"),CONCATENATE("R2C",'Mapa final'!$R$46),"")</f>
        <v/>
      </c>
      <c r="O55" s="63" t="str">
        <f>IF(AND('Mapa final'!$AH$47="Muy Baja",'Mapa final'!$AJ$47="Leve"),CONCATENATE("R2C",'Mapa final'!$R$47),"")</f>
        <v/>
      </c>
      <c r="P55" s="64" t="str">
        <f>IF(AND('Mapa final'!$AH$48="Muy Baja",'Mapa final'!$AJ$48="Leve"),CONCATENATE("R2C",'Mapa final'!$R$48),"")</f>
        <v/>
      </c>
      <c r="Q55" s="62" t="str">
        <f>IF(AND('Mapa final'!$AH$43="Muy Baja",'Mapa final'!$AJ$43="Menor"),CONCATENATE("R2C",'Mapa final'!$R$43),"")</f>
        <v/>
      </c>
      <c r="R55" s="63" t="str">
        <f>IF(AND('Mapa final'!$AH$44="Muy Baja",'Mapa final'!$AJ$44="Menor"),CONCATENATE("R2C",'Mapa final'!$R$44),"")</f>
        <v/>
      </c>
      <c r="S55" s="63" t="str">
        <f>IF(AND('Mapa final'!$AH$45="Muy Baja",'Mapa final'!$AJ$45="Menor"),CONCATENATE("R2C",'Mapa final'!$R$45),"")</f>
        <v/>
      </c>
      <c r="T55" s="63" t="str">
        <f>IF(AND('Mapa final'!$AH$46="Muy Baja",'Mapa final'!$AJ$46="Menor"),CONCATENATE("R2C",'Mapa final'!$R$46),"")</f>
        <v/>
      </c>
      <c r="U55" s="63" t="str">
        <f>IF(AND('Mapa final'!$AH$47="Muy Baja",'Mapa final'!$AJ$47="LMenor"),CONCATENATE("R2C",'Mapa final'!$R$47),"")</f>
        <v/>
      </c>
      <c r="V55" s="64" t="str">
        <f>IF(AND('Mapa final'!$AH$48="Muy Baja",'Mapa final'!$AJ$48="Menor"),CONCATENATE("R2C",'Mapa final'!$R$48),"")</f>
        <v/>
      </c>
      <c r="W55" s="53" t="str">
        <f>IF(AND('Mapa final'!$AH$43="Muy Baja",'Mapa final'!$AJ$43="Moderado"),CONCATENATE("R2C",'Mapa final'!$R$43),"")</f>
        <v/>
      </c>
      <c r="X55" s="54" t="str">
        <f>IF(AND('Mapa final'!$AH$44="Muy Baja",'Mapa final'!$AJ$44="Moderado"),CONCATENATE("R2C",'Mapa final'!$R$44),"")</f>
        <v/>
      </c>
      <c r="Y55" s="54" t="str">
        <f>IF(AND('Mapa final'!$AH$45="Muy Baja",'Mapa final'!$AJ$45="Moderado"),CONCATENATE("R2C",'Mapa final'!$R$45),"")</f>
        <v/>
      </c>
      <c r="Z55" s="54" t="str">
        <f>IF(AND('Mapa final'!$AH$46="Muy Baja",'Mapa final'!$AJ$46="Moderado"),CONCATENATE("R2C",'Mapa final'!$R$46),"")</f>
        <v/>
      </c>
      <c r="AA55" s="54" t="str">
        <f>IF(AND('Mapa final'!$AH$47="Muy Baja",'Mapa final'!$AJ$47="Moderado"),CONCATENATE("R2C",'Mapa final'!$R$47),"")</f>
        <v/>
      </c>
      <c r="AB55" s="55" t="str">
        <f>IF(AND('Mapa final'!$AH$48="Muy Baja",'Mapa final'!$AJ$48="Moderado"),CONCATENATE("R2C",'Mapa final'!$R$48),"")</f>
        <v/>
      </c>
      <c r="AC55" s="38" t="str">
        <f>IF(AND('Mapa final'!$AH$43="Muy Baja",'Mapa final'!$AJ$43="Mayor"),CONCATENATE("R2C",'Mapa final'!$R$43),"")</f>
        <v/>
      </c>
      <c r="AD55" s="39" t="str">
        <f>IF(AND('Mapa final'!$AH$44="Muy Baja",'Mapa final'!$AJ$44="Mayor"),CONCATENATE("R2C",'Mapa final'!$R$44),"")</f>
        <v/>
      </c>
      <c r="AE55" s="39" t="str">
        <f>IF(AND('Mapa final'!$AH$45="Muy Baja",'Mapa final'!$AJ$45="Mayor"),CONCATENATE("R2C",'Mapa final'!$R$45),"")</f>
        <v/>
      </c>
      <c r="AF55" s="39" t="str">
        <f>IF(AND('Mapa final'!$AH$46="Muy Baja",'Mapa final'!$AJ$46="Mayor"),CONCATENATE("R2C",'Mapa final'!$R$46),"")</f>
        <v/>
      </c>
      <c r="AG55" s="39" t="str">
        <f>IF(AND('Mapa final'!$AH$47="Muy Baja",'Mapa final'!$AJ$47="Mayor"),CONCATENATE("R2C",'Mapa final'!$R$47),"")</f>
        <v/>
      </c>
      <c r="AH55" s="40" t="str">
        <f>IF(AND('Mapa final'!$AH$48="Muy Baja",'Mapa final'!$AJ$48="Mayor"),CONCATENATE("R2C",'Mapa final'!$R$48),"")</f>
        <v/>
      </c>
      <c r="AI55" s="41" t="str">
        <f>IF(AND('Mapa final'!$AH$43="Muy Baja",'Mapa final'!$AJ$43="Catastrófico"),CONCATENATE("R2C",'Mapa final'!$R$43),"")</f>
        <v/>
      </c>
      <c r="AJ55" s="42" t="str">
        <f>IF(AND('Mapa final'!$AH$44="Muy Baja",'Mapa final'!$AJ$44="Catastrófico"),CONCATENATE("R2C",'Mapa final'!$R$44),"")</f>
        <v/>
      </c>
      <c r="AK55" s="42" t="str">
        <f>IF(AND('Mapa final'!$AH$45="Muy Baja",'Mapa final'!$AJ$45="Catastrófico"),CONCATENATE("R2C",'Mapa final'!$R$45),"")</f>
        <v/>
      </c>
      <c r="AL55" s="42" t="str">
        <f>IF(AND('Mapa final'!$AH$46="Muy Baja",'Mapa final'!$AJ$46="Catastrófico"),CONCATENATE("R2C",'Mapa final'!$R$46),"")</f>
        <v/>
      </c>
      <c r="AM55" s="42" t="str">
        <f>IF(AND('Mapa final'!$AH$47="Muy Baja",'Mapa final'!$AJ$47="LCatastrófico"),CONCATENATE("R2C",'Mapa final'!$R$47),"")</f>
        <v/>
      </c>
      <c r="AN55" s="43" t="str">
        <f>IF(AND('Mapa final'!$AH$48="Muy Baja",'Mapa final'!$AJ$48="Catastrófico"),CONCATENATE("R2C",'Mapa final'!$R$48),"")</f>
        <v/>
      </c>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row>
    <row r="56" spans="2:81" ht="15" customHeight="1">
      <c r="B56" s="68"/>
      <c r="C56" s="446"/>
      <c r="D56" s="446"/>
      <c r="E56" s="447"/>
      <c r="F56" s="489"/>
      <c r="G56" s="490"/>
      <c r="H56" s="490"/>
      <c r="I56" s="490"/>
      <c r="J56" s="491"/>
      <c r="K56" s="62" t="str">
        <f>IF(AND('Mapa final'!$AH$49="Muy Baja",'Mapa final'!$AJ$49="Leve"),CONCATENATE("R2C",'Mapa final'!$R$49),"")</f>
        <v/>
      </c>
      <c r="L56" s="63" t="str">
        <f>IF(AND('Mapa final'!$AH$50="Muy Baja",'Mapa final'!$AJ$50="Leve"),CONCATENATE("R2C",'Mapa final'!$R$50),"")</f>
        <v/>
      </c>
      <c r="M56" s="63" t="str">
        <f>IF(AND('Mapa final'!$AH$51="Muy Baja",'Mapa final'!$AJ$51="Leve"),CONCATENATE("R2C",'Mapa final'!$R$51),"")</f>
        <v/>
      </c>
      <c r="N56" s="63" t="str">
        <f>IF(AND('Mapa final'!$AH$52="Muy Baja",'Mapa final'!$AJ$52="Leve"),CONCATENATE("R2C",'Mapa final'!$R$52),"")</f>
        <v/>
      </c>
      <c r="O56" s="63" t="str">
        <f>IF(AND('Mapa final'!$AH$53="Muy Baja",'Mapa final'!$AJ$53="Leve"),CONCATENATE("R2C",'Mapa final'!$R$53),"")</f>
        <v/>
      </c>
      <c r="P56" s="64" t="str">
        <f>IF(AND('Mapa final'!$AH$54="Muy Baja",'Mapa final'!$AJ$54="Leve"),CONCATENATE("R2C",'Mapa final'!$R$54),"")</f>
        <v/>
      </c>
      <c r="Q56" s="62" t="str">
        <f>IF(AND('Mapa final'!$AH$49="Muy Baja",'Mapa final'!$AJ$49="Menor"),CONCATENATE("R2C",'Mapa final'!$R$49),"")</f>
        <v/>
      </c>
      <c r="R56" s="63" t="str">
        <f>IF(AND('Mapa final'!$AH$50="Muy Baja",'Mapa final'!$AJ$50="Menor"),CONCATENATE("R2C",'Mapa final'!$R$50),"")</f>
        <v/>
      </c>
      <c r="S56" s="63" t="str">
        <f>IF(AND('Mapa final'!$AH$51="Muy Baja",'Mapa final'!$AJ$51="Menor"),CONCATENATE("R2C",'Mapa final'!$R$51),"")</f>
        <v/>
      </c>
      <c r="T56" s="63" t="str">
        <f>IF(AND('Mapa final'!$AH$52="Muy Baja",'Mapa final'!$AJ$52="Menor"),CONCATENATE("R2C",'Mapa final'!$R$52),"")</f>
        <v/>
      </c>
      <c r="U56" s="63" t="str">
        <f>IF(AND('Mapa final'!$AH$53="Muy Baja",'Mapa final'!$AJ$53="Menor"),CONCATENATE("R2C",'Mapa final'!$R$53),"")</f>
        <v/>
      </c>
      <c r="V56" s="64" t="str">
        <f>IF(AND('Mapa final'!$AH$54="Muy Baja",'Mapa final'!$AJ$54="Menor"),CONCATENATE("R2C",'Mapa final'!$R$54),"")</f>
        <v/>
      </c>
      <c r="W56" s="53" t="str">
        <f>IF(AND('Mapa final'!$AH$49="Muy Baja",'Mapa final'!$AJ$49="Moderado"),CONCATENATE("R2C",'Mapa final'!$R$49),"")</f>
        <v/>
      </c>
      <c r="X56" s="54" t="str">
        <f>IF(AND('Mapa final'!$AH$50="Muy Baja",'Mapa final'!$AJ$50="Moderado"),CONCATENATE("R2C",'Mapa final'!$R$50),"")</f>
        <v/>
      </c>
      <c r="Y56" s="54" t="str">
        <f>IF(AND('Mapa final'!$AH$51="Muy Baja",'Mapa final'!$AJ$51="Moderado"),CONCATENATE("R2C",'Mapa final'!$R$51),"")</f>
        <v/>
      </c>
      <c r="Z56" s="54" t="str">
        <f>IF(AND('Mapa final'!$AH$52="Muy Baja",'Mapa final'!$AJ$52="Moderado"),CONCATENATE("R2C",'Mapa final'!$R$52),"")</f>
        <v/>
      </c>
      <c r="AA56" s="54" t="str">
        <f>IF(AND('Mapa final'!$AH$53="Muy Baja",'Mapa final'!$AJ$53="Moderado"),CONCATENATE("R2C",'Mapa final'!$R$53),"")</f>
        <v/>
      </c>
      <c r="AB56" s="55" t="str">
        <f>IF(AND('Mapa final'!$AH$54="Muy Baja",'Mapa final'!$AJ$54="Moderado"),CONCATENATE("R2C",'Mapa final'!$R$54),"")</f>
        <v/>
      </c>
      <c r="AC56" s="38" t="str">
        <f>IF(AND('Mapa final'!$AH$49="Muy Baja",'Mapa final'!$AJ$49="Mayor"),CONCATENATE("R2C",'Mapa final'!$R$49),"")</f>
        <v/>
      </c>
      <c r="AD56" s="39" t="str">
        <f>IF(AND('Mapa final'!$AH$50="Muy Baja",'Mapa final'!$AJ$50="Mayor"),CONCATENATE("R2C",'Mapa final'!$R$50),"")</f>
        <v/>
      </c>
      <c r="AE56" s="39" t="str">
        <f>IF(AND('Mapa final'!$AH$51="Muy Baja",'Mapa final'!$AJ$51="Mayor"),CONCATENATE("R2C",'Mapa final'!$R$51),"")</f>
        <v/>
      </c>
      <c r="AF56" s="39" t="str">
        <f>IF(AND('Mapa final'!$AH$52="Muy Baja",'Mapa final'!$AJ$52="Mayor"),CONCATENATE("R2C",'Mapa final'!$R$52),"")</f>
        <v/>
      </c>
      <c r="AG56" s="39" t="str">
        <f>IF(AND('Mapa final'!$AH$53="Muy Baja",'Mapa final'!$AJ$53="Mayor"),CONCATENATE("R2C",'Mapa final'!$R$53),"")</f>
        <v/>
      </c>
      <c r="AH56" s="40" t="str">
        <f>IF(AND('Mapa final'!$AH$54="Muy Baja",'Mapa final'!$AJ$54="Mayor"),CONCATENATE("R2C",'Mapa final'!$R$54),"")</f>
        <v/>
      </c>
      <c r="AI56" s="41" t="str">
        <f>IF(AND('Mapa final'!$AH$49="Muy Baja",'Mapa final'!$AJ$49="Catastrófico"),CONCATENATE("R2C",'Mapa final'!$R$49),"")</f>
        <v/>
      </c>
      <c r="AJ56" s="42" t="str">
        <f>IF(AND('Mapa final'!$AH$50="Muy Baja",'Mapa final'!$AJ$50="Catastrófico"),CONCATENATE("R2C",'Mapa final'!$R$50),"")</f>
        <v/>
      </c>
      <c r="AK56" s="42" t="str">
        <f>IF(AND('Mapa final'!$AH$51="Muy Baja",'Mapa final'!$AJ$51="Catastrófico"),CONCATENATE("R2C",'Mapa final'!$R$51),"")</f>
        <v/>
      </c>
      <c r="AL56" s="42" t="str">
        <f>IF(AND('Mapa final'!$AH$52="Muy Baja",'Mapa final'!$AJ$52="Catastrófico"),CONCATENATE("R2C",'Mapa final'!$R$52),"")</f>
        <v/>
      </c>
      <c r="AM56" s="42" t="str">
        <f>IF(AND('Mapa final'!$AH$53="Muy Baja",'Mapa final'!$AJ$53="Catastrófico"),CONCATENATE("R2C",'Mapa final'!$R$53),"")</f>
        <v/>
      </c>
      <c r="AN56" s="43" t="str">
        <f>IF(AND('Mapa final'!$AH$54="Muy Baja",'Mapa final'!$AJ$54="Catastrófico"),CONCATENATE("R2C",'Mapa final'!$R$54),"")</f>
        <v/>
      </c>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row>
    <row r="57" spans="2:81" ht="15" customHeight="1">
      <c r="B57" s="68"/>
      <c r="C57" s="446"/>
      <c r="D57" s="446"/>
      <c r="E57" s="447"/>
      <c r="F57" s="489"/>
      <c r="G57" s="490"/>
      <c r="H57" s="490"/>
      <c r="I57" s="490"/>
      <c r="J57" s="491"/>
      <c r="K57" s="62" t="str">
        <f>IF(AND('Mapa final'!$AH$55="Muy Baja",'Mapa final'!$AJ$55="Leve"),CONCATENATE("R2C",'Mapa final'!$R$55),"")</f>
        <v/>
      </c>
      <c r="L57" s="63" t="str">
        <f>IF(AND('Mapa final'!$AH$56="Muy Baja",'Mapa final'!$AJ$56="Leve"),CONCATENATE("R2C",'Mapa final'!$R$56),"")</f>
        <v/>
      </c>
      <c r="M57" s="63" t="str">
        <f>IF(AND('Mapa final'!$AH$57="Muy Baja",'Mapa final'!$AJ$57="Leve"),CONCATENATE("R2C",'Mapa final'!$R$57),"")</f>
        <v/>
      </c>
      <c r="N57" s="63" t="str">
        <f>IF(AND('Mapa final'!$AH$58="Muy Baja",'Mapa final'!$AJ$58="Leve"),CONCATENATE("R2C",'Mapa final'!$R$58),"")</f>
        <v/>
      </c>
      <c r="O57" s="63" t="str">
        <f>IF(AND('Mapa final'!$AH$59="Muy Baja",'Mapa final'!$AJ$59="Leve"),CONCATENATE("R2C",'Mapa final'!$R$59),"")</f>
        <v/>
      </c>
      <c r="P57" s="64" t="str">
        <f>IF(AND('Mapa final'!$AH$70="Muy Baja",'Mapa final'!$AJ$60="Leve"),CONCATENATE("R2C",'Mapa final'!$R$60),"")</f>
        <v/>
      </c>
      <c r="Q57" s="62" t="str">
        <f>IF(AND('Mapa final'!$AH$55="Muy Baja",'Mapa final'!$AJ$55="Menor"),CONCATENATE("R2C",'Mapa final'!$R$55),"")</f>
        <v/>
      </c>
      <c r="R57" s="63" t="str">
        <f>IF(AND('Mapa final'!$AH$56="Muy Baja",'Mapa final'!$AJ$56="Menor"),CONCATENATE("R2C",'Mapa final'!$R$56),"")</f>
        <v/>
      </c>
      <c r="S57" s="63" t="str">
        <f>IF(AND('Mapa final'!$AH$57="Muy Baja",'Mapa final'!$AJ$57="Menor"),CONCATENATE("R2C",'Mapa final'!$R$57),"")</f>
        <v/>
      </c>
      <c r="T57" s="63" t="str">
        <f>IF(AND('Mapa final'!$AH$58="Muy Baja",'Mapa final'!$AJ$58="Menor"),CONCATENATE("R2C",'Mapa final'!$R$58),"")</f>
        <v/>
      </c>
      <c r="U57" s="63" t="str">
        <f>IF(AND('Mapa final'!$AH$59="Muy Baja",'Mapa final'!$AJ$59="Menor"),CONCATENATE("R2C",'Mapa final'!$R$59),"")</f>
        <v/>
      </c>
      <c r="V57" s="64" t="str">
        <f>IF(AND('Mapa final'!$AH$70="Muy Baja",'Mapa final'!$AJ$60="Menor"),CONCATENATE("R2C",'Mapa final'!$R$60),"")</f>
        <v/>
      </c>
      <c r="W57" s="53" t="str">
        <f>IF(AND('Mapa final'!$AH$55="Muy Baja",'Mapa final'!$AJ$55="Moderado"),CONCATENATE("R2C",'Mapa final'!$R$55),"")</f>
        <v/>
      </c>
      <c r="X57" s="54" t="str">
        <f>IF(AND('Mapa final'!$AH$56="Muy Baja",'Mapa final'!$AJ$56="Moderado"),CONCATENATE("R2C",'Mapa final'!$R$56),"")</f>
        <v/>
      </c>
      <c r="Y57" s="54" t="str">
        <f>IF(AND('Mapa final'!$AH$57="Muy Baja",'Mapa final'!$AJ$57="Moderado"),CONCATENATE("R2C",'Mapa final'!$R$57),"")</f>
        <v/>
      </c>
      <c r="Z57" s="54" t="str">
        <f>IF(AND('Mapa final'!$AH$58="Muy Baja",'Mapa final'!$AJ$58="Moderado"),CONCATENATE("R2C",'Mapa final'!$R$58),"")</f>
        <v/>
      </c>
      <c r="AA57" s="54" t="str">
        <f>IF(AND('Mapa final'!$AH$59="Muy Baja",'Mapa final'!$AJ$59="Moderado"),CONCATENATE("R2C",'Mapa final'!$R$59),"")</f>
        <v/>
      </c>
      <c r="AB57" s="55" t="str">
        <f>IF(AND('Mapa final'!$AH$70="Muy Baja",'Mapa final'!$AJ$60="Moderado"),CONCATENATE("R2C",'Mapa final'!$R$60),"")</f>
        <v/>
      </c>
      <c r="AC57" s="38" t="str">
        <f>IF(AND('Mapa final'!$AH$55="Muy Baja",'Mapa final'!$AJ$55="Mayor"),CONCATENATE("R2C",'Mapa final'!$R$55),"")</f>
        <v/>
      </c>
      <c r="AD57" s="39" t="str">
        <f>IF(AND('Mapa final'!$AH$56="Muy Baja",'Mapa final'!$AJ$56="Mayor"),CONCATENATE("R2C",'Mapa final'!$R$56),"")</f>
        <v/>
      </c>
      <c r="AE57" s="39" t="str">
        <f>IF(AND('Mapa final'!$AH$57="Muy Baja",'Mapa final'!$AJ$57="Mayor"),CONCATENATE("R2C",'Mapa final'!$R$57),"")</f>
        <v/>
      </c>
      <c r="AF57" s="39" t="str">
        <f>IF(AND('Mapa final'!$AH$58="Muy Baja",'Mapa final'!$AJ$58="Mayor"),CONCATENATE("R2C",'Mapa final'!$R$58),"")</f>
        <v/>
      </c>
      <c r="AG57" s="39" t="str">
        <f>IF(AND('Mapa final'!$AH$59="Muy Baja",'Mapa final'!$AJ$59="Mayor"),CONCATENATE("R2C",'Mapa final'!$R$59),"")</f>
        <v/>
      </c>
      <c r="AH57" s="40" t="str">
        <f>IF(AND('Mapa final'!$AH$70="Muy Baja",'Mapa final'!$AJ$60="Mayor"),CONCATENATE("R2C",'Mapa final'!$R$60),"")</f>
        <v/>
      </c>
      <c r="AI57" s="41" t="str">
        <f>IF(AND('Mapa final'!$AH$55="Muy Baja",'Mapa final'!$AJ$55="Catastrófico"),CONCATENATE("R2C",'Mapa final'!$R$55),"")</f>
        <v/>
      </c>
      <c r="AJ57" s="42" t="str">
        <f>IF(AND('Mapa final'!$AH$56="Muy Baja",'Mapa final'!$AJ$56="Catastrófico"),CONCATENATE("R2C",'Mapa final'!$R$56),"")</f>
        <v/>
      </c>
      <c r="AK57" s="42" t="str">
        <f>IF(AND('Mapa final'!$AH$57="Muy Baja",'Mapa final'!$AJ$57="Catastrófico"),CONCATENATE("R2C",'Mapa final'!$R$57),"")</f>
        <v/>
      </c>
      <c r="AL57" s="42" t="str">
        <f>IF(AND('Mapa final'!$AH$58="Muy Baja",'Mapa final'!$AJ$58="Catastrófico"),CONCATENATE("R2C",'Mapa final'!$R$58),"")</f>
        <v/>
      </c>
      <c r="AM57" s="42" t="str">
        <f>IF(AND('Mapa final'!$AH$59="Muy Baja",'Mapa final'!$AJ$59="Catastrófico"),CONCATENATE("R2C",'Mapa final'!$R$59),"")</f>
        <v/>
      </c>
      <c r="AN57" s="43" t="str">
        <f>IF(AND('Mapa final'!$AH$70="Muy Baja",'Mapa final'!$AJ$60="Catastrófico"),CONCATENATE("R2C",'Mapa final'!$R$60),"")</f>
        <v/>
      </c>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row>
    <row r="58" spans="2:81" ht="15" customHeight="1">
      <c r="B58" s="68"/>
      <c r="C58" s="446"/>
      <c r="D58" s="446"/>
      <c r="E58" s="447"/>
      <c r="F58" s="489"/>
      <c r="G58" s="490"/>
      <c r="H58" s="490"/>
      <c r="I58" s="490"/>
      <c r="J58" s="491"/>
      <c r="K58" s="62" t="str">
        <f>IF(AND('Mapa final'!$AH$61="Muy Baja",'Mapa final'!$AJ$61="Leve"),CONCATENATE("R2C",'Mapa final'!$R$61),"")</f>
        <v/>
      </c>
      <c r="L58" s="63" t="str">
        <f>IF(AND('Mapa final'!$AH$62="Muy Baja",'Mapa final'!$AJ$62="Leve"),CONCATENATE("R2C",'Mapa final'!$R$62),"")</f>
        <v/>
      </c>
      <c r="M58" s="63" t="str">
        <f>IF(AND('Mapa final'!$AH$63="Muy Baja",'Mapa final'!$AJ$63="Leve"),CONCATENATE("R2C",'Mapa final'!$R$63),"")</f>
        <v/>
      </c>
      <c r="N58" s="63" t="str">
        <f>IF(AND('Mapa final'!$AH$64="Muy Baja",'Mapa final'!$AJ$64="Leve"),CONCATENATE("R2C",'Mapa final'!$R$64),"")</f>
        <v/>
      </c>
      <c r="O58" s="63" t="str">
        <f>IF(AND('Mapa final'!$AH$65="Muy Baja",'Mapa final'!$AJ$65="Leve"),CONCATENATE("R2C",'Mapa final'!$R$65),"")</f>
        <v/>
      </c>
      <c r="P58" s="64" t="str">
        <f>IF(AND('Mapa final'!$AH$66="Muy Baja",'Mapa final'!$AJ$66="Leve"),CONCATENATE("R2C",'Mapa final'!$R$66),"")</f>
        <v/>
      </c>
      <c r="Q58" s="62" t="str">
        <f>IF(AND('Mapa final'!$AH$61="Muy Baja",'Mapa final'!$AJ$61="Menor"),CONCATENATE("R2C",'Mapa final'!$R$61),"")</f>
        <v/>
      </c>
      <c r="R58" s="63" t="str">
        <f>IF(AND('Mapa final'!$AH$62="Muy Baja",'Mapa final'!$AJ$62="Menor"),CONCATENATE("R2C",'Mapa final'!$R$62),"")</f>
        <v/>
      </c>
      <c r="S58" s="63" t="str">
        <f>IF(AND('Mapa final'!$AH$63="Muy Baja",'Mapa final'!$AJ$63="Menor"),CONCATENATE("R2C",'Mapa final'!$R$63),"")</f>
        <v/>
      </c>
      <c r="T58" s="63" t="str">
        <f>IF(AND('Mapa final'!$AH$64="Muy Baja",'Mapa final'!$AJ$64="Menor"),CONCATENATE("R2C",'Mapa final'!$R$64),"")</f>
        <v/>
      </c>
      <c r="U58" s="63" t="str">
        <f>IF(AND('Mapa final'!$AH$65="Muy Baja",'Mapa final'!$AJ$65="Menor"),CONCATENATE("R2C",'Mapa final'!$R$65),"")</f>
        <v/>
      </c>
      <c r="V58" s="64" t="str">
        <f>IF(AND('Mapa final'!$AH$66="Muy Baja",'Mapa final'!$AJ$66="Menor"),CONCATENATE("R2C",'Mapa final'!$R$66),"")</f>
        <v/>
      </c>
      <c r="W58" s="53" t="str">
        <f>IF(AND('Mapa final'!$AH$61="Muy Baja",'Mapa final'!$AJ$61="Moderado"),CONCATENATE("R2C",'Mapa final'!$R$61),"")</f>
        <v/>
      </c>
      <c r="X58" s="54" t="str">
        <f>IF(AND('Mapa final'!$AH$62="Muy Baja",'Mapa final'!$AJ$62="Moderado"),CONCATENATE("R2C",'Mapa final'!$R$62),"")</f>
        <v/>
      </c>
      <c r="Y58" s="54" t="str">
        <f>IF(AND('Mapa final'!$AH$63="Muy Baja",'Mapa final'!$AJ$63="Moderado"),CONCATENATE("R2C",'Mapa final'!$R$63),"")</f>
        <v/>
      </c>
      <c r="Z58" s="54" t="str">
        <f>IF(AND('Mapa final'!$AH$64="Muy Baja",'Mapa final'!$AJ$64="Moderado"),CONCATENATE("R2C",'Mapa final'!$R$64),"")</f>
        <v/>
      </c>
      <c r="AA58" s="54" t="str">
        <f>IF(AND('Mapa final'!$AH$65="Muy Baja",'Mapa final'!$AJ$65="Moderado"),CONCATENATE("R2C",'Mapa final'!$R$65),"")</f>
        <v/>
      </c>
      <c r="AB58" s="55" t="str">
        <f>IF(AND('Mapa final'!$AH$66="Muy Baja",'Mapa final'!$AJ$66="Moderado"),CONCATENATE("R2C",'Mapa final'!$R$66),"")</f>
        <v/>
      </c>
      <c r="AC58" s="38" t="str">
        <f>IF(AND('Mapa final'!$AH$61="Muy Baja",'Mapa final'!$AJ$61="Mayor"),CONCATENATE("R2C",'Mapa final'!$R$61),"")</f>
        <v/>
      </c>
      <c r="AD58" s="39" t="str">
        <f>IF(AND('Mapa final'!$AH$62="Muy Baja",'Mapa final'!$AJ$62="Mayor"),CONCATENATE("R2C",'Mapa final'!$R$62),"")</f>
        <v/>
      </c>
      <c r="AE58" s="39" t="str">
        <f>IF(AND('Mapa final'!$AH$63="Muy Baja",'Mapa final'!$AJ$63="Mayor"),CONCATENATE("R2C",'Mapa final'!$R$63),"")</f>
        <v/>
      </c>
      <c r="AF58" s="39" t="str">
        <f>IF(AND('Mapa final'!$AH$64="Muy Baja",'Mapa final'!$AJ$64="Mayor"),CONCATENATE("R2C",'Mapa final'!$R$64),"")</f>
        <v/>
      </c>
      <c r="AG58" s="39" t="str">
        <f>IF(AND('Mapa final'!$AH$65="Muy Baja",'Mapa final'!$AJ$65="Mayor"),CONCATENATE("R2C",'Mapa final'!$R$65),"")</f>
        <v/>
      </c>
      <c r="AH58" s="40" t="str">
        <f>IF(AND('Mapa final'!$AH$66="Muy Baja",'Mapa final'!$AJ$66="Mayor"),CONCATENATE("R2C",'Mapa final'!$R$66),"")</f>
        <v/>
      </c>
      <c r="AI58" s="41" t="str">
        <f>IF(AND('Mapa final'!$AH$61="Muy Baja",'Mapa final'!$AJ$61="Catastrófico"),CONCATENATE("R2C",'Mapa final'!$R$61),"")</f>
        <v/>
      </c>
      <c r="AJ58" s="42" t="str">
        <f>IF(AND('Mapa final'!$AH$62="Muy Baja",'Mapa final'!$AJ$62="Catastrófico"),CONCATENATE("R2C",'Mapa final'!$R$62),"")</f>
        <v/>
      </c>
      <c r="AK58" s="42" t="str">
        <f>IF(AND('Mapa final'!$AH$63="Muy Baja",'Mapa final'!$AJ$63="Catastrófico"),CONCATENATE("R2C",'Mapa final'!$R$63),"")</f>
        <v/>
      </c>
      <c r="AL58" s="42" t="str">
        <f>IF(AND('Mapa final'!$AH$64="Muy Baja",'Mapa final'!$AJ$64="Catastrófico"),CONCATENATE("R2C",'Mapa final'!$R$64),"")</f>
        <v/>
      </c>
      <c r="AM58" s="42" t="str">
        <f>IF(AND('Mapa final'!$AH$65="Muy Baja",'Mapa final'!$AJ$65="Catastrófico"),CONCATENATE("R2C",'Mapa final'!$R$65),"")</f>
        <v/>
      </c>
      <c r="AN58" s="43" t="str">
        <f>IF(AND('Mapa final'!$AH$66="Muy Baja",'Mapa final'!$AJ$66="Catastrófico"),CONCATENATE("R2C",'Mapa final'!$R$66),"")</f>
        <v/>
      </c>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row>
    <row r="59" spans="2:81" ht="15" customHeight="1">
      <c r="B59" s="68"/>
      <c r="C59" s="446"/>
      <c r="D59" s="446"/>
      <c r="E59" s="447"/>
      <c r="F59" s="489"/>
      <c r="G59" s="490"/>
      <c r="H59" s="490"/>
      <c r="I59" s="490"/>
      <c r="J59" s="491"/>
      <c r="K59" s="62" t="str">
        <f>IF(AND('Mapa final'!$AH$67="Muy Baja",'Mapa final'!$AJ$67="Leve"),CONCATENATE("R2C",'Mapa final'!$R$67),"")</f>
        <v/>
      </c>
      <c r="L59" s="63" t="str">
        <f>IF(AND('Mapa final'!$AH$68="Muy Baja",'Mapa final'!$AJ$68="Leve"),CONCATENATE("R2C",'Mapa final'!$R$68),"")</f>
        <v/>
      </c>
      <c r="M59" s="63" t="str">
        <f>IF(AND('Mapa final'!$AH$69="Muy Baja",'Mapa final'!$AJ$69="Leve"),CONCATENATE("R2C",'Mapa final'!$R$69),"")</f>
        <v/>
      </c>
      <c r="N59" s="63" t="str">
        <f>IF(AND('Mapa final'!$AH$70="Muy Baja",'Mapa final'!$AJ$70="Leve"),CONCATENATE("R2C",'Mapa final'!$R$70),"")</f>
        <v/>
      </c>
      <c r="O59" s="63" t="str">
        <f>IF(AND('Mapa final'!$AH$71="Muy Baja",'Mapa final'!$AJ$71="Leve"),CONCATENATE("R2C",'Mapa final'!$R$71),"")</f>
        <v/>
      </c>
      <c r="P59" s="64" t="str">
        <f>IF(AND('Mapa final'!$AH$72="Muy Baja",'Mapa final'!$AJ$72="Leve"),CONCATENATE("R2C",'Mapa final'!$R$72),"")</f>
        <v/>
      </c>
      <c r="Q59" s="62" t="str">
        <f>IF(AND('Mapa final'!$AH$67="Muy Baja",'Mapa final'!$AJ$67="Menor"),CONCATENATE("R2C",'Mapa final'!$R$67),"")</f>
        <v/>
      </c>
      <c r="R59" s="63" t="str">
        <f>IF(AND('Mapa final'!$AH$68="Muy Baja",'Mapa final'!$AJ$68="Menor"),CONCATENATE("R2C",'Mapa final'!$R$68),"")</f>
        <v/>
      </c>
      <c r="S59" s="63" t="str">
        <f>IF(AND('Mapa final'!$AH$69="Muy Baja",'Mapa final'!$AJ$69="Menor"),CONCATENATE("R2C",'Mapa final'!$R$69),"")</f>
        <v/>
      </c>
      <c r="T59" s="63" t="str">
        <f>IF(AND('Mapa final'!$AH$70="Muy Baja",'Mapa final'!$AJ$70="Menor"),CONCATENATE("R2C",'Mapa final'!$R$70),"")</f>
        <v/>
      </c>
      <c r="U59" s="63" t="str">
        <f>IF(AND('Mapa final'!$AH$71="Muy Baja",'Mapa final'!$AJ$71="Menor"),CONCATENATE("R2C",'Mapa final'!$R$71),"")</f>
        <v/>
      </c>
      <c r="V59" s="64" t="str">
        <f>IF(AND('Mapa final'!$AH$72="Muy Baja",'Mapa final'!$AJ$72="Menor"),CONCATENATE("R2C",'Mapa final'!$R$72),"")</f>
        <v/>
      </c>
      <c r="W59" s="53" t="str">
        <f>IF(AND('Mapa final'!$AH$67="Muy Baja",'Mapa final'!$AJ$67="Moderado"),CONCATENATE("R2C",'Mapa final'!$R$67),"")</f>
        <v/>
      </c>
      <c r="X59" s="54" t="str">
        <f>IF(AND('Mapa final'!$AH$68="Muy Baja",'Mapa final'!$AJ$68="Moderado"),CONCATENATE("R2C",'Mapa final'!$R$68),"")</f>
        <v/>
      </c>
      <c r="Y59" s="54" t="str">
        <f>IF(AND('Mapa final'!$AH$69="Muy Baja",'Mapa final'!$AJ$69="Moderado"),CONCATENATE("R2C",'Mapa final'!$R$69),"")</f>
        <v/>
      </c>
      <c r="Z59" s="54" t="str">
        <f>IF(AND('Mapa final'!$AH$70="Muy Baja",'Mapa final'!$AJ$70="Moderado"),CONCATENATE("R2C",'Mapa final'!$R$70),"")</f>
        <v/>
      </c>
      <c r="AA59" s="54" t="str">
        <f>IF(AND('Mapa final'!$AH$71="Muy Baja",'Mapa final'!$AJ$71="Moderado"),CONCATENATE("R2C",'Mapa final'!$R$71),"")</f>
        <v/>
      </c>
      <c r="AB59" s="55" t="str">
        <f>IF(AND('Mapa final'!$AH$72="Muy Baja",'Mapa final'!$AJ$72="Moderado"),CONCATENATE("R2C",'Mapa final'!$R$72),"")</f>
        <v/>
      </c>
      <c r="AC59" s="38" t="str">
        <f>IF(AND('Mapa final'!$AH$67="Muy Baja",'Mapa final'!$AJ$67="Mayor"),CONCATENATE("R2C",'Mapa final'!$R$67),"")</f>
        <v/>
      </c>
      <c r="AD59" s="39" t="str">
        <f>IF(AND('Mapa final'!$AH$68="Muy Baja",'Mapa final'!$AJ$68="Mayor"),CONCATENATE("R2C",'Mapa final'!$R$68),"")</f>
        <v/>
      </c>
      <c r="AE59" s="39" t="str">
        <f>IF(AND('Mapa final'!$AH$69="Muy Baja",'Mapa final'!$AJ$69="Mayor"),CONCATENATE("R2C",'Mapa final'!$R$69),"")</f>
        <v/>
      </c>
      <c r="AF59" s="39" t="str">
        <f>IF(AND('Mapa final'!$AH$70="Muy Baja",'Mapa final'!$AJ$70="Mayor"),CONCATENATE("R2C",'Mapa final'!$R$70),"")</f>
        <v/>
      </c>
      <c r="AG59" s="39" t="str">
        <f>IF(AND('Mapa final'!$AH$71="Muy Baja",'Mapa final'!$AJ$71="Mayor"),CONCATENATE("R2C",'Mapa final'!$R$71),"")</f>
        <v/>
      </c>
      <c r="AH59" s="40" t="str">
        <f>IF(AND('Mapa final'!$AH$72="Muy Baja",'Mapa final'!$AJ$72="Mayor"),CONCATENATE("R2C",'Mapa final'!$R$72),"")</f>
        <v/>
      </c>
      <c r="AI59" s="41" t="str">
        <f>IF(AND('Mapa final'!$AH$67="Muy Baja",'Mapa final'!$AJ$67="Catastrófico"),CONCATENATE("R2C",'Mapa final'!$R$67),"")</f>
        <v/>
      </c>
      <c r="AJ59" s="42" t="str">
        <f>IF(AND('Mapa final'!$AH$68="Muy Baja",'Mapa final'!$AJ$68="Catastrófico"),CONCATENATE("R2C",'Mapa final'!$R$68),"")</f>
        <v/>
      </c>
      <c r="AK59" s="42" t="str">
        <f>IF(AND('Mapa final'!$AH$69="Muy Baja",'Mapa final'!$AJ$69="Catastrófico"),CONCATENATE("R2C",'Mapa final'!$R$69),"")</f>
        <v/>
      </c>
      <c r="AL59" s="42" t="str">
        <f>IF(AND('Mapa final'!$AH$70="Muy Baja",'Mapa final'!$AJ$70="Catastrófico"),CONCATENATE("R2C",'Mapa final'!$R$70),"")</f>
        <v/>
      </c>
      <c r="AM59" s="42" t="str">
        <f>IF(AND('Mapa final'!$AH$71="Muy Baja",'Mapa final'!$AJ$71="Catastrófico"),CONCATENATE("R2C",'Mapa final'!$R$71),"")</f>
        <v/>
      </c>
      <c r="AN59" s="43" t="str">
        <f>IF(AND('Mapa final'!$AH$72="Muy Baja",'Mapa final'!$AJ$72="Catastrófico"),CONCATENATE("R2C",'Mapa final'!$R$72),"")</f>
        <v/>
      </c>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row>
    <row r="60" spans="2:81" ht="15" customHeight="1">
      <c r="B60" s="68"/>
      <c r="C60" s="446"/>
      <c r="D60" s="446"/>
      <c r="E60" s="447"/>
      <c r="F60" s="489"/>
      <c r="G60" s="490"/>
      <c r="H60" s="490"/>
      <c r="I60" s="490"/>
      <c r="J60" s="491"/>
      <c r="K60" s="62" t="str">
        <f>IF(AND('Mapa final'!$AH$73="Muy Baja",'Mapa final'!$AJ$73="Leve"),CONCATENATE("R2C",'Mapa final'!$R$73),"")</f>
        <v/>
      </c>
      <c r="L60" s="63" t="str">
        <f>IF(AND('Mapa final'!$AH$74="Muy Baja",'Mapa final'!$AJ$74="Leve"),CONCATENATE("R2C",'Mapa final'!$R$74),"")</f>
        <v/>
      </c>
      <c r="M60" s="63" t="str">
        <f>IF(AND('Mapa final'!$AH$75="Muy Baja",'Mapa final'!$AJ$75="Leve"),CONCATENATE("R2C",'Mapa final'!$R$75),"")</f>
        <v/>
      </c>
      <c r="N60" s="63" t="str">
        <f>IF(AND('Mapa final'!$AH$76="Muy Baja",'Mapa final'!$AJ$76="Leve"),CONCATENATE("R2C",'Mapa final'!$R$76),"")</f>
        <v/>
      </c>
      <c r="O60" s="63" t="str">
        <f>IF(AND('Mapa final'!$AH$77="Muy Baja",'Mapa final'!$AJ$77="Leve"),CONCATENATE("R2C",'Mapa final'!$R$77),"")</f>
        <v/>
      </c>
      <c r="P60" s="64" t="str">
        <f>IF(AND('Mapa final'!$AH$78="Muy Baja",'Mapa final'!$AJ$78="Leve"),CONCATENATE("R2C",'Mapa final'!$R$78),"")</f>
        <v/>
      </c>
      <c r="Q60" s="62" t="str">
        <f>IF(AND('Mapa final'!$AH$73="Muy Baja",'Mapa final'!$AJ$73="Menor"),CONCATENATE("R2C",'Mapa final'!$R$73),"")</f>
        <v/>
      </c>
      <c r="R60" s="63" t="str">
        <f>IF(AND('Mapa final'!$AH$74="Muy Baja",'Mapa final'!$AJ$74="Menor"),CONCATENATE("R2C",'Mapa final'!$R$74),"")</f>
        <v/>
      </c>
      <c r="S60" s="63" t="str">
        <f>IF(AND('Mapa final'!$AH$75="Muy Baja",'Mapa final'!$AJ$75="Menor"),CONCATENATE("R2C",'Mapa final'!$R$75),"")</f>
        <v/>
      </c>
      <c r="T60" s="63" t="str">
        <f>IF(AND('Mapa final'!$AH$76="Muy Baja",'Mapa final'!$AJ$76="Menor"),CONCATENATE("R2C",'Mapa final'!$R$76),"")</f>
        <v/>
      </c>
      <c r="U60" s="63" t="str">
        <f>IF(AND('Mapa final'!$AH$77="Muy Baja",'Mapa final'!$AJ$77="Menor"),CONCATENATE("R2C",'Mapa final'!$R$77),"")</f>
        <v/>
      </c>
      <c r="V60" s="64" t="str">
        <f>IF(AND('Mapa final'!$AH$78="Muy Baja",'Mapa final'!$AJ$78="Menor"),CONCATENATE("R2C",'Mapa final'!$R$78),"")</f>
        <v/>
      </c>
      <c r="W60" s="53" t="str">
        <f>IF(AND('Mapa final'!$AH$73="Muy Baja",'Mapa final'!$AJ$73="Moderado"),CONCATENATE("R2C",'Mapa final'!$R$73),"")</f>
        <v/>
      </c>
      <c r="X60" s="54" t="str">
        <f>IF(AND('Mapa final'!$AH$74="Muy Baja",'Mapa final'!$AJ$74="Moderado"),CONCATENATE("R2C",'Mapa final'!$R$74),"")</f>
        <v/>
      </c>
      <c r="Y60" s="54" t="str">
        <f>IF(AND('Mapa final'!$AH$75="Muy Baja",'Mapa final'!$AJ$75="Moderado"),CONCATENATE("R2C",'Mapa final'!$R$75),"")</f>
        <v/>
      </c>
      <c r="Z60" s="54" t="str">
        <f>IF(AND('Mapa final'!$AH$76="Muy Baja",'Mapa final'!$AJ$76="Moderado"),CONCATENATE("R2C",'Mapa final'!$R$76),"")</f>
        <v/>
      </c>
      <c r="AA60" s="54" t="str">
        <f>IF(AND('Mapa final'!$AH$77="Muy Baja",'Mapa final'!$AJ$77="Moderado"),CONCATENATE("R2C",'Mapa final'!$R$77),"")</f>
        <v/>
      </c>
      <c r="AB60" s="55" t="str">
        <f>IF(AND('Mapa final'!$AH$78="Muy Baja",'Mapa final'!$AJ$78="Moderado"),CONCATENATE("R2C",'Mapa final'!$R$78),"")</f>
        <v/>
      </c>
      <c r="AC60" s="38" t="str">
        <f>IF(AND('Mapa final'!$AH$73="Muy Baja",'Mapa final'!$AJ$73="Mayor"),CONCATENATE("R2C",'Mapa final'!$R$73),"")</f>
        <v/>
      </c>
      <c r="AD60" s="39" t="str">
        <f>IF(AND('Mapa final'!$AH$74="Muy Baja",'Mapa final'!$AJ$74="Mayor"),CONCATENATE("R2C",'Mapa final'!$R$74),"")</f>
        <v/>
      </c>
      <c r="AE60" s="39" t="str">
        <f>IF(AND('Mapa final'!$AH$75="Muy Baja",'Mapa final'!$AJ$75="Mayor"),CONCATENATE("R2C",'Mapa final'!$R$75),"")</f>
        <v/>
      </c>
      <c r="AF60" s="39" t="str">
        <f>IF(AND('Mapa final'!$AH$76="Muy Baja",'Mapa final'!$AJ$76="Mayor"),CONCATENATE("R2C",'Mapa final'!$R$76),"")</f>
        <v/>
      </c>
      <c r="AG60" s="39" t="str">
        <f>IF(AND('Mapa final'!$AH$77="Muy Baja",'Mapa final'!$AJ$77="Mayor"),CONCATENATE("R2C",'Mapa final'!$R$77),"")</f>
        <v/>
      </c>
      <c r="AH60" s="40" t="str">
        <f>IF(AND('Mapa final'!$AH$78="Muy Baja",'Mapa final'!$AJ$78="Mayor"),CONCATENATE("R2C",'Mapa final'!$R$78),"")</f>
        <v/>
      </c>
      <c r="AI60" s="41" t="str">
        <f>IF(AND('Mapa final'!$AH$73="Muy Baja",'Mapa final'!$AJ$73="Catastrófico"),CONCATENATE("R2C",'Mapa final'!$R$73),"")</f>
        <v/>
      </c>
      <c r="AJ60" s="42" t="str">
        <f>IF(AND('Mapa final'!$AH$74="Muy Baja",'Mapa final'!$AJ$74="Catastrófico"),CONCATENATE("R2C",'Mapa final'!$R$74),"")</f>
        <v/>
      </c>
      <c r="AK60" s="42" t="str">
        <f>IF(AND('Mapa final'!$AH$75="Muy Baja",'Mapa final'!$AJ$75="Catastrófico"),CONCATENATE("R2C",'Mapa final'!$R$75),"")</f>
        <v/>
      </c>
      <c r="AL60" s="42" t="str">
        <f>IF(AND('Mapa final'!$AH$76="Muy Baja",'Mapa final'!$AJ$76="Catastrófico"),CONCATENATE("R2C",'Mapa final'!$R$76),"")</f>
        <v/>
      </c>
      <c r="AM60" s="42" t="str">
        <f>IF(AND('Mapa final'!$AH$77="Muy Baja",'Mapa final'!$AJ$77="Catastrófico"),CONCATENATE("R2C",'Mapa final'!$R$77),"")</f>
        <v/>
      </c>
      <c r="AN60" s="43" t="str">
        <f>IF(AND('Mapa final'!$AH$78="Muy Baja",'Mapa final'!$AJ$78="Catastrófico"),CONCATENATE("R2C",'Mapa final'!$R$78),"")</f>
        <v/>
      </c>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row>
    <row r="61" spans="2:81" ht="15.75" customHeight="1" thickBot="1">
      <c r="B61" s="68"/>
      <c r="C61" s="446"/>
      <c r="D61" s="446"/>
      <c r="E61" s="447"/>
      <c r="F61" s="492"/>
      <c r="G61" s="493"/>
      <c r="H61" s="493"/>
      <c r="I61" s="493"/>
      <c r="J61" s="494"/>
      <c r="K61" s="65" t="str">
        <f>IF(AND('Mapa final'!$AH$79="Muy Baja",'Mapa final'!$AJ$79="Leve"),CONCATENATE("R2C",'Mapa final'!$R$79),"")</f>
        <v/>
      </c>
      <c r="L61" s="66" t="str">
        <f>IF(AND('Mapa final'!$AH$80="Muy Baja",'Mapa final'!$AJ$80="Leve"),CONCATENATE("R2C",'Mapa final'!$R$80),"")</f>
        <v/>
      </c>
      <c r="M61" s="66" t="str">
        <f>IF(AND('Mapa final'!$AH$81="Muy Baja",'Mapa final'!$AJ$81="Leve"),CONCATENATE("R2C",'Mapa final'!$R$81),"")</f>
        <v/>
      </c>
      <c r="N61" s="66" t="str">
        <f>IF(AND('Mapa final'!$AH$82="Muy Baja",'Mapa final'!$AJ$82="Leve"),CONCATENATE("R2C",'Mapa final'!$R$82),"")</f>
        <v/>
      </c>
      <c r="O61" s="66" t="str">
        <f>IF(AND('Mapa final'!$AH$84="Muy Baja",'Mapa final'!$AJ$84="Leve"),CONCATENATE("R2C",'Mapa final'!$R$84),"")</f>
        <v/>
      </c>
      <c r="P61" s="67" t="str">
        <f>IF(AND('Mapa final'!$AH$85="Muy Baja",'Mapa final'!$AJ$85="Leve"),CONCATENATE("R2C",'Mapa final'!$R$85),"")</f>
        <v/>
      </c>
      <c r="Q61" s="65" t="str">
        <f>IF(AND('Mapa final'!$AH$79="Muy Baja",'Mapa final'!$AJ$79="Menor"),CONCATENATE("R2C",'Mapa final'!$R$79),"")</f>
        <v/>
      </c>
      <c r="R61" s="66" t="str">
        <f>IF(AND('Mapa final'!$AH$80="Muy Baja",'Mapa final'!$AJ$80="Menor"),CONCATENATE("R2C",'Mapa final'!$R$80),"")</f>
        <v/>
      </c>
      <c r="S61" s="66" t="str">
        <f>IF(AND('Mapa final'!$AH$81="Muy Baja",'Mapa final'!$AJ$81="Menor"),CONCATENATE("R2C",'Mapa final'!$R$81),"")</f>
        <v/>
      </c>
      <c r="T61" s="66" t="str">
        <f>IF(AND('Mapa final'!$AH$82="Muy Baja",'Mapa final'!$AJ$82="Menor"),CONCATENATE("R2C",'Mapa final'!$R$82),"")</f>
        <v/>
      </c>
      <c r="U61" s="66" t="str">
        <f>IF(AND('Mapa final'!$AH$84="Muy Baja",'Mapa final'!$AJ$84="Menor"),CONCATENATE("R2C",'Mapa final'!$R$84),"")</f>
        <v/>
      </c>
      <c r="V61" s="67" t="str">
        <f>IF(AND('Mapa final'!$AH$85="Muy Baja",'Mapa final'!$AJ$85="Menor"),CONCATENATE("R2C",'Mapa final'!$R$85),"")</f>
        <v/>
      </c>
      <c r="W61" s="56" t="str">
        <f>IF(AND('Mapa final'!$AH$79="Muy Baja",'Mapa final'!$AJ$79="Moderado"),CONCATENATE("R2C",'Mapa final'!$R$79),"")</f>
        <v/>
      </c>
      <c r="X61" s="57" t="str">
        <f>IF(AND('Mapa final'!$AH$80="Muy Baja",'Mapa final'!$AJ$80="Moderado"),CONCATENATE("R2C",'Mapa final'!$R$80),"")</f>
        <v/>
      </c>
      <c r="Y61" s="57" t="str">
        <f>IF(AND('Mapa final'!$AH$81="Muy Baja",'Mapa final'!$AJ$81="Moderado"),CONCATENATE("R2C",'Mapa final'!$R$81),"")</f>
        <v/>
      </c>
      <c r="Z61" s="57" t="str">
        <f>IF(AND('Mapa final'!$AH$82="Muy Baja",'Mapa final'!$AJ$82="Moderado"),CONCATENATE("R2C",'Mapa final'!$R$82),"")</f>
        <v/>
      </c>
      <c r="AA61" s="57" t="str">
        <f>IF(AND('Mapa final'!$AH$84="Muy Baja",'Mapa final'!$AJ$84="Moderado"),CONCATENATE("R2C",'Mapa final'!$R$84),"")</f>
        <v/>
      </c>
      <c r="AB61" s="58" t="str">
        <f>IF(AND('Mapa final'!$AH$85="Muy Baja",'Mapa final'!$AJ$85="Moderado"),CONCATENATE("R2C",'Mapa final'!$R$85),"")</f>
        <v/>
      </c>
      <c r="AC61" s="44" t="str">
        <f>IF(AND('Mapa final'!$AH$79="Muy Baja",'Mapa final'!$AJ$79="Mayor"),CONCATENATE("R2C",'Mapa final'!$R$79),"")</f>
        <v/>
      </c>
      <c r="AD61" s="45" t="str">
        <f>IF(AND('Mapa final'!$AH$80="Muy Baja",'Mapa final'!$AJ$80="Mayor"),CONCATENATE("R2C",'Mapa final'!$R$80),"")</f>
        <v/>
      </c>
      <c r="AE61" s="45" t="str">
        <f>IF(AND('Mapa final'!$AH$81="Muy Baja",'Mapa final'!$AJ$81="Mayor"),CONCATENATE("R2C",'Mapa final'!$R$81),"")</f>
        <v/>
      </c>
      <c r="AF61" s="45" t="str">
        <f>IF(AND('Mapa final'!$AH$82="Muy Baja",'Mapa final'!$AJ$82="Mayor"),CONCATENATE("R2C",'Mapa final'!$R$82),"")</f>
        <v/>
      </c>
      <c r="AG61" s="45" t="str">
        <f>IF(AND('Mapa final'!$AH$84="Muy Baja",'Mapa final'!$AJ$84="Mayor"),CONCATENATE("R2C",'Mapa final'!$R$84),"")</f>
        <v/>
      </c>
      <c r="AH61" s="46" t="str">
        <f>IF(AND('Mapa final'!$AH$85="Muy Baja",'Mapa final'!$AJ$85="Mayor"),CONCATENATE("R2C",'Mapa final'!$R$85),"")</f>
        <v/>
      </c>
      <c r="AI61" s="47" t="str">
        <f>IF(AND('Mapa final'!$AH$79="Muy Baja",'Mapa final'!$AJ$79="Catastrófico"),CONCATENATE("R2C",'Mapa final'!$R$79),"")</f>
        <v/>
      </c>
      <c r="AJ61" s="48" t="str">
        <f>IF(AND('Mapa final'!$AH$80="Muy Baja",'Mapa final'!$AJ$80="Catastrófico"),CONCATENATE("R2C",'Mapa final'!$R$80),"")</f>
        <v/>
      </c>
      <c r="AK61" s="48" t="str">
        <f>IF(AND('Mapa final'!$AH$81="Muy Baja",'Mapa final'!$AJ$81="Catastrófico"),CONCATENATE("R2C",'Mapa final'!$R$81),"")</f>
        <v/>
      </c>
      <c r="AL61" s="48" t="str">
        <f>IF(AND('Mapa final'!$AH$82="Muy Baja",'Mapa final'!$AJ$82="Catastrófico"),CONCATENATE("R2C",'Mapa final'!$R$82),"")</f>
        <v/>
      </c>
      <c r="AM61" s="48" t="str">
        <f>IF(AND('Mapa final'!$AH$84="Muy Baja",'Mapa final'!$AJ$84="Catastrófico"),CONCATENATE("R2C",'Mapa final'!$R$84),"")</f>
        <v/>
      </c>
      <c r="AN61" s="49" t="str">
        <f>IF(AND('Mapa final'!$AH$85="Muy Baja",'Mapa final'!$AJ$85="Catastrófico"),CONCATENATE("R2C",'Mapa final'!$R$85),"")</f>
        <v/>
      </c>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row>
    <row r="62" spans="2:81">
      <c r="B62" s="68"/>
      <c r="C62" s="68"/>
      <c r="D62" s="68"/>
      <c r="E62" s="68"/>
      <c r="F62" s="68"/>
      <c r="G62" s="68"/>
      <c r="H62" s="68"/>
      <c r="I62" s="68"/>
      <c r="J62" s="68"/>
      <c r="K62" s="486" t="s">
        <v>339</v>
      </c>
      <c r="L62" s="487"/>
      <c r="M62" s="487"/>
      <c r="N62" s="487"/>
      <c r="O62" s="487"/>
      <c r="P62" s="488"/>
      <c r="Q62" s="486" t="s">
        <v>340</v>
      </c>
      <c r="R62" s="487"/>
      <c r="S62" s="487"/>
      <c r="T62" s="487"/>
      <c r="U62" s="487"/>
      <c r="V62" s="488"/>
      <c r="W62" s="486" t="s">
        <v>341</v>
      </c>
      <c r="X62" s="487"/>
      <c r="Y62" s="487"/>
      <c r="Z62" s="487"/>
      <c r="AA62" s="487"/>
      <c r="AB62" s="488"/>
      <c r="AC62" s="486" t="s">
        <v>342</v>
      </c>
      <c r="AD62" s="495"/>
      <c r="AE62" s="487"/>
      <c r="AF62" s="487"/>
      <c r="AG62" s="487"/>
      <c r="AH62" s="488"/>
      <c r="AI62" s="486" t="s">
        <v>343</v>
      </c>
      <c r="AJ62" s="487"/>
      <c r="AK62" s="487"/>
      <c r="AL62" s="487"/>
      <c r="AM62" s="487"/>
      <c r="AN62" s="48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row>
    <row r="63" spans="2:81">
      <c r="B63" s="68"/>
      <c r="C63" s="68"/>
      <c r="D63" s="68"/>
      <c r="E63" s="68"/>
      <c r="F63" s="68"/>
      <c r="G63" s="68"/>
      <c r="H63" s="68"/>
      <c r="I63" s="68"/>
      <c r="J63" s="68"/>
      <c r="K63" s="489"/>
      <c r="L63" s="490"/>
      <c r="M63" s="490"/>
      <c r="N63" s="490"/>
      <c r="O63" s="490"/>
      <c r="P63" s="491"/>
      <c r="Q63" s="489"/>
      <c r="R63" s="490"/>
      <c r="S63" s="490"/>
      <c r="T63" s="490"/>
      <c r="U63" s="490"/>
      <c r="V63" s="491"/>
      <c r="W63" s="489"/>
      <c r="X63" s="490"/>
      <c r="Y63" s="490"/>
      <c r="Z63" s="490"/>
      <c r="AA63" s="490"/>
      <c r="AB63" s="491"/>
      <c r="AC63" s="489"/>
      <c r="AD63" s="490"/>
      <c r="AE63" s="490"/>
      <c r="AF63" s="490"/>
      <c r="AG63" s="490"/>
      <c r="AH63" s="491"/>
      <c r="AI63" s="489"/>
      <c r="AJ63" s="490"/>
      <c r="AK63" s="490"/>
      <c r="AL63" s="490"/>
      <c r="AM63" s="490"/>
      <c r="AN63" s="491"/>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row>
    <row r="64" spans="2:81">
      <c r="B64" s="68"/>
      <c r="C64" s="68"/>
      <c r="D64" s="68"/>
      <c r="E64" s="68"/>
      <c r="F64" s="68"/>
      <c r="G64" s="68"/>
      <c r="H64" s="68"/>
      <c r="I64" s="68"/>
      <c r="J64" s="68"/>
      <c r="K64" s="489"/>
      <c r="L64" s="490"/>
      <c r="M64" s="490"/>
      <c r="N64" s="490"/>
      <c r="O64" s="490"/>
      <c r="P64" s="491"/>
      <c r="Q64" s="489"/>
      <c r="R64" s="490"/>
      <c r="S64" s="490"/>
      <c r="T64" s="490"/>
      <c r="U64" s="490"/>
      <c r="V64" s="491"/>
      <c r="W64" s="489"/>
      <c r="X64" s="490"/>
      <c r="Y64" s="490"/>
      <c r="Z64" s="490"/>
      <c r="AA64" s="490"/>
      <c r="AB64" s="491"/>
      <c r="AC64" s="489"/>
      <c r="AD64" s="490"/>
      <c r="AE64" s="490"/>
      <c r="AF64" s="490"/>
      <c r="AG64" s="490"/>
      <c r="AH64" s="491"/>
      <c r="AI64" s="489"/>
      <c r="AJ64" s="490"/>
      <c r="AK64" s="490"/>
      <c r="AL64" s="490"/>
      <c r="AM64" s="490"/>
      <c r="AN64" s="491"/>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row>
    <row r="65" spans="2:81">
      <c r="B65" s="68"/>
      <c r="C65" s="68"/>
      <c r="D65" s="68"/>
      <c r="E65" s="68"/>
      <c r="F65" s="68"/>
      <c r="G65" s="68"/>
      <c r="H65" s="68"/>
      <c r="I65" s="68"/>
      <c r="J65" s="68"/>
      <c r="K65" s="489"/>
      <c r="L65" s="490"/>
      <c r="M65" s="490"/>
      <c r="N65" s="490"/>
      <c r="O65" s="490"/>
      <c r="P65" s="491"/>
      <c r="Q65" s="489"/>
      <c r="R65" s="490"/>
      <c r="S65" s="490"/>
      <c r="T65" s="490"/>
      <c r="U65" s="490"/>
      <c r="V65" s="491"/>
      <c r="W65" s="489"/>
      <c r="X65" s="490"/>
      <c r="Y65" s="490"/>
      <c r="Z65" s="490"/>
      <c r="AA65" s="490"/>
      <c r="AB65" s="491"/>
      <c r="AC65" s="489"/>
      <c r="AD65" s="490"/>
      <c r="AE65" s="490"/>
      <c r="AF65" s="490"/>
      <c r="AG65" s="490"/>
      <c r="AH65" s="491"/>
      <c r="AI65" s="489"/>
      <c r="AJ65" s="490"/>
      <c r="AK65" s="490"/>
      <c r="AL65" s="490"/>
      <c r="AM65" s="490"/>
      <c r="AN65" s="491"/>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row>
    <row r="66" spans="2:81">
      <c r="B66" s="68"/>
      <c r="C66" s="68"/>
      <c r="D66" s="68"/>
      <c r="E66" s="68"/>
      <c r="F66" s="68"/>
      <c r="G66" s="68"/>
      <c r="H66" s="68"/>
      <c r="I66" s="68"/>
      <c r="J66" s="68"/>
      <c r="K66" s="489"/>
      <c r="L66" s="490"/>
      <c r="M66" s="490"/>
      <c r="N66" s="490"/>
      <c r="O66" s="490"/>
      <c r="P66" s="491"/>
      <c r="Q66" s="489"/>
      <c r="R66" s="490"/>
      <c r="S66" s="490"/>
      <c r="T66" s="490"/>
      <c r="U66" s="490"/>
      <c r="V66" s="491"/>
      <c r="W66" s="489"/>
      <c r="X66" s="490"/>
      <c r="Y66" s="490"/>
      <c r="Z66" s="490"/>
      <c r="AA66" s="490"/>
      <c r="AB66" s="491"/>
      <c r="AC66" s="489"/>
      <c r="AD66" s="490"/>
      <c r="AE66" s="490"/>
      <c r="AF66" s="490"/>
      <c r="AG66" s="490"/>
      <c r="AH66" s="491"/>
      <c r="AI66" s="489"/>
      <c r="AJ66" s="490"/>
      <c r="AK66" s="490"/>
      <c r="AL66" s="490"/>
      <c r="AM66" s="490"/>
      <c r="AN66" s="491"/>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row>
    <row r="67" spans="2:81" ht="15" thickBot="1">
      <c r="B67" s="68"/>
      <c r="C67" s="68"/>
      <c r="D67" s="68"/>
      <c r="E67" s="68"/>
      <c r="F67" s="68"/>
      <c r="G67" s="68"/>
      <c r="H67" s="68"/>
      <c r="I67" s="68"/>
      <c r="J67" s="68"/>
      <c r="K67" s="492"/>
      <c r="L67" s="493"/>
      <c r="M67" s="493"/>
      <c r="N67" s="493"/>
      <c r="O67" s="493"/>
      <c r="P67" s="494"/>
      <c r="Q67" s="492"/>
      <c r="R67" s="493"/>
      <c r="S67" s="493"/>
      <c r="T67" s="493"/>
      <c r="U67" s="493"/>
      <c r="V67" s="494"/>
      <c r="W67" s="492"/>
      <c r="X67" s="493"/>
      <c r="Y67" s="493"/>
      <c r="Z67" s="493"/>
      <c r="AA67" s="493"/>
      <c r="AB67" s="494"/>
      <c r="AC67" s="492"/>
      <c r="AD67" s="493"/>
      <c r="AE67" s="493"/>
      <c r="AF67" s="493"/>
      <c r="AG67" s="493"/>
      <c r="AH67" s="494"/>
      <c r="AI67" s="492"/>
      <c r="AJ67" s="493"/>
      <c r="AK67" s="493"/>
      <c r="AL67" s="493"/>
      <c r="AM67" s="493"/>
      <c r="AN67" s="494"/>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row>
    <row r="68" spans="2:81">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row>
    <row r="69" spans="2:81" ht="15" customHeight="1">
      <c r="B69" s="68"/>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68"/>
      <c r="AW69" s="68"/>
      <c r="AX69" s="68"/>
      <c r="AY69" s="68"/>
      <c r="AZ69" s="68"/>
      <c r="BA69" s="68"/>
      <c r="BB69" s="68"/>
      <c r="BC69" s="68"/>
      <c r="BD69" s="68"/>
      <c r="BE69" s="68"/>
      <c r="BF69" s="68"/>
      <c r="BG69" s="68"/>
      <c r="BH69" s="68"/>
      <c r="BI69" s="68"/>
    </row>
    <row r="70" spans="2:81" ht="15" customHeight="1">
      <c r="B70" s="68"/>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68"/>
      <c r="AW70" s="68"/>
      <c r="AX70" s="68"/>
      <c r="AY70" s="68"/>
      <c r="AZ70" s="68"/>
      <c r="BA70" s="68"/>
      <c r="BB70" s="68"/>
      <c r="BC70" s="68"/>
      <c r="BD70" s="68"/>
      <c r="BE70" s="68"/>
      <c r="BF70" s="68"/>
      <c r="BG70" s="68"/>
      <c r="BH70" s="68"/>
      <c r="BI70" s="68"/>
    </row>
    <row r="71" spans="2:81">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row>
    <row r="72" spans="2:81">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row>
    <row r="73" spans="2:81">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row>
    <row r="74" spans="2:81">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row>
    <row r="75" spans="2:81">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row>
    <row r="76" spans="2:81">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row>
    <row r="77" spans="2:81">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row>
    <row r="78" spans="2:81">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row>
    <row r="79" spans="2:81">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row>
    <row r="80" spans="2:81">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row>
    <row r="81" spans="2:61">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row>
    <row r="82" spans="2:61">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row>
    <row r="83" spans="2:61">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row>
    <row r="84" spans="2:61">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row>
    <row r="85" spans="2:61">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row>
    <row r="86" spans="2:61">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row>
    <row r="87" spans="2:61">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row>
    <row r="88" spans="2:61">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row>
    <row r="89" spans="2:61">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row>
    <row r="90" spans="2:61">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row>
    <row r="91" spans="2:61">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row>
    <row r="92" spans="2:61">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row>
    <row r="93" spans="2:61">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row>
    <row r="94" spans="2:61">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row>
    <row r="95" spans="2:61">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row>
    <row r="96" spans="2:61">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row>
    <row r="97" spans="2:61">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row>
    <row r="98" spans="2:61">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row>
    <row r="99" spans="2:61">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row>
    <row r="100" spans="2:61">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row>
    <row r="101" spans="2:61">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row>
    <row r="102" spans="2:61">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row>
    <row r="103" spans="2:61">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row>
    <row r="104" spans="2:61">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row>
    <row r="105" spans="2:61">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row>
    <row r="106" spans="2:61">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row>
    <row r="107" spans="2:61">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row>
    <row r="108" spans="2:61">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row>
    <row r="109" spans="2:61">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row>
    <row r="110" spans="2:61">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row>
    <row r="111" spans="2:61">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row>
    <row r="112" spans="2:61">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row>
    <row r="113" spans="2:61">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row>
    <row r="114" spans="2:61">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row>
    <row r="115" spans="2:61">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row>
    <row r="116" spans="2:61">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row>
    <row r="117" spans="2:61">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row>
    <row r="118" spans="2:61">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row>
    <row r="119" spans="2:61">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row>
    <row r="120" spans="2:61">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row>
    <row r="121" spans="2:61">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row>
    <row r="122" spans="2:61">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row>
    <row r="123" spans="2:61">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row>
    <row r="124" spans="2:61">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row>
    <row r="125" spans="2:61">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row>
    <row r="126" spans="2:61">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row>
    <row r="127" spans="2:61">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row>
    <row r="128" spans="2:61">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row>
    <row r="129" spans="2:61">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row>
    <row r="130" spans="2:61">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row>
    <row r="131" spans="2:61">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row>
    <row r="132" spans="2:61">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row>
    <row r="133" spans="2:61">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row>
    <row r="134" spans="2:61">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row>
    <row r="135" spans="2:61">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row>
    <row r="136" spans="2:61">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row>
    <row r="137" spans="2:61">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row>
    <row r="138" spans="2:61">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row>
    <row r="139" spans="2:61">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row>
    <row r="140" spans="2:61">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row>
    <row r="141" spans="2:61">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row>
    <row r="142" spans="2:61">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row>
    <row r="143" spans="2:61">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row>
    <row r="144" spans="2:61">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row>
    <row r="145" spans="2:61">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row>
    <row r="146" spans="2:61">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row>
    <row r="147" spans="2:61">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row>
    <row r="148" spans="2:61">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row>
    <row r="149" spans="2:61">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row>
    <row r="150" spans="2:61">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row>
    <row r="151" spans="2:61">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row>
    <row r="152" spans="2:61">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row>
    <row r="153" spans="2:61">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row>
    <row r="154" spans="2:61">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row>
    <row r="155" spans="2:61">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row>
    <row r="156" spans="2:61">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row>
    <row r="157" spans="2:61">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row>
    <row r="158" spans="2:61">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row>
    <row r="159" spans="2:61">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row>
    <row r="160" spans="2:61">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row>
    <row r="161" spans="2:61">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row>
    <row r="162" spans="2:61">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row>
    <row r="163" spans="2:61">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row>
    <row r="164" spans="2:61">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row>
    <row r="165" spans="2:61">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row>
    <row r="166" spans="2:61">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row>
    <row r="167" spans="2:61">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row>
    <row r="168" spans="2:61">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row>
    <row r="169" spans="2:61">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row>
    <row r="170" spans="2:61">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row>
    <row r="171" spans="2:61">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row>
    <row r="172" spans="2:61">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row>
    <row r="173" spans="2:61">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row>
    <row r="174" spans="2:61">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row>
    <row r="175" spans="2:61">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row>
    <row r="176" spans="2:61">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row>
    <row r="177" spans="2:61">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row>
    <row r="178" spans="2:61">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row>
    <row r="179" spans="2:61">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row>
    <row r="180" spans="2:61">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row>
    <row r="181" spans="2:61">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row>
    <row r="182" spans="2:61">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row>
    <row r="183" spans="2:61">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row>
    <row r="184" spans="2:61">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row>
    <row r="185" spans="2:61">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row>
    <row r="186" spans="2:61">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row>
    <row r="187" spans="2:61">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row>
    <row r="188" spans="2:61">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row>
    <row r="189" spans="2:61">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row>
    <row r="190" spans="2:61">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row>
    <row r="191" spans="2:61">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row>
    <row r="192" spans="2:61">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row>
    <row r="193" spans="2:61">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row>
    <row r="194" spans="2:61">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row>
    <row r="195" spans="2:61">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row>
    <row r="196" spans="2:61">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row>
    <row r="197" spans="2:61">
      <c r="B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row>
    <row r="198" spans="2:61">
      <c r="B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row>
    <row r="199" spans="2:61">
      <c r="B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row>
    <row r="200" spans="2:61">
      <c r="B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row>
    <row r="201" spans="2:61">
      <c r="B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row>
    <row r="202" spans="2:61">
      <c r="B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row>
    <row r="203" spans="2:61">
      <c r="B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row>
    <row r="204" spans="2:61">
      <c r="B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row>
    <row r="205" spans="2:61">
      <c r="B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row>
    <row r="206" spans="2:61">
      <c r="B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row>
    <row r="207" spans="2:61">
      <c r="B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row>
    <row r="208" spans="2:61">
      <c r="B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row>
    <row r="209" spans="2:61">
      <c r="B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row>
    <row r="210" spans="2:61">
      <c r="B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row>
    <row r="211" spans="2:61">
      <c r="B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row>
    <row r="212" spans="2:61">
      <c r="B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row>
    <row r="213" spans="2:61">
      <c r="B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row>
    <row r="214" spans="2:61">
      <c r="B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row>
    <row r="215" spans="2:61">
      <c r="B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row>
    <row r="216" spans="2:61">
      <c r="B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row>
    <row r="217" spans="2:61">
      <c r="B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row>
    <row r="218" spans="2:61">
      <c r="B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row>
    <row r="219" spans="2:61">
      <c r="B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row>
    <row r="220" spans="2:61">
      <c r="B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row>
    <row r="221" spans="2:61">
      <c r="B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row>
    <row r="222" spans="2:61">
      <c r="B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row>
    <row r="223" spans="2:61">
      <c r="B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row>
    <row r="224" spans="2:61">
      <c r="B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row>
    <row r="225" spans="2:61">
      <c r="B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row>
    <row r="226" spans="2:61">
      <c r="B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row>
    <row r="227" spans="2:61">
      <c r="B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row>
    <row r="228" spans="2:61">
      <c r="B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row>
    <row r="229" spans="2:61">
      <c r="B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row>
    <row r="230" spans="2:61">
      <c r="B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row>
    <row r="231" spans="2:61">
      <c r="B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row>
    <row r="232" spans="2:61">
      <c r="B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row>
    <row r="233" spans="2:61">
      <c r="B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row>
    <row r="234" spans="2:61">
      <c r="B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row>
    <row r="235" spans="2:61">
      <c r="B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row>
    <row r="236" spans="2:61">
      <c r="B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row>
    <row r="237" spans="2:61">
      <c r="B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row>
    <row r="238" spans="2:61">
      <c r="B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row>
    <row r="239" spans="2:61">
      <c r="B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row>
    <row r="240" spans="2:61">
      <c r="B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row>
    <row r="241" spans="2:61">
      <c r="B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row>
    <row r="242" spans="2:61">
      <c r="B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row>
    <row r="243" spans="2:61">
      <c r="B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row>
    <row r="244" spans="2:61">
      <c r="B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row>
    <row r="245" spans="2:61">
      <c r="B245" s="68"/>
      <c r="K245" s="68"/>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68"/>
      <c r="AW245" s="68"/>
      <c r="AX245" s="68"/>
      <c r="AY245" s="68"/>
      <c r="AZ245" s="68"/>
      <c r="BA245" s="68"/>
      <c r="BB245" s="68"/>
      <c r="BC245" s="68"/>
      <c r="BD245" s="68"/>
      <c r="BE245" s="68"/>
      <c r="BF245" s="68"/>
      <c r="BG245" s="68"/>
      <c r="BH245" s="68"/>
      <c r="BI245" s="68"/>
    </row>
    <row r="246" spans="2:61">
      <c r="B246" s="68"/>
      <c r="K246" s="68"/>
      <c r="L246" s="68"/>
      <c r="M246" s="68"/>
      <c r="N246" s="68"/>
      <c r="O246" s="68"/>
      <c r="P246" s="68"/>
      <c r="Q246" s="68"/>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row>
    <row r="247" spans="2:61">
      <c r="B247" s="68"/>
      <c r="K247" s="68"/>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row>
    <row r="248" spans="2:61">
      <c r="B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row>
    <row r="249" spans="2:61">
      <c r="B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row>
    <row r="250" spans="2:61">
      <c r="B250" s="68"/>
      <c r="K250" s="68"/>
      <c r="L250" s="68"/>
      <c r="M250" s="68"/>
      <c r="N250" s="68"/>
      <c r="O250" s="68"/>
      <c r="P250" s="68"/>
      <c r="Q250" s="68"/>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row>
    <row r="251" spans="2:61">
      <c r="B251" s="68"/>
    </row>
    <row r="252" spans="2:61">
      <c r="B252" s="68"/>
    </row>
    <row r="253" spans="2:61">
      <c r="B253" s="68"/>
    </row>
    <row r="254" spans="2:61">
      <c r="B254" s="68"/>
    </row>
  </sheetData>
  <mergeCells count="24">
    <mergeCell ref="C2:J5"/>
    <mergeCell ref="K2:AN5"/>
    <mergeCell ref="AO2:AU2"/>
    <mergeCell ref="AO3:AU3"/>
    <mergeCell ref="AO4:AU4"/>
    <mergeCell ref="AO5:AU5"/>
    <mergeCell ref="AI62:AN67"/>
    <mergeCell ref="AP22:AU31"/>
    <mergeCell ref="F22:J31"/>
    <mergeCell ref="AP12:AU21"/>
    <mergeCell ref="C8:J10"/>
    <mergeCell ref="K8:AN10"/>
    <mergeCell ref="C12:E61"/>
    <mergeCell ref="F12:J21"/>
    <mergeCell ref="F52:J61"/>
    <mergeCell ref="AP42:AU51"/>
    <mergeCell ref="F42:J51"/>
    <mergeCell ref="AP32:AU41"/>
    <mergeCell ref="F32:J41"/>
    <mergeCell ref="A8:B8"/>
    <mergeCell ref="K62:P67"/>
    <mergeCell ref="Q62:V67"/>
    <mergeCell ref="W62:AB67"/>
    <mergeCell ref="AC62:AH6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Calidad ETITC</cp:lastModifiedBy>
  <cp:revision/>
  <dcterms:created xsi:type="dcterms:W3CDTF">2020-03-24T23:12:47Z</dcterms:created>
  <dcterms:modified xsi:type="dcterms:W3CDTF">2026-08-26T03:49:17Z</dcterms:modified>
  <cp:category/>
  <cp:contentStatus/>
</cp:coreProperties>
</file>