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1.xml" ContentType="application/vnd.openxmlformats-officedocument.spreadsheetml.pivot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codeName="ThisWorkbook" hidePivotFieldList="1" defaultThemeVersion="124226"/>
  <mc:AlternateContent xmlns:mc="http://schemas.openxmlformats.org/markup-compatibility/2006">
    <mc:Choice Requires="x15">
      <x15ac:absPath xmlns:x15ac="http://schemas.microsoft.com/office/spreadsheetml/2010/11/ac" url="https://itceduco-my.sharepoint.com/personal/mipg_itc_edu_co/Documents/SIG/Gestión de riesgos/Matrices de riesgos 2026/Gestión de Internacionalización​​​​​​​/"/>
    </mc:Choice>
  </mc:AlternateContent>
  <xr:revisionPtr revIDLastSave="590" documentId="8_{40A9DF85-CA35-4856-8FA9-12C035AAE35B}" xr6:coauthVersionLast="47" xr6:coauthVersionMax="47" xr10:uidLastSave="{646ADFE4-C2EE-A949-A32D-3A64A5C5C62C}"/>
  <bookViews>
    <workbookView xWindow="0" yWindow="920" windowWidth="25600" windowHeight="15720" tabRatio="882" firstSheet="2" activeTab="2" xr2:uid="{00000000-000D-0000-FFFF-FFFF00000000}"/>
  </bookViews>
  <sheets>
    <sheet name="PORTADA " sheetId="22" r:id="rId1"/>
    <sheet name="CRITERIOS R CORRUPCION" sheetId="27" r:id="rId2"/>
    <sheet name="Mapa final" sheetId="1" r:id="rId3"/>
    <sheet name="Datos" sheetId="32" state="hidden" r:id="rId4"/>
    <sheet name="Formulas" sheetId="28" state="hidden" r:id="rId5"/>
    <sheet name="Apayo Visual " sheetId="31" r:id="rId6"/>
    <sheet name="eliminar" sheetId="30" state="hidden" r:id="rId7"/>
    <sheet name="Matriz Calor Inherente" sheetId="18" r:id="rId8"/>
    <sheet name="Matriz Calor Residual" sheetId="19" r:id="rId9"/>
    <sheet name="CAMBIOS REGISTRO" sheetId="25" state="hidden" r:id="rId10"/>
    <sheet name="SGI" sheetId="24" state="hidden" r:id="rId11"/>
    <sheet name="Intructivo" sheetId="20" r:id="rId12"/>
    <sheet name="CONTROL DE CAMBIOS REGISTRO " sheetId="23" state="hidden" r:id="rId13"/>
    <sheet name="Listas" sheetId="21" state="hidden" r:id="rId14"/>
    <sheet name="Hoja3" sheetId="29" state="hidden" r:id="rId15"/>
    <sheet name="Control de Cambios FORMATO " sheetId="26" r:id="rId16"/>
    <sheet name="Tabla probabilidad" sheetId="12" r:id="rId17"/>
    <sheet name="Tabla Impacto" sheetId="13" r:id="rId18"/>
    <sheet name="Tabla Valoración controles" sheetId="15" r:id="rId19"/>
    <sheet name="Hoja4" sheetId="34" r:id="rId20"/>
    <sheet name="Hoja2" sheetId="33" state="hidden" r:id="rId21"/>
    <sheet name="Opciones Tratamiento" sheetId="16" state="hidden" r:id="rId22"/>
    <sheet name="Hoja1" sheetId="11" state="hidden" r:id="rId23"/>
  </sheets>
  <definedNames>
    <definedName name="A_Obj1" localSheetId="9">OFFSET(#REF!,0,0,COUNTA(#REF!)-1,1)</definedName>
    <definedName name="A_Obj1" localSheetId="15">OFFSET(#REF!,0,0,COUNTA(#REF!)-1,1)</definedName>
    <definedName name="A_Obj1">OFFSET(#REF!,0,0,COUNTA(#REF!)-1,1)</definedName>
    <definedName name="A_Obj2" localSheetId="9">OFFSET(#REF!,0,0,COUNTA(#REF!)-1,1)</definedName>
    <definedName name="A_Obj2" localSheetId="15">OFFSET(#REF!,0,0,COUNTA(#REF!)-1,1)</definedName>
    <definedName name="A_Obj2">OFFSET(#REF!,0,0,COUNTA(#REF!)-1,1)</definedName>
    <definedName name="A_Obj3" localSheetId="9">OFFSET(#REF!,0,0,COUNTA(#REF!)-1,1)</definedName>
    <definedName name="A_Obj3" localSheetId="15">OFFSET(#REF!,0,0,COUNTA(#REF!)-1,1)</definedName>
    <definedName name="A_Obj3">OFFSET(#REF!,0,0,COUNTA(#REF!)-1,1)</definedName>
    <definedName name="A_Obj4" localSheetId="9">OFFSET(#REF!,0,0,COUNTA(#REF!)-1,1)</definedName>
    <definedName name="A_Obj4" localSheetId="15">OFFSET(#REF!,0,0,COUNTA(#REF!)-1,1)</definedName>
    <definedName name="A_Obj4">OFFSET(#REF!,0,0,COUNTA(#REF!)-1,1)</definedName>
    <definedName name="Acc_1" localSheetId="9">#REF!</definedName>
    <definedName name="Acc_1" localSheetId="15">#REF!</definedName>
    <definedName name="Acc_1">#REF!</definedName>
    <definedName name="Acc_2" localSheetId="9">#REF!</definedName>
    <definedName name="Acc_2" localSheetId="15">#REF!</definedName>
    <definedName name="Acc_2">#REF!</definedName>
    <definedName name="Acc_3" localSheetId="9">#REF!</definedName>
    <definedName name="Acc_3" localSheetId="15">#REF!</definedName>
    <definedName name="Acc_3">#REF!</definedName>
    <definedName name="Acc_4" localSheetId="9">#REF!</definedName>
    <definedName name="Acc_4" localSheetId="15">#REF!</definedName>
    <definedName name="Acc_4">#REF!</definedName>
    <definedName name="Acc_5" localSheetId="9">#REF!</definedName>
    <definedName name="Acc_5" localSheetId="15">#REF!</definedName>
    <definedName name="Acc_5">#REF!</definedName>
    <definedName name="Acc_6" localSheetId="9">#REF!</definedName>
    <definedName name="Acc_6" localSheetId="15">#REF!</definedName>
    <definedName name="Acc_6">#REF!</definedName>
    <definedName name="Acc_7" localSheetId="9">#REF!</definedName>
    <definedName name="Acc_7" localSheetId="15">#REF!</definedName>
    <definedName name="Acc_7">#REF!</definedName>
    <definedName name="Acc_8" localSheetId="9">#REF!</definedName>
    <definedName name="Acc_8" localSheetId="15">#REF!</definedName>
    <definedName name="Acc_8">#REF!</definedName>
    <definedName name="Acc_9" localSheetId="9">#REF!</definedName>
    <definedName name="Acc_9" localSheetId="15">#REF!</definedName>
    <definedName name="Acc_9">#REF!</definedName>
    <definedName name="_xlnm.Print_Area" localSheetId="9">'CAMBIOS REGISTRO'!$A$1:$E$23</definedName>
    <definedName name="_xlnm.Print_Area" localSheetId="15">'Control de Cambios FORMATO '!$A$1:$L$27</definedName>
    <definedName name="Causafactor3">#REF!</definedName>
    <definedName name="ControlTipo">#REF!</definedName>
    <definedName name="Criterios_Impacto">Criterios[Criterios_Impacto]</definedName>
    <definedName name="Departamentos" localSheetId="9">#REF!</definedName>
    <definedName name="Departamentos" localSheetId="15">#REF!</definedName>
    <definedName name="Departamentos">#REF!</definedName>
    <definedName name="Fuentes" localSheetId="9">#REF!</definedName>
    <definedName name="Fuentes" localSheetId="15">#REF!</definedName>
    <definedName name="Fuentes">#REF!</definedName>
    <definedName name="Indicadores" localSheetId="9">#REF!</definedName>
    <definedName name="Indicadores" localSheetId="15">#REF!</definedName>
    <definedName name="Indicadores">#REF!</definedName>
    <definedName name="No_aplica" localSheetId="15">#REF!</definedName>
    <definedName name="No_aplica">#REF!</definedName>
    <definedName name="Objetivos" localSheetId="9">OFFSET(#REF!,0,0,COUNTA(#REF!)-1,1)</definedName>
    <definedName name="Objetivos" localSheetId="15">OFFSET(#REF!,0,0,COUNTA(#REF!)-1,1)</definedName>
    <definedName name="Objetivos">OFFSET(#REF!,0,0,COUNTA(#REF!)-1,1)</definedName>
    <definedName name="OLE_LINK2" localSheetId="9">'CAMBIOS REGISTRO'!$A$1</definedName>
    <definedName name="Posibilidad">#REF!</definedName>
    <definedName name="RiesgoClase3">#REF!</definedName>
    <definedName name="SiNo">#REF!</definedName>
  </definedNames>
  <calcPr calcId="191028" iterateDelta="1E-4"/>
  <pivotCaches>
    <pivotCache cacheId="5"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7" i="1" l="1"/>
  <c r="AL15" i="1"/>
  <c r="N23" i="19" l="1"/>
  <c r="N24" i="19"/>
  <c r="N25" i="19"/>
  <c r="N26" i="19"/>
  <c r="N27" i="19"/>
  <c r="N28" i="19"/>
  <c r="N29" i="19"/>
  <c r="N30" i="19"/>
  <c r="N31" i="19"/>
  <c r="N32" i="19"/>
  <c r="N33" i="19"/>
  <c r="N34" i="19"/>
  <c r="N35" i="19"/>
  <c r="N36" i="19"/>
  <c r="N37" i="19"/>
  <c r="N38" i="19"/>
  <c r="N39" i="19"/>
  <c r="N40" i="19"/>
  <c r="N41" i="19"/>
  <c r="N42" i="19"/>
  <c r="N43" i="19"/>
  <c r="N44" i="19"/>
  <c r="N45" i="19"/>
  <c r="N46" i="19"/>
  <c r="N47" i="19"/>
  <c r="N48" i="19"/>
  <c r="N49" i="19"/>
  <c r="N50" i="19"/>
  <c r="N51" i="19"/>
  <c r="N52" i="19"/>
  <c r="N53" i="19"/>
  <c r="N54" i="19"/>
  <c r="N55" i="19"/>
  <c r="N56" i="19"/>
  <c r="N57" i="19"/>
  <c r="N58" i="19"/>
  <c r="N59" i="19"/>
  <c r="N60" i="19"/>
  <c r="N61" i="19"/>
  <c r="AK17" i="1"/>
  <c r="AK15" i="1"/>
  <c r="AI15" i="1"/>
  <c r="Y15" i="1"/>
  <c r="AB18" i="1"/>
  <c r="Y18" i="1"/>
  <c r="AB19" i="1"/>
  <c r="Y19" i="1"/>
  <c r="O15" i="1" l="1"/>
  <c r="P15" i="1" s="1"/>
  <c r="P17" i="1"/>
  <c r="S17" i="1"/>
  <c r="T17" i="1" s="1"/>
  <c r="S15" i="1"/>
  <c r="AB15" i="1"/>
  <c r="AB16" i="1"/>
  <c r="AB17" i="1"/>
  <c r="AB20" i="1"/>
  <c r="Y16" i="1"/>
  <c r="Y17" i="1"/>
  <c r="Y20" i="1"/>
  <c r="AE51" i="19" l="1"/>
  <c r="Q15" i="1" l="1"/>
  <c r="U15" i="1"/>
  <c r="Q17" i="1"/>
  <c r="AN61" i="19"/>
  <c r="AM61" i="19"/>
  <c r="AL61" i="19"/>
  <c r="AK61" i="19"/>
  <c r="AJ61" i="19"/>
  <c r="AI61" i="19"/>
  <c r="AH61" i="19"/>
  <c r="AG61" i="19"/>
  <c r="AF61" i="19"/>
  <c r="AE61" i="19"/>
  <c r="AD61" i="19"/>
  <c r="AC61" i="19"/>
  <c r="AB61" i="19"/>
  <c r="AA61" i="19"/>
  <c r="Z61" i="19"/>
  <c r="Y61" i="19"/>
  <c r="X61" i="19"/>
  <c r="W61" i="19"/>
  <c r="V61" i="19"/>
  <c r="U61" i="19"/>
  <c r="T61" i="19"/>
  <c r="S61" i="19"/>
  <c r="R61" i="19"/>
  <c r="Q61" i="19"/>
  <c r="P61" i="19"/>
  <c r="O61" i="19"/>
  <c r="M61" i="19"/>
  <c r="L61" i="19"/>
  <c r="K61" i="19"/>
  <c r="AN60" i="19"/>
  <c r="AM60" i="19"/>
  <c r="AL60" i="19"/>
  <c r="AK60" i="19"/>
  <c r="AJ60" i="19"/>
  <c r="AI60" i="19"/>
  <c r="AH60" i="19"/>
  <c r="AG60" i="19"/>
  <c r="AF60" i="19"/>
  <c r="AE60" i="19"/>
  <c r="AD60" i="19"/>
  <c r="AC60" i="19"/>
  <c r="AB60" i="19"/>
  <c r="AA60" i="19"/>
  <c r="Z60" i="19"/>
  <c r="Y60" i="19"/>
  <c r="X60" i="19"/>
  <c r="W60" i="19"/>
  <c r="V60" i="19"/>
  <c r="U60" i="19"/>
  <c r="T60" i="19"/>
  <c r="S60" i="19"/>
  <c r="R60" i="19"/>
  <c r="Q60" i="19"/>
  <c r="P60" i="19"/>
  <c r="O60" i="19"/>
  <c r="M60" i="19"/>
  <c r="L60" i="19"/>
  <c r="K60" i="19"/>
  <c r="AN59" i="19"/>
  <c r="AM59" i="19"/>
  <c r="AL59" i="19"/>
  <c r="AK59" i="19"/>
  <c r="AJ59" i="19"/>
  <c r="AI59" i="19"/>
  <c r="AH59" i="19"/>
  <c r="AG59" i="19"/>
  <c r="AF59" i="19"/>
  <c r="AE59" i="19"/>
  <c r="AD59" i="19"/>
  <c r="AC59" i="19"/>
  <c r="AB59" i="19"/>
  <c r="AA59" i="19"/>
  <c r="Z59" i="19"/>
  <c r="Y59" i="19"/>
  <c r="X59" i="19"/>
  <c r="W59" i="19"/>
  <c r="V59" i="19"/>
  <c r="U59" i="19"/>
  <c r="T59" i="19"/>
  <c r="S59" i="19"/>
  <c r="R59" i="19"/>
  <c r="Q59" i="19"/>
  <c r="P59" i="19"/>
  <c r="O59" i="19"/>
  <c r="M59" i="19"/>
  <c r="L59" i="19"/>
  <c r="K59" i="19"/>
  <c r="AN58" i="19"/>
  <c r="AM58" i="19"/>
  <c r="AL58" i="19"/>
  <c r="AK58" i="19"/>
  <c r="AJ58" i="19"/>
  <c r="AI58" i="19"/>
  <c r="AH58" i="19"/>
  <c r="AG58" i="19"/>
  <c r="AF58" i="19"/>
  <c r="AE58" i="19"/>
  <c r="AD58" i="19"/>
  <c r="AC58" i="19"/>
  <c r="AB58" i="19"/>
  <c r="AA58" i="19"/>
  <c r="Z58" i="19"/>
  <c r="Y58" i="19"/>
  <c r="X58" i="19"/>
  <c r="W58" i="19"/>
  <c r="V58" i="19"/>
  <c r="U58" i="19"/>
  <c r="T58" i="19"/>
  <c r="S58" i="19"/>
  <c r="R58" i="19"/>
  <c r="Q58" i="19"/>
  <c r="P58" i="19"/>
  <c r="O58" i="19"/>
  <c r="M58" i="19"/>
  <c r="L58" i="19"/>
  <c r="K58" i="19"/>
  <c r="AN57" i="19"/>
  <c r="AM57" i="19"/>
  <c r="AL57" i="19"/>
  <c r="AK57" i="19"/>
  <c r="AJ57" i="19"/>
  <c r="AI57" i="19"/>
  <c r="AH57" i="19"/>
  <c r="AG57" i="19"/>
  <c r="AF57" i="19"/>
  <c r="AE57" i="19"/>
  <c r="AD57" i="19"/>
  <c r="AC57" i="19"/>
  <c r="AB57" i="19"/>
  <c r="AA57" i="19"/>
  <c r="Z57" i="19"/>
  <c r="Y57" i="19"/>
  <c r="X57" i="19"/>
  <c r="W57" i="19"/>
  <c r="V57" i="19"/>
  <c r="U57" i="19"/>
  <c r="T57" i="19"/>
  <c r="S57" i="19"/>
  <c r="R57" i="19"/>
  <c r="Q57" i="19"/>
  <c r="P57" i="19"/>
  <c r="O57" i="19"/>
  <c r="M57" i="19"/>
  <c r="L57" i="19"/>
  <c r="K57" i="19"/>
  <c r="AN56" i="19"/>
  <c r="AM56" i="19"/>
  <c r="AL56" i="19"/>
  <c r="AK56" i="19"/>
  <c r="AJ56" i="19"/>
  <c r="AI56" i="19"/>
  <c r="AH56" i="19"/>
  <c r="AG56" i="19"/>
  <c r="AF56" i="19"/>
  <c r="AE56" i="19"/>
  <c r="AD56" i="19"/>
  <c r="AC56" i="19"/>
  <c r="AB56" i="19"/>
  <c r="AA56" i="19"/>
  <c r="Z56" i="19"/>
  <c r="Y56" i="19"/>
  <c r="X56" i="19"/>
  <c r="W56" i="19"/>
  <c r="V56" i="19"/>
  <c r="U56" i="19"/>
  <c r="T56" i="19"/>
  <c r="S56" i="19"/>
  <c r="R56" i="19"/>
  <c r="Q56" i="19"/>
  <c r="P56" i="19"/>
  <c r="O56" i="19"/>
  <c r="M56" i="19"/>
  <c r="L56" i="19"/>
  <c r="K56" i="19"/>
  <c r="AN55" i="19"/>
  <c r="AM55" i="19"/>
  <c r="AL55" i="19"/>
  <c r="AK55" i="19"/>
  <c r="AJ55" i="19"/>
  <c r="AI55" i="19"/>
  <c r="AH55" i="19"/>
  <c r="AG55" i="19"/>
  <c r="AF55" i="19"/>
  <c r="AE55" i="19"/>
  <c r="AD55" i="19"/>
  <c r="AC55" i="19"/>
  <c r="AB55" i="19"/>
  <c r="AA55" i="19"/>
  <c r="Z55" i="19"/>
  <c r="Y55" i="19"/>
  <c r="X55" i="19"/>
  <c r="W55" i="19"/>
  <c r="V55" i="19"/>
  <c r="U55" i="19"/>
  <c r="T55" i="19"/>
  <c r="S55" i="19"/>
  <c r="R55" i="19"/>
  <c r="Q55" i="19"/>
  <c r="P55" i="19"/>
  <c r="O55" i="19"/>
  <c r="M55" i="19"/>
  <c r="L55" i="19"/>
  <c r="K55" i="19"/>
  <c r="AN54" i="19"/>
  <c r="AM54" i="19"/>
  <c r="AL54" i="19"/>
  <c r="AK54" i="19"/>
  <c r="AJ54" i="19"/>
  <c r="AI54" i="19"/>
  <c r="AH54" i="19"/>
  <c r="AG54" i="19"/>
  <c r="AF54" i="19"/>
  <c r="AE54" i="19"/>
  <c r="AD54" i="19"/>
  <c r="AC54" i="19"/>
  <c r="AB54" i="19"/>
  <c r="AA54" i="19"/>
  <c r="Z54" i="19"/>
  <c r="Y54" i="19"/>
  <c r="X54" i="19"/>
  <c r="W54" i="19"/>
  <c r="V54" i="19"/>
  <c r="U54" i="19"/>
  <c r="T54" i="19"/>
  <c r="S54" i="19"/>
  <c r="R54" i="19"/>
  <c r="Q54" i="19"/>
  <c r="P54" i="19"/>
  <c r="O54" i="19"/>
  <c r="M54" i="19"/>
  <c r="L54" i="19"/>
  <c r="K54" i="19"/>
  <c r="AN53" i="19"/>
  <c r="AM53" i="19"/>
  <c r="AL53" i="19"/>
  <c r="AK53" i="19"/>
  <c r="AH53" i="19"/>
  <c r="AG53" i="19"/>
  <c r="AF53" i="19"/>
  <c r="AE53" i="19"/>
  <c r="AB53" i="19"/>
  <c r="AA53" i="19"/>
  <c r="Z53" i="19"/>
  <c r="Y53" i="19"/>
  <c r="V53" i="19"/>
  <c r="U53" i="19"/>
  <c r="T53" i="19"/>
  <c r="S53" i="19"/>
  <c r="P53" i="19"/>
  <c r="O53" i="19"/>
  <c r="M53" i="19"/>
  <c r="AN51" i="19"/>
  <c r="AM51" i="19"/>
  <c r="AL51" i="19"/>
  <c r="AK51" i="19"/>
  <c r="AJ51" i="19"/>
  <c r="AI51" i="19"/>
  <c r="AH51" i="19"/>
  <c r="AG51" i="19"/>
  <c r="AF51" i="19"/>
  <c r="AD51" i="19"/>
  <c r="AC51" i="19"/>
  <c r="AB51" i="19"/>
  <c r="AA51" i="19"/>
  <c r="Z51" i="19"/>
  <c r="Y51" i="19"/>
  <c r="X51" i="19"/>
  <c r="W51" i="19"/>
  <c r="V51" i="19"/>
  <c r="U51" i="19"/>
  <c r="T51" i="19"/>
  <c r="S51" i="19"/>
  <c r="R51" i="19"/>
  <c r="Q51" i="19"/>
  <c r="P51" i="19"/>
  <c r="O51" i="19"/>
  <c r="M51" i="19"/>
  <c r="L51" i="19"/>
  <c r="K51" i="19"/>
  <c r="AN50" i="19"/>
  <c r="AM50" i="19"/>
  <c r="AL50" i="19"/>
  <c r="AK50" i="19"/>
  <c r="AJ50" i="19"/>
  <c r="AI50" i="19"/>
  <c r="AH50" i="19"/>
  <c r="AG50" i="19"/>
  <c r="AF50" i="19"/>
  <c r="AE50" i="19"/>
  <c r="AD50" i="19"/>
  <c r="AC50" i="19"/>
  <c r="AB50" i="19"/>
  <c r="AA50" i="19"/>
  <c r="Z50" i="19"/>
  <c r="Y50" i="19"/>
  <c r="X50" i="19"/>
  <c r="W50" i="19"/>
  <c r="V50" i="19"/>
  <c r="U50" i="19"/>
  <c r="T50" i="19"/>
  <c r="S50" i="19"/>
  <c r="R50" i="19"/>
  <c r="Q50" i="19"/>
  <c r="P50" i="19"/>
  <c r="O50" i="19"/>
  <c r="M50" i="19"/>
  <c r="L50" i="19"/>
  <c r="K50" i="19"/>
  <c r="AN49" i="19"/>
  <c r="AM49" i="19"/>
  <c r="AL49" i="19"/>
  <c r="AK49" i="19"/>
  <c r="AJ49" i="19"/>
  <c r="AI49" i="19"/>
  <c r="AH49" i="19"/>
  <c r="AG49" i="19"/>
  <c r="AF49" i="19"/>
  <c r="AE49" i="19"/>
  <c r="AD49" i="19"/>
  <c r="AC49" i="19"/>
  <c r="AB49" i="19"/>
  <c r="AA49" i="19"/>
  <c r="Z49" i="19"/>
  <c r="Y49" i="19"/>
  <c r="X49" i="19"/>
  <c r="W49" i="19"/>
  <c r="V49" i="19"/>
  <c r="U49" i="19"/>
  <c r="T49" i="19"/>
  <c r="S49" i="19"/>
  <c r="R49" i="19"/>
  <c r="Q49" i="19"/>
  <c r="P49" i="19"/>
  <c r="O49" i="19"/>
  <c r="M49" i="19"/>
  <c r="L49" i="19"/>
  <c r="K49" i="19"/>
  <c r="AN48" i="19"/>
  <c r="AM48" i="19"/>
  <c r="AL48" i="19"/>
  <c r="AK48" i="19"/>
  <c r="AJ48" i="19"/>
  <c r="AI48" i="19"/>
  <c r="AH48" i="19"/>
  <c r="AG48" i="19"/>
  <c r="AF48" i="19"/>
  <c r="AE48" i="19"/>
  <c r="AD48" i="19"/>
  <c r="AC48" i="19"/>
  <c r="AB48" i="19"/>
  <c r="AA48" i="19"/>
  <c r="Z48" i="19"/>
  <c r="Y48" i="19"/>
  <c r="X48" i="19"/>
  <c r="W48" i="19"/>
  <c r="V48" i="19"/>
  <c r="U48" i="19"/>
  <c r="T48" i="19"/>
  <c r="S48" i="19"/>
  <c r="R48" i="19"/>
  <c r="Q48" i="19"/>
  <c r="P48" i="19"/>
  <c r="O48" i="19"/>
  <c r="M48" i="19"/>
  <c r="L48" i="19"/>
  <c r="K48" i="19"/>
  <c r="AN47" i="19"/>
  <c r="AM47" i="19"/>
  <c r="AL47" i="19"/>
  <c r="AK47" i="19"/>
  <c r="AJ47" i="19"/>
  <c r="AI47" i="19"/>
  <c r="AH47" i="19"/>
  <c r="AG47" i="19"/>
  <c r="AF47" i="19"/>
  <c r="AE47" i="19"/>
  <c r="AD47" i="19"/>
  <c r="AC47" i="19"/>
  <c r="AB47" i="19"/>
  <c r="AA47" i="19"/>
  <c r="Z47" i="19"/>
  <c r="Y47" i="19"/>
  <c r="X47" i="19"/>
  <c r="W47" i="19"/>
  <c r="V47" i="19"/>
  <c r="U47" i="19"/>
  <c r="T47" i="19"/>
  <c r="S47" i="19"/>
  <c r="R47" i="19"/>
  <c r="Q47" i="19"/>
  <c r="P47" i="19"/>
  <c r="O47" i="19"/>
  <c r="M47" i="19"/>
  <c r="L47" i="19"/>
  <c r="K47" i="19"/>
  <c r="AN46" i="19"/>
  <c r="AM46" i="19"/>
  <c r="AL46" i="19"/>
  <c r="AK46" i="19"/>
  <c r="AJ46" i="19"/>
  <c r="AI46" i="19"/>
  <c r="AH46" i="19"/>
  <c r="AG46" i="19"/>
  <c r="AF46" i="19"/>
  <c r="AE46" i="19"/>
  <c r="AD46" i="19"/>
  <c r="AC46" i="19"/>
  <c r="AB46" i="19"/>
  <c r="AA46" i="19"/>
  <c r="Z46" i="19"/>
  <c r="Y46" i="19"/>
  <c r="X46" i="19"/>
  <c r="W46" i="19"/>
  <c r="V46" i="19"/>
  <c r="U46" i="19"/>
  <c r="T46" i="19"/>
  <c r="S46" i="19"/>
  <c r="R46" i="19"/>
  <c r="Q46" i="19"/>
  <c r="P46" i="19"/>
  <c r="O46" i="19"/>
  <c r="M46" i="19"/>
  <c r="L46" i="19"/>
  <c r="K46" i="19"/>
  <c r="AN45" i="19"/>
  <c r="AM45" i="19"/>
  <c r="AL45" i="19"/>
  <c r="AK45" i="19"/>
  <c r="AJ45" i="19"/>
  <c r="AI45" i="19"/>
  <c r="AH45" i="19"/>
  <c r="AG45" i="19"/>
  <c r="AF45" i="19"/>
  <c r="AE45" i="19"/>
  <c r="AD45" i="19"/>
  <c r="AC45" i="19"/>
  <c r="AB45" i="19"/>
  <c r="AA45" i="19"/>
  <c r="Z45" i="19"/>
  <c r="Y45" i="19"/>
  <c r="X45" i="19"/>
  <c r="W45" i="19"/>
  <c r="V45" i="19"/>
  <c r="U45" i="19"/>
  <c r="T45" i="19"/>
  <c r="S45" i="19"/>
  <c r="R45" i="19"/>
  <c r="Q45" i="19"/>
  <c r="P45" i="19"/>
  <c r="O45" i="19"/>
  <c r="M45" i="19"/>
  <c r="L45" i="19"/>
  <c r="K45" i="19"/>
  <c r="AN44" i="19"/>
  <c r="AM44" i="19"/>
  <c r="AL44" i="19"/>
  <c r="AK44" i="19"/>
  <c r="AJ44" i="19"/>
  <c r="AI44" i="19"/>
  <c r="AH44" i="19"/>
  <c r="AG44" i="19"/>
  <c r="AF44" i="19"/>
  <c r="AE44" i="19"/>
  <c r="AD44" i="19"/>
  <c r="AC44" i="19"/>
  <c r="AB44" i="19"/>
  <c r="AA44" i="19"/>
  <c r="Z44" i="19"/>
  <c r="Y44" i="19"/>
  <c r="X44" i="19"/>
  <c r="W44" i="19"/>
  <c r="V44" i="19"/>
  <c r="U44" i="19"/>
  <c r="T44" i="19"/>
  <c r="S44" i="19"/>
  <c r="R44" i="19"/>
  <c r="Q44" i="19"/>
  <c r="P44" i="19"/>
  <c r="O44" i="19"/>
  <c r="M44" i="19"/>
  <c r="L44" i="19"/>
  <c r="K44" i="19"/>
  <c r="AN43" i="19"/>
  <c r="AM43" i="19"/>
  <c r="AL43" i="19"/>
  <c r="AK43" i="19"/>
  <c r="AH43" i="19"/>
  <c r="AG43" i="19"/>
  <c r="AF43" i="19"/>
  <c r="AE43" i="19"/>
  <c r="AB43" i="19"/>
  <c r="AA43" i="19"/>
  <c r="Z43" i="19"/>
  <c r="Y43" i="19"/>
  <c r="V43" i="19"/>
  <c r="U43" i="19"/>
  <c r="T43" i="19"/>
  <c r="S43" i="19"/>
  <c r="P43" i="19"/>
  <c r="O43" i="19"/>
  <c r="M43" i="19"/>
  <c r="AM41" i="19"/>
  <c r="AL41" i="19"/>
  <c r="AK41" i="19"/>
  <c r="AJ41" i="19"/>
  <c r="AI41" i="19"/>
  <c r="AH41" i="19"/>
  <c r="AG41" i="19"/>
  <c r="AF41" i="19"/>
  <c r="AE41" i="19"/>
  <c r="AD41" i="19"/>
  <c r="AC41" i="19"/>
  <c r="AB41" i="19"/>
  <c r="AA41" i="19"/>
  <c r="Z41" i="19"/>
  <c r="Y41" i="19"/>
  <c r="X41" i="19"/>
  <c r="W41" i="19"/>
  <c r="V41" i="19"/>
  <c r="U41" i="19"/>
  <c r="T41" i="19"/>
  <c r="S41" i="19"/>
  <c r="R41" i="19"/>
  <c r="Q41" i="19"/>
  <c r="P41" i="19"/>
  <c r="O41" i="19"/>
  <c r="M41" i="19"/>
  <c r="L41" i="19"/>
  <c r="K41" i="19"/>
  <c r="AN40" i="19"/>
  <c r="AM40" i="19"/>
  <c r="AL40" i="19"/>
  <c r="AK40" i="19"/>
  <c r="AJ40" i="19"/>
  <c r="AI40" i="19"/>
  <c r="AH40" i="19"/>
  <c r="AG40" i="19"/>
  <c r="AF40" i="19"/>
  <c r="AE40" i="19"/>
  <c r="AD40" i="19"/>
  <c r="AC40" i="19"/>
  <c r="AB40" i="19"/>
  <c r="AA40" i="19"/>
  <c r="Z40" i="19"/>
  <c r="Y40" i="19"/>
  <c r="X40" i="19"/>
  <c r="W40" i="19"/>
  <c r="V40" i="19"/>
  <c r="U40" i="19"/>
  <c r="T40" i="19"/>
  <c r="S40" i="19"/>
  <c r="R40" i="19"/>
  <c r="Q40" i="19"/>
  <c r="P40" i="19"/>
  <c r="O40" i="19"/>
  <c r="M40" i="19"/>
  <c r="L40" i="19"/>
  <c r="K40" i="19"/>
  <c r="AN39" i="19"/>
  <c r="AM39" i="19"/>
  <c r="AL39" i="19"/>
  <c r="AK39" i="19"/>
  <c r="AJ39" i="19"/>
  <c r="AI39" i="19"/>
  <c r="AH39" i="19"/>
  <c r="AG39" i="19"/>
  <c r="AF39" i="19"/>
  <c r="AE39" i="19"/>
  <c r="AD39" i="19"/>
  <c r="AC39" i="19"/>
  <c r="AB39" i="19"/>
  <c r="AA39" i="19"/>
  <c r="Z39" i="19"/>
  <c r="Y39" i="19"/>
  <c r="X39" i="19"/>
  <c r="W39" i="19"/>
  <c r="V39" i="19"/>
  <c r="U39" i="19"/>
  <c r="T39" i="19"/>
  <c r="S39" i="19"/>
  <c r="R39" i="19"/>
  <c r="Q39" i="19"/>
  <c r="P39" i="19"/>
  <c r="O39" i="19"/>
  <c r="M39" i="19"/>
  <c r="L39" i="19"/>
  <c r="K39" i="19"/>
  <c r="AN38" i="19"/>
  <c r="AM38" i="19"/>
  <c r="AL38" i="19"/>
  <c r="AK38" i="19"/>
  <c r="AJ38" i="19"/>
  <c r="AI38" i="19"/>
  <c r="AH38" i="19"/>
  <c r="AG38" i="19"/>
  <c r="AF38" i="19"/>
  <c r="AE38" i="19"/>
  <c r="AD38" i="19"/>
  <c r="AC38" i="19"/>
  <c r="AB38" i="19"/>
  <c r="AA38" i="19"/>
  <c r="Z38" i="19"/>
  <c r="Y38" i="19"/>
  <c r="X38" i="19"/>
  <c r="W38" i="19"/>
  <c r="V38" i="19"/>
  <c r="U38" i="19"/>
  <c r="T38" i="19"/>
  <c r="S38" i="19"/>
  <c r="R38" i="19"/>
  <c r="Q38" i="19"/>
  <c r="P38" i="19"/>
  <c r="O38" i="19"/>
  <c r="M38" i="19"/>
  <c r="L38" i="19"/>
  <c r="K38" i="19"/>
  <c r="AN37" i="19"/>
  <c r="AM37" i="19"/>
  <c r="AL37" i="19"/>
  <c r="AK37" i="19"/>
  <c r="AJ37" i="19"/>
  <c r="AI37" i="19"/>
  <c r="AH37" i="19"/>
  <c r="AG37" i="19"/>
  <c r="AF37" i="19"/>
  <c r="AE37" i="19"/>
  <c r="AD37" i="19"/>
  <c r="AC37" i="19"/>
  <c r="AB37" i="19"/>
  <c r="AA37" i="19"/>
  <c r="Z37" i="19"/>
  <c r="Y37" i="19"/>
  <c r="X37" i="19"/>
  <c r="W37" i="19"/>
  <c r="V37" i="19"/>
  <c r="U37" i="19"/>
  <c r="T37" i="19"/>
  <c r="S37" i="19"/>
  <c r="R37" i="19"/>
  <c r="Q37" i="19"/>
  <c r="P37" i="19"/>
  <c r="O37" i="19"/>
  <c r="M37" i="19"/>
  <c r="L37" i="19"/>
  <c r="K37" i="19"/>
  <c r="AN36" i="19"/>
  <c r="AM36" i="19"/>
  <c r="AL36" i="19"/>
  <c r="AK36" i="19"/>
  <c r="AJ36" i="19"/>
  <c r="AI36" i="19"/>
  <c r="AH36" i="19"/>
  <c r="AG36" i="19"/>
  <c r="AF36" i="19"/>
  <c r="AE36" i="19"/>
  <c r="AD36" i="19"/>
  <c r="AC36" i="19"/>
  <c r="AB36" i="19"/>
  <c r="AA36" i="19"/>
  <c r="Z36" i="19"/>
  <c r="Y36" i="19"/>
  <c r="X36" i="19"/>
  <c r="W36" i="19"/>
  <c r="V36" i="19"/>
  <c r="U36" i="19"/>
  <c r="T36" i="19"/>
  <c r="S36" i="19"/>
  <c r="R36" i="19"/>
  <c r="Q36" i="19"/>
  <c r="P36" i="19"/>
  <c r="O36" i="19"/>
  <c r="M36" i="19"/>
  <c r="L36" i="19"/>
  <c r="K36" i="19"/>
  <c r="AN35" i="19"/>
  <c r="AM35" i="19"/>
  <c r="AL35" i="19"/>
  <c r="AK35" i="19"/>
  <c r="AJ35" i="19"/>
  <c r="AI35" i="19"/>
  <c r="AH35" i="19"/>
  <c r="AG35" i="19"/>
  <c r="AF35" i="19"/>
  <c r="AE35" i="19"/>
  <c r="AD35" i="19"/>
  <c r="AC35" i="19"/>
  <c r="AB35" i="19"/>
  <c r="AA35" i="19"/>
  <c r="Z35" i="19"/>
  <c r="Y35" i="19"/>
  <c r="X35" i="19"/>
  <c r="W35" i="19"/>
  <c r="V35" i="19"/>
  <c r="U35" i="19"/>
  <c r="T35" i="19"/>
  <c r="S35" i="19"/>
  <c r="R35" i="19"/>
  <c r="Q35" i="19"/>
  <c r="P35" i="19"/>
  <c r="O35" i="19"/>
  <c r="M35" i="19"/>
  <c r="L35" i="19"/>
  <c r="K35" i="19"/>
  <c r="AN34" i="19"/>
  <c r="AM34" i="19"/>
  <c r="AL34" i="19"/>
  <c r="AK34" i="19"/>
  <c r="AJ34" i="19"/>
  <c r="AI34" i="19"/>
  <c r="AH34" i="19"/>
  <c r="AG34" i="19"/>
  <c r="AF34" i="19"/>
  <c r="AE34" i="19"/>
  <c r="AD34" i="19"/>
  <c r="AC34" i="19"/>
  <c r="AB34" i="19"/>
  <c r="AA34" i="19"/>
  <c r="Z34" i="19"/>
  <c r="Y34" i="19"/>
  <c r="X34" i="19"/>
  <c r="W34" i="19"/>
  <c r="V34" i="19"/>
  <c r="U34" i="19"/>
  <c r="T34" i="19"/>
  <c r="S34" i="19"/>
  <c r="R34" i="19"/>
  <c r="Q34" i="19"/>
  <c r="P34" i="19"/>
  <c r="O34" i="19"/>
  <c r="M34" i="19"/>
  <c r="L34" i="19"/>
  <c r="K34" i="19"/>
  <c r="AN33" i="19"/>
  <c r="AM33" i="19"/>
  <c r="AL33" i="19"/>
  <c r="AK33" i="19"/>
  <c r="AH33" i="19"/>
  <c r="AG33" i="19"/>
  <c r="AF33" i="19"/>
  <c r="AE33" i="19"/>
  <c r="AB33" i="19"/>
  <c r="AA33" i="19"/>
  <c r="Z33" i="19"/>
  <c r="Y33" i="19"/>
  <c r="V33" i="19"/>
  <c r="U33" i="19"/>
  <c r="T33" i="19"/>
  <c r="S33" i="19"/>
  <c r="P33" i="19"/>
  <c r="O33" i="19"/>
  <c r="M33" i="19"/>
  <c r="AM31" i="19"/>
  <c r="AL31" i="19"/>
  <c r="AK31" i="19"/>
  <c r="AJ31" i="19"/>
  <c r="AI31" i="19"/>
  <c r="AH31" i="19"/>
  <c r="AG31" i="19"/>
  <c r="AF31" i="19"/>
  <c r="AE31" i="19"/>
  <c r="AD31" i="19"/>
  <c r="AC31" i="19"/>
  <c r="AB31" i="19"/>
  <c r="AA31" i="19"/>
  <c r="Z31" i="19"/>
  <c r="Y31" i="19"/>
  <c r="X31" i="19"/>
  <c r="W31" i="19"/>
  <c r="V31" i="19"/>
  <c r="U31" i="19"/>
  <c r="T31" i="19"/>
  <c r="S31" i="19"/>
  <c r="R31" i="19"/>
  <c r="Q31" i="19"/>
  <c r="P31" i="19"/>
  <c r="O31" i="19"/>
  <c r="M31" i="19"/>
  <c r="L31" i="19"/>
  <c r="K31" i="19"/>
  <c r="AN30" i="19"/>
  <c r="AM30" i="19"/>
  <c r="AL30" i="19"/>
  <c r="AK30" i="19"/>
  <c r="AJ30" i="19"/>
  <c r="AI30" i="19"/>
  <c r="AH30" i="19"/>
  <c r="AG30" i="19"/>
  <c r="AF30" i="19"/>
  <c r="AE30" i="19"/>
  <c r="AD30" i="19"/>
  <c r="AC30" i="19"/>
  <c r="AB30" i="19"/>
  <c r="AA30" i="19"/>
  <c r="Z30" i="19"/>
  <c r="Y30" i="19"/>
  <c r="X30" i="19"/>
  <c r="W30" i="19"/>
  <c r="V30" i="19"/>
  <c r="U30" i="19"/>
  <c r="T30" i="19"/>
  <c r="S30" i="19"/>
  <c r="R30" i="19"/>
  <c r="Q30" i="19"/>
  <c r="P30" i="19"/>
  <c r="O30" i="19"/>
  <c r="M30" i="19"/>
  <c r="L30" i="19"/>
  <c r="K30" i="19"/>
  <c r="AN29" i="19"/>
  <c r="AM29" i="19"/>
  <c r="AL29" i="19"/>
  <c r="AK29" i="19"/>
  <c r="AJ29" i="19"/>
  <c r="AI29" i="19"/>
  <c r="AH29" i="19"/>
  <c r="AG29" i="19"/>
  <c r="AF29" i="19"/>
  <c r="AE29" i="19"/>
  <c r="AD29" i="19"/>
  <c r="AC29" i="19"/>
  <c r="AB29" i="19"/>
  <c r="AA29" i="19"/>
  <c r="Z29" i="19"/>
  <c r="Y29" i="19"/>
  <c r="X29" i="19"/>
  <c r="W29" i="19"/>
  <c r="V29" i="19"/>
  <c r="U29" i="19"/>
  <c r="T29" i="19"/>
  <c r="S29" i="19"/>
  <c r="R29" i="19"/>
  <c r="Q29" i="19"/>
  <c r="P29" i="19"/>
  <c r="O29" i="19"/>
  <c r="M29" i="19"/>
  <c r="L29" i="19"/>
  <c r="K29" i="19"/>
  <c r="AN28" i="19"/>
  <c r="AM28" i="19"/>
  <c r="AL28" i="19"/>
  <c r="AK28" i="19"/>
  <c r="AJ28" i="19"/>
  <c r="AI28" i="19"/>
  <c r="AH28" i="19"/>
  <c r="AG28" i="19"/>
  <c r="AF28" i="19"/>
  <c r="AE28" i="19"/>
  <c r="AD28" i="19"/>
  <c r="AC28" i="19"/>
  <c r="AB28" i="19"/>
  <c r="AA28" i="19"/>
  <c r="Z28" i="19"/>
  <c r="Y28" i="19"/>
  <c r="X28" i="19"/>
  <c r="W28" i="19"/>
  <c r="V28" i="19"/>
  <c r="U28" i="19"/>
  <c r="T28" i="19"/>
  <c r="S28" i="19"/>
  <c r="R28" i="19"/>
  <c r="Q28" i="19"/>
  <c r="P28" i="19"/>
  <c r="O28" i="19"/>
  <c r="M28" i="19"/>
  <c r="L28" i="19"/>
  <c r="K28" i="19"/>
  <c r="AN27" i="19"/>
  <c r="AM27" i="19"/>
  <c r="AL27" i="19"/>
  <c r="AK27" i="19"/>
  <c r="AJ27" i="19"/>
  <c r="AI27" i="19"/>
  <c r="AH27" i="19"/>
  <c r="AG27" i="19"/>
  <c r="AF27" i="19"/>
  <c r="AE27" i="19"/>
  <c r="AD27" i="19"/>
  <c r="AC27" i="19"/>
  <c r="AB27" i="19"/>
  <c r="AA27" i="19"/>
  <c r="Z27" i="19"/>
  <c r="Y27" i="19"/>
  <c r="X27" i="19"/>
  <c r="W27" i="19"/>
  <c r="V27" i="19"/>
  <c r="U27" i="19"/>
  <c r="T27" i="19"/>
  <c r="S27" i="19"/>
  <c r="R27" i="19"/>
  <c r="Q27" i="19"/>
  <c r="P27" i="19"/>
  <c r="O27" i="19"/>
  <c r="M27" i="19"/>
  <c r="L27" i="19"/>
  <c r="K27" i="19"/>
  <c r="AN26" i="19"/>
  <c r="AM26" i="19"/>
  <c r="AL26" i="19"/>
  <c r="AK26" i="19"/>
  <c r="AJ26" i="19"/>
  <c r="AI26" i="19"/>
  <c r="AH26" i="19"/>
  <c r="AG26" i="19"/>
  <c r="AF26" i="19"/>
  <c r="AE26" i="19"/>
  <c r="AD26" i="19"/>
  <c r="AC26" i="19"/>
  <c r="AB26" i="19"/>
  <c r="AA26" i="19"/>
  <c r="Z26" i="19"/>
  <c r="Y26" i="19"/>
  <c r="X26" i="19"/>
  <c r="W26" i="19"/>
  <c r="V26" i="19"/>
  <c r="U26" i="19"/>
  <c r="T26" i="19"/>
  <c r="S26" i="19"/>
  <c r="R26" i="19"/>
  <c r="Q26" i="19"/>
  <c r="P26" i="19"/>
  <c r="O26" i="19"/>
  <c r="M26" i="19"/>
  <c r="L26" i="19"/>
  <c r="K26" i="19"/>
  <c r="AN25" i="19"/>
  <c r="AM25" i="19"/>
  <c r="AL25" i="19"/>
  <c r="AK25" i="19"/>
  <c r="AJ25" i="19"/>
  <c r="AI25" i="19"/>
  <c r="AH25" i="19"/>
  <c r="AG25" i="19"/>
  <c r="AF25" i="19"/>
  <c r="AE25" i="19"/>
  <c r="AD25" i="19"/>
  <c r="AC25" i="19"/>
  <c r="AB25" i="19"/>
  <c r="AA25" i="19"/>
  <c r="Z25" i="19"/>
  <c r="Y25" i="19"/>
  <c r="X25" i="19"/>
  <c r="W25" i="19"/>
  <c r="V25" i="19"/>
  <c r="U25" i="19"/>
  <c r="T25" i="19"/>
  <c r="S25" i="19"/>
  <c r="R25" i="19"/>
  <c r="Q25" i="19"/>
  <c r="P25" i="19"/>
  <c r="O25" i="19"/>
  <c r="M25" i="19"/>
  <c r="L25" i="19"/>
  <c r="K25" i="19"/>
  <c r="AN24" i="19"/>
  <c r="AM24" i="19"/>
  <c r="AL24" i="19"/>
  <c r="AK24" i="19"/>
  <c r="AJ24" i="19"/>
  <c r="AI24" i="19"/>
  <c r="AH24" i="19"/>
  <c r="AG24" i="19"/>
  <c r="AF24" i="19"/>
  <c r="AE24" i="19"/>
  <c r="AD24" i="19"/>
  <c r="AC24" i="19"/>
  <c r="AB24" i="19"/>
  <c r="AA24" i="19"/>
  <c r="Z24" i="19"/>
  <c r="Y24" i="19"/>
  <c r="X24" i="19"/>
  <c r="W24" i="19"/>
  <c r="V24" i="19"/>
  <c r="U24" i="19"/>
  <c r="T24" i="19"/>
  <c r="S24" i="19"/>
  <c r="R24" i="19"/>
  <c r="Q24" i="19"/>
  <c r="P24" i="19"/>
  <c r="O24" i="19"/>
  <c r="M24" i="19"/>
  <c r="L24" i="19"/>
  <c r="K24" i="19"/>
  <c r="AN23" i="19"/>
  <c r="AM23" i="19"/>
  <c r="AL23" i="19"/>
  <c r="AK23" i="19"/>
  <c r="AH23" i="19"/>
  <c r="AG23" i="19"/>
  <c r="AF23" i="19"/>
  <c r="AE23" i="19"/>
  <c r="AB23" i="19"/>
  <c r="AA23" i="19"/>
  <c r="Z23" i="19"/>
  <c r="Y23" i="19"/>
  <c r="V23" i="19"/>
  <c r="U23" i="19"/>
  <c r="T23" i="19"/>
  <c r="S23" i="19"/>
  <c r="P23" i="19"/>
  <c r="O23" i="19"/>
  <c r="M23" i="19"/>
  <c r="AN41" i="19"/>
  <c r="AN31" i="19"/>
  <c r="AN21" i="19"/>
  <c r="AM21" i="19"/>
  <c r="AL21" i="19"/>
  <c r="AK21" i="19"/>
  <c r="AJ21" i="19"/>
  <c r="AI21" i="19"/>
  <c r="AN20" i="19"/>
  <c r="AM20" i="19"/>
  <c r="AL20" i="19"/>
  <c r="AK20" i="19"/>
  <c r="AJ20" i="19"/>
  <c r="AI20" i="19"/>
  <c r="AN19" i="19"/>
  <c r="AM19" i="19"/>
  <c r="AL19" i="19"/>
  <c r="AK19" i="19"/>
  <c r="AJ19" i="19"/>
  <c r="AI19" i="19"/>
  <c r="AN18" i="19"/>
  <c r="AM18" i="19"/>
  <c r="AL18" i="19"/>
  <c r="AK18" i="19"/>
  <c r="AJ18" i="19"/>
  <c r="AI18" i="19"/>
  <c r="AN17" i="19"/>
  <c r="AM17" i="19"/>
  <c r="AL17" i="19"/>
  <c r="AK17" i="19"/>
  <c r="AJ17" i="19"/>
  <c r="AI17" i="19"/>
  <c r="AN16" i="19"/>
  <c r="AM16" i="19"/>
  <c r="AL16" i="19"/>
  <c r="AK16" i="19"/>
  <c r="AJ16" i="19"/>
  <c r="AI16" i="19"/>
  <c r="AN15" i="19"/>
  <c r="AM15" i="19"/>
  <c r="AL15" i="19"/>
  <c r="AK15" i="19"/>
  <c r="AJ15" i="19"/>
  <c r="AI15" i="19"/>
  <c r="AN14" i="19"/>
  <c r="AM14" i="19"/>
  <c r="AL14" i="19"/>
  <c r="AK14" i="19"/>
  <c r="AJ14" i="19"/>
  <c r="AI14" i="19"/>
  <c r="Q14" i="19"/>
  <c r="AN13" i="19"/>
  <c r="AM13" i="19"/>
  <c r="AL13" i="19"/>
  <c r="AK13" i="19"/>
  <c r="AC14" i="19"/>
  <c r="AD14" i="19"/>
  <c r="AE14" i="19"/>
  <c r="AF14" i="19"/>
  <c r="AH14" i="19"/>
  <c r="AG14" i="19"/>
  <c r="AH21" i="19"/>
  <c r="AF13" i="19"/>
  <c r="AE13" i="19"/>
  <c r="AG15" i="19"/>
  <c r="AG13" i="19"/>
  <c r="AH13" i="19"/>
  <c r="AG21" i="19"/>
  <c r="AF21" i="19"/>
  <c r="AE21" i="19"/>
  <c r="AD21" i="19"/>
  <c r="AC21" i="19"/>
  <c r="AH20" i="19"/>
  <c r="AG20" i="19"/>
  <c r="AF20" i="19"/>
  <c r="AE20" i="19"/>
  <c r="AD20" i="19"/>
  <c r="AC20" i="19"/>
  <c r="AH19" i="19"/>
  <c r="AG19" i="19"/>
  <c r="AF19" i="19"/>
  <c r="AE19" i="19"/>
  <c r="AD19" i="19"/>
  <c r="AC19" i="19"/>
  <c r="AH18" i="19"/>
  <c r="AG18" i="19"/>
  <c r="AF18" i="19"/>
  <c r="AE18" i="19"/>
  <c r="AD18" i="19"/>
  <c r="AC18" i="19"/>
  <c r="AH17" i="19"/>
  <c r="AG17" i="19"/>
  <c r="AF17" i="19"/>
  <c r="AE17" i="19"/>
  <c r="AD17" i="19"/>
  <c r="AC17" i="19"/>
  <c r="AH16" i="19"/>
  <c r="AG16" i="19"/>
  <c r="AF16" i="19"/>
  <c r="AE16" i="19"/>
  <c r="AD16" i="19"/>
  <c r="AC16" i="19"/>
  <c r="AH15" i="19"/>
  <c r="AF15" i="19"/>
  <c r="AE15" i="19"/>
  <c r="AD15" i="19"/>
  <c r="AC15" i="19"/>
  <c r="W21" i="19"/>
  <c r="X21" i="19"/>
  <c r="Y21" i="19"/>
  <c r="Z21" i="19"/>
  <c r="AA21" i="19"/>
  <c r="AB21" i="19"/>
  <c r="AB20" i="19"/>
  <c r="AA20" i="19"/>
  <c r="Z20" i="19"/>
  <c r="Y20" i="19"/>
  <c r="X20" i="19"/>
  <c r="W20" i="19"/>
  <c r="W19" i="19"/>
  <c r="X19" i="19"/>
  <c r="Y19" i="19"/>
  <c r="Z19" i="19"/>
  <c r="AA19" i="19"/>
  <c r="AB19" i="19"/>
  <c r="AB18" i="19"/>
  <c r="AA18" i="19"/>
  <c r="Z18" i="19"/>
  <c r="Y18" i="19"/>
  <c r="X18" i="19"/>
  <c r="W18" i="19"/>
  <c r="W17" i="19"/>
  <c r="X17" i="19"/>
  <c r="Y17" i="19"/>
  <c r="Z17" i="19"/>
  <c r="AA17" i="19"/>
  <c r="AB17" i="19"/>
  <c r="AB16" i="19"/>
  <c r="AA16" i="19"/>
  <c r="Z16" i="19"/>
  <c r="Y16" i="19"/>
  <c r="X16" i="19"/>
  <c r="W16" i="19"/>
  <c r="W15" i="19"/>
  <c r="X15" i="19"/>
  <c r="Y15" i="19"/>
  <c r="Z15" i="19"/>
  <c r="AA15" i="19"/>
  <c r="AB15" i="19"/>
  <c r="AB14" i="19"/>
  <c r="AA14" i="19"/>
  <c r="Z14" i="19"/>
  <c r="Y14" i="19"/>
  <c r="X14" i="19"/>
  <c r="W14" i="19"/>
  <c r="Y13" i="19"/>
  <c r="Z13" i="19"/>
  <c r="AA13" i="19"/>
  <c r="AB13" i="19"/>
  <c r="V21" i="19"/>
  <c r="U21" i="19"/>
  <c r="T21" i="19"/>
  <c r="S21" i="19"/>
  <c r="R21" i="19"/>
  <c r="Q21" i="19"/>
  <c r="Q20" i="19"/>
  <c r="R20" i="19"/>
  <c r="S20" i="19"/>
  <c r="T20" i="19"/>
  <c r="U20" i="19"/>
  <c r="V20" i="19"/>
  <c r="U19" i="19"/>
  <c r="V19" i="19"/>
  <c r="T19" i="19"/>
  <c r="S19" i="19"/>
  <c r="R19" i="19"/>
  <c r="Q19" i="19"/>
  <c r="Q18" i="19"/>
  <c r="R18" i="19"/>
  <c r="S18" i="19"/>
  <c r="T18" i="19"/>
  <c r="U18" i="19"/>
  <c r="V18" i="19"/>
  <c r="V17" i="19"/>
  <c r="U17" i="19"/>
  <c r="T17" i="19"/>
  <c r="S17" i="19"/>
  <c r="R17" i="19"/>
  <c r="Q17" i="19"/>
  <c r="Q16" i="19"/>
  <c r="R16" i="19"/>
  <c r="S16" i="19"/>
  <c r="T16" i="19"/>
  <c r="U16" i="19"/>
  <c r="V16" i="19"/>
  <c r="V15" i="19"/>
  <c r="U15" i="19"/>
  <c r="T15" i="19"/>
  <c r="S15" i="19"/>
  <c r="R15" i="19"/>
  <c r="Q15" i="19"/>
  <c r="V13" i="19"/>
  <c r="V14" i="19"/>
  <c r="U14" i="19"/>
  <c r="T14" i="19"/>
  <c r="S14" i="19"/>
  <c r="R14" i="19"/>
  <c r="S13" i="19"/>
  <c r="T13" i="19"/>
  <c r="U13" i="19"/>
  <c r="P21" i="19"/>
  <c r="O21" i="19"/>
  <c r="N21" i="19"/>
  <c r="M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49" i="18"/>
  <c r="N49" i="18"/>
  <c r="P49" i="18"/>
  <c r="R49" i="18"/>
  <c r="T49" i="18"/>
  <c r="V49" i="18"/>
  <c r="X49" i="18"/>
  <c r="Z49" i="18"/>
  <c r="AB49" i="18"/>
  <c r="AD49" i="18"/>
  <c r="AF49" i="18"/>
  <c r="AH49" i="18"/>
  <c r="AJ49" i="18"/>
  <c r="AL49" i="18"/>
  <c r="AN49" i="18"/>
  <c r="AN47" i="18"/>
  <c r="AH47" i="18"/>
  <c r="AB47" i="18"/>
  <c r="V47" i="18"/>
  <c r="P47" i="18"/>
  <c r="N47" i="18"/>
  <c r="N45" i="18"/>
  <c r="P45" i="18"/>
  <c r="P43" i="18"/>
  <c r="N43" i="18"/>
  <c r="L41" i="18"/>
  <c r="N41" i="18"/>
  <c r="P41" i="18"/>
  <c r="R41" i="18"/>
  <c r="T41" i="18"/>
  <c r="V41" i="18"/>
  <c r="X41" i="18"/>
  <c r="Z41" i="18"/>
  <c r="AB41" i="18"/>
  <c r="AD41" i="18"/>
  <c r="AF41" i="18"/>
  <c r="AH41" i="18"/>
  <c r="AJ41" i="18"/>
  <c r="AL41" i="18"/>
  <c r="AN41" i="18"/>
  <c r="AN39" i="18"/>
  <c r="AH39" i="18"/>
  <c r="AB39" i="18"/>
  <c r="V39" i="18"/>
  <c r="P39" i="18"/>
  <c r="N39" i="18"/>
  <c r="N37" i="18"/>
  <c r="P37" i="18"/>
  <c r="P35" i="18"/>
  <c r="N35" i="18"/>
  <c r="AN33" i="18"/>
  <c r="AL33" i="18"/>
  <c r="AJ33" i="18"/>
  <c r="AH33" i="18"/>
  <c r="AF33" i="18"/>
  <c r="AD33" i="18"/>
  <c r="AB33" i="18"/>
  <c r="Z33" i="18"/>
  <c r="X33" i="18"/>
  <c r="V33" i="18"/>
  <c r="T33" i="18"/>
  <c r="R33" i="18"/>
  <c r="P33" i="18"/>
  <c r="N33" i="18"/>
  <c r="L33" i="18"/>
  <c r="N31" i="18"/>
  <c r="P31" i="18"/>
  <c r="V31" i="18"/>
  <c r="AB31" i="18"/>
  <c r="AH31" i="18"/>
  <c r="AN31" i="18"/>
  <c r="P29" i="18"/>
  <c r="N29" i="18"/>
  <c r="P27" i="18"/>
  <c r="N27" i="18"/>
  <c r="AN25" i="18"/>
  <c r="AL25" i="18"/>
  <c r="AJ25" i="18"/>
  <c r="AN23" i="18"/>
  <c r="AH25" i="18"/>
  <c r="AF25" i="18"/>
  <c r="AD25" i="18"/>
  <c r="AH23" i="18"/>
  <c r="AB25" i="18"/>
  <c r="X25" i="18"/>
  <c r="Z25" i="18"/>
  <c r="AB23" i="18"/>
  <c r="V25" i="18"/>
  <c r="T25" i="18"/>
  <c r="R25" i="18"/>
  <c r="V23" i="18"/>
  <c r="P25" i="18"/>
  <c r="N25" i="18"/>
  <c r="L25" i="18"/>
  <c r="P23" i="18"/>
  <c r="N23" i="18"/>
  <c r="P21" i="18"/>
  <c r="N21" i="18"/>
  <c r="P19" i="18"/>
  <c r="N19" i="18"/>
  <c r="AN17" i="18"/>
  <c r="AL17" i="18"/>
  <c r="AJ17" i="18"/>
  <c r="AN15" i="18"/>
  <c r="AH17" i="18"/>
  <c r="AF17" i="18"/>
  <c r="AD17" i="18"/>
  <c r="AH15" i="18"/>
  <c r="AB17" i="18"/>
  <c r="Z17" i="18"/>
  <c r="X17" i="18"/>
  <c r="AB15" i="18"/>
  <c r="V17" i="18"/>
  <c r="V15" i="18"/>
  <c r="T17" i="18"/>
  <c r="R17" i="18"/>
  <c r="L17" i="18"/>
  <c r="P17" i="18"/>
  <c r="N17" i="18"/>
  <c r="P15" i="18"/>
  <c r="N15" i="18"/>
  <c r="P13" i="18"/>
  <c r="N13" i="18"/>
  <c r="P11" i="18"/>
  <c r="N11" i="18"/>
  <c r="AG17" i="1" l="1"/>
  <c r="AG15" i="1"/>
  <c r="AI53" i="19"/>
  <c r="AN13" i="18"/>
  <c r="AN29" i="18"/>
  <c r="AN37" i="18"/>
  <c r="AN21" i="18"/>
  <c r="AN45" i="18"/>
  <c r="AH15" i="1" l="1"/>
  <c r="AH17" i="1"/>
  <c r="AI17" i="1"/>
  <c r="F29" i="27"/>
  <c r="E29" i="27"/>
  <c r="G29" i="27" s="1"/>
  <c r="P25" i="1" l="1"/>
  <c r="F221" i="13" l="1"/>
  <c r="F211" i="13"/>
  <c r="F212" i="13"/>
  <c r="F213" i="13"/>
  <c r="F214" i="13"/>
  <c r="F215" i="13"/>
  <c r="F216" i="13"/>
  <c r="F217" i="13"/>
  <c r="F218" i="13"/>
  <c r="F219" i="13"/>
  <c r="F220" i="13"/>
  <c r="F210" i="13"/>
  <c r="B221" i="13" a="1"/>
  <c r="B221" i="13" l="1"/>
  <c r="B223" i="13" l="1"/>
  <c r="B222" i="13"/>
  <c r="H210" i="13" s="1"/>
  <c r="AD53" i="19" l="1"/>
  <c r="X23" i="19"/>
  <c r="AJ13" i="19"/>
  <c r="X13" i="19"/>
  <c r="R43" i="19"/>
  <c r="R33" i="19"/>
  <c r="R53" i="19"/>
  <c r="R23" i="19"/>
  <c r="AD13" i="19"/>
  <c r="X53" i="19"/>
  <c r="AJ43" i="19"/>
  <c r="L43" i="19"/>
  <c r="L33" i="19"/>
  <c r="L53" i="19"/>
  <c r="AJ33" i="19"/>
  <c r="AJ23" i="19"/>
  <c r="L23" i="19"/>
  <c r="X33" i="19"/>
  <c r="AD43" i="19"/>
  <c r="AD33" i="19"/>
  <c r="AJ53" i="19"/>
  <c r="AD23" i="19"/>
  <c r="X43" i="19"/>
  <c r="R13" i="19"/>
  <c r="L13" i="19"/>
  <c r="AC53" i="19"/>
  <c r="W43" i="19"/>
  <c r="W33" i="19"/>
  <c r="W23" i="19"/>
  <c r="W53" i="19"/>
  <c r="AI13" i="19"/>
  <c r="Q43" i="19"/>
  <c r="Q33" i="19"/>
  <c r="K13" i="19"/>
  <c r="Q53" i="19"/>
  <c r="Q23" i="19"/>
  <c r="AC13" i="19"/>
  <c r="AI43" i="19"/>
  <c r="K43" i="19"/>
  <c r="K33" i="19"/>
  <c r="K23" i="19"/>
  <c r="K53" i="19"/>
  <c r="AI33" i="19"/>
  <c r="AI23" i="19"/>
  <c r="AC23" i="19"/>
  <c r="W13" i="19"/>
  <c r="AC43" i="19"/>
  <c r="AC33" i="19"/>
  <c r="Q13" i="19"/>
  <c r="P52" i="19"/>
  <c r="AH42" i="19"/>
  <c r="AH32" i="19"/>
  <c r="AB12" i="19"/>
  <c r="P12" i="19"/>
  <c r="AH52" i="19"/>
  <c r="P42" i="19"/>
  <c r="P32" i="19"/>
  <c r="AH22" i="19"/>
  <c r="P22" i="19"/>
  <c r="AN12" i="19"/>
  <c r="V22" i="19"/>
  <c r="AB52" i="19"/>
  <c r="AB42" i="19"/>
  <c r="AB32" i="19"/>
  <c r="AB22" i="19"/>
  <c r="AH12" i="19"/>
  <c r="V12" i="19"/>
  <c r="AN42" i="19"/>
  <c r="AN32" i="19"/>
  <c r="AN52" i="19"/>
  <c r="V52" i="19"/>
  <c r="V42" i="19"/>
  <c r="V32" i="19"/>
  <c r="AN22" i="19"/>
  <c r="U52" i="19"/>
  <c r="U22" i="19"/>
  <c r="O12" i="19"/>
  <c r="O52" i="19"/>
  <c r="AG42" i="19"/>
  <c r="AG32" i="19"/>
  <c r="AG52" i="19"/>
  <c r="O42" i="19"/>
  <c r="O32" i="19"/>
  <c r="AG22" i="19"/>
  <c r="U12" i="19"/>
  <c r="AM12" i="19"/>
  <c r="AA22" i="19"/>
  <c r="U32" i="19"/>
  <c r="O22" i="19"/>
  <c r="AA52" i="19"/>
  <c r="AA42" i="19"/>
  <c r="AA32" i="19"/>
  <c r="AG12" i="19"/>
  <c r="U42" i="19"/>
  <c r="AM42" i="19"/>
  <c r="AM32" i="19"/>
  <c r="AA12" i="19"/>
  <c r="AM52" i="19"/>
  <c r="AM22" i="19"/>
  <c r="U17" i="1" l="1"/>
  <c r="L21" i="18"/>
  <c r="L37" i="18"/>
  <c r="R13" i="18"/>
  <c r="R37" i="18"/>
  <c r="AD29" i="18"/>
  <c r="L45" i="18"/>
  <c r="AD45" i="18"/>
  <c r="X13" i="18"/>
  <c r="AJ21" i="18"/>
  <c r="AD37" i="18"/>
  <c r="L13" i="18"/>
  <c r="X21" i="18"/>
  <c r="R21" i="18"/>
  <c r="X37" i="18"/>
  <c r="R29" i="18"/>
  <c r="X29" i="18"/>
  <c r="AJ13" i="18"/>
  <c r="AJ45" i="18"/>
  <c r="X45" i="18"/>
  <c r="R45" i="18"/>
  <c r="AJ29" i="18"/>
  <c r="AD13" i="18"/>
  <c r="L29" i="18"/>
  <c r="AJ37" i="18"/>
  <c r="AD21" i="18"/>
  <c r="Z31" i="18"/>
  <c r="AL23" i="18"/>
  <c r="Z15" i="18"/>
  <c r="Z23" i="18"/>
  <c r="AF39" i="18"/>
  <c r="Z39" i="18"/>
  <c r="AL31" i="18"/>
  <c r="T47" i="18"/>
  <c r="AF15" i="18"/>
  <c r="AL15" i="18"/>
  <c r="T39" i="18"/>
  <c r="AL47" i="18"/>
  <c r="AF23" i="18"/>
  <c r="AL39" i="18"/>
  <c r="T31" i="18"/>
  <c r="T15" i="18"/>
  <c r="AF31" i="18"/>
  <c r="AF47" i="18"/>
  <c r="T23" i="18"/>
  <c r="Z47" i="18"/>
  <c r="Z21" i="18"/>
  <c r="Z29" i="18"/>
  <c r="AL21" i="18"/>
  <c r="AF37" i="18"/>
  <c r="AL29" i="18"/>
  <c r="AF13" i="18"/>
  <c r="T21" i="18"/>
  <c r="AF29" i="18"/>
  <c r="T37" i="18"/>
  <c r="Z37" i="18"/>
  <c r="AL13" i="18"/>
  <c r="T45" i="18"/>
  <c r="T29" i="18"/>
  <c r="AF45" i="18"/>
  <c r="T13" i="18"/>
  <c r="Z45" i="18"/>
  <c r="AL37" i="18"/>
  <c r="AF21" i="18"/>
  <c r="Z13" i="18"/>
  <c r="AL45" i="18"/>
  <c r="R15" i="18"/>
  <c r="AJ23" i="18"/>
  <c r="R39" i="18"/>
  <c r="AJ39" i="18"/>
  <c r="R31" i="18"/>
  <c r="L47" i="18"/>
  <c r="X23" i="18"/>
  <c r="L39" i="18"/>
  <c r="L31" i="18"/>
  <c r="X15" i="18"/>
  <c r="X31" i="18"/>
  <c r="AD39" i="18"/>
  <c r="AJ31" i="18"/>
  <c r="R23" i="18"/>
  <c r="AJ47" i="18"/>
  <c r="AD23" i="18"/>
  <c r="X47" i="18"/>
  <c r="L23" i="18"/>
  <c r="R47" i="18"/>
  <c r="L15" i="18"/>
  <c r="AD31" i="18"/>
  <c r="AD15" i="18"/>
  <c r="AJ15" i="18"/>
  <c r="X39" i="18"/>
  <c r="AD47" i="18"/>
  <c r="AH29" i="18"/>
  <c r="V13" i="18"/>
  <c r="AB45" i="18"/>
  <c r="AH45" i="18"/>
  <c r="AB29" i="18"/>
  <c r="AB13" i="18"/>
  <c r="V29" i="18"/>
  <c r="V37" i="18"/>
  <c r="AH13" i="18"/>
  <c r="AH37" i="18"/>
  <c r="AB37" i="18"/>
  <c r="AB21" i="18"/>
  <c r="V21" i="18"/>
  <c r="V45" i="18"/>
  <c r="AH21" i="18"/>
  <c r="Z19" i="18"/>
  <c r="AL43" i="18"/>
  <c r="AF35" i="18"/>
  <c r="AF11" i="18"/>
  <c r="AN27" i="18"/>
  <c r="AN19" i="18"/>
  <c r="AB43" i="18"/>
  <c r="V27" i="18"/>
  <c r="AN43" i="18"/>
  <c r="AN35" i="18"/>
  <c r="AB19" i="18"/>
  <c r="V11" i="18"/>
  <c r="AN11" i="18"/>
  <c r="AH43" i="18"/>
  <c r="V19" i="18"/>
  <c r="AH35" i="18"/>
  <c r="AH19" i="18"/>
  <c r="AB35" i="18"/>
  <c r="V43" i="18"/>
  <c r="AB11" i="18"/>
  <c r="AH11" i="18"/>
  <c r="AH27" i="18"/>
  <c r="AB27" i="18"/>
  <c r="V35" i="18"/>
  <c r="AJ17" i="1" l="1"/>
  <c r="M52" i="19" s="1"/>
  <c r="Z43" i="18"/>
  <c r="T15" i="1"/>
  <c r="AL35" i="18"/>
  <c r="AF27" i="18"/>
  <c r="AF19" i="18"/>
  <c r="T11" i="18"/>
  <c r="Z11" i="18"/>
  <c r="Z35" i="18"/>
  <c r="T43" i="18"/>
  <c r="T35" i="18"/>
  <c r="AF43" i="18"/>
  <c r="T19" i="18"/>
  <c r="AL19" i="18"/>
  <c r="AL27" i="18"/>
  <c r="T27" i="18"/>
  <c r="Z27" i="18"/>
  <c r="AL11" i="18"/>
  <c r="AF22" i="19"/>
  <c r="AL22" i="19"/>
  <c r="AF12" i="19"/>
  <c r="Z22" i="19"/>
  <c r="N22" i="19"/>
  <c r="T52" i="19"/>
  <c r="T42" i="19"/>
  <c r="Z32" i="19"/>
  <c r="AL42" i="19"/>
  <c r="Z52" i="19"/>
  <c r="T12" i="19"/>
  <c r="T32" i="19"/>
  <c r="AF32" i="19"/>
  <c r="T22" i="19"/>
  <c r="AF52" i="19"/>
  <c r="AL12" i="19"/>
  <c r="AL32" i="19"/>
  <c r="Z12" i="19"/>
  <c r="AF42" i="19"/>
  <c r="AL52" i="19"/>
  <c r="N12" i="19"/>
  <c r="Z42" i="19"/>
  <c r="AK52" i="19" l="1"/>
  <c r="S42" i="19"/>
  <c r="M42" i="19"/>
  <c r="S32" i="19"/>
  <c r="S22" i="19"/>
  <c r="M32" i="19"/>
  <c r="AE42" i="19"/>
  <c r="AE52" i="19"/>
  <c r="AK32" i="19"/>
  <c r="AK42" i="19"/>
  <c r="M22" i="19"/>
  <c r="AE22" i="19"/>
  <c r="AK22" i="19"/>
  <c r="M12" i="19"/>
  <c r="AE32" i="19"/>
  <c r="AK12" i="19"/>
  <c r="S52" i="19"/>
  <c r="S12" i="19"/>
  <c r="AE12" i="19"/>
  <c r="AJ15" i="1"/>
  <c r="R12" i="19"/>
  <c r="X32" i="19"/>
  <c r="AD22" i="19"/>
  <c r="L22" i="19"/>
  <c r="X42" i="19"/>
  <c r="AD12" i="19"/>
  <c r="R52" i="19"/>
  <c r="AJ42" i="19"/>
  <c r="AD32" i="19"/>
  <c r="AJ32" i="19"/>
  <c r="R32" i="19"/>
  <c r="AJ52" i="19"/>
  <c r="AJ22" i="19"/>
  <c r="AJ12" i="19"/>
  <c r="R22" i="19"/>
  <c r="AD52" i="19"/>
  <c r="AD42" i="19"/>
  <c r="L42" i="19"/>
  <c r="L52" i="19"/>
  <c r="R42" i="19"/>
  <c r="L12" i="19"/>
  <c r="X22" i="19"/>
  <c r="X12" i="19"/>
  <c r="L32" i="19"/>
  <c r="X52"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tc={31DE014E-1502-4058-AF14-D12B122223C2}</author>
    <author>tc={7319F458-F751-4993-B913-0ED035E30CF3}</author>
    <author>Calidad ETITC</author>
    <author>tc={1816B48D-01BB-448B-AFCC-2FEDB756BA42}</author>
    <author>tc={8ADAA9EE-5890-4480-85AE-C33717331CF8}</author>
    <author>tc={975DE72D-945A-4BAE-A64E-E42069A0D1CB}</author>
    <author>tc={837D0758-B511-4B9B-885F-44B15625A2B0}</author>
  </authors>
  <commentList>
    <comment ref="F13" authorId="0" shapeId="0" xr:uid="{31DE014E-1502-4058-AF14-D12B122223C2}">
      <text>
        <t>[Comentario encadenado]
Tu versión de Excel te permite leer este comentario encadenado; sin embargo, las ediciones que se apliquen se quitarán si el archivo se abre en una versión más reciente de Excel. Más información: https://go.microsoft.com/fwlink/?linkid=870924
Comentario:
    Para el riesgo Fiscal, solo aplica IMPACTO ECONÓMICO</t>
      </text>
    </comment>
    <comment ref="G13" authorId="1" shapeId="0" xr:uid="{7319F458-F751-4993-B913-0ED035E30CF3}">
      <text>
        <t>[Comentario encadenado]
Tu versión de Excel te permite leer este comentario encadenado; sin embargo, las ediciones que se apliquen se quitarán si el archivo se abre en una versión más reciente de Excel. Más información: https://go.microsoft.com/fwlink/?linkid=870924
Comentario:
    Aplica para Riesgo FISCAL</t>
      </text>
    </comment>
    <comment ref="K13" authorId="2" shapeId="0" xr:uid="{00000000-0006-0000-0200-000001000000}">
      <text>
        <r>
          <rPr>
            <sz val="11"/>
            <color rgb="FF000000"/>
            <rFont val="Calibri"/>
            <family val="2"/>
          </rPr>
          <t xml:space="preserve">Inicia con el IMPACTO+ Conector (por) Causa(s) Inmediata(s)+ Conector (debido a) Causa(s) Raíz.
</t>
        </r>
        <r>
          <rPr>
            <sz val="11"/>
            <color rgb="FF000000"/>
            <rFont val="Calibri"/>
            <family val="2"/>
          </rPr>
          <t xml:space="preserve">
</t>
        </r>
        <r>
          <rPr>
            <sz val="11"/>
            <color rgb="FF000000"/>
            <rFont val="Calibri"/>
            <family val="2"/>
          </rPr>
          <t xml:space="preserve">Para el riesgo de Corrupción: se debe tener en cuenta: ACCIÓN U OMISIÓN + USO DEL PODER + DESVIACIÓN DE LA GESTIÓN DE
</t>
        </r>
        <r>
          <rPr>
            <sz val="11"/>
            <color rgb="FF000000"/>
            <rFont val="Calibri"/>
            <family val="2"/>
          </rPr>
          <t xml:space="preserve">LO PÚBLICO + EL BENEFICIO PRIVADO. Es decir tener en cuenta los anteriores criterios.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Aplica para riesgo Gestión/Fiscal/Seguridad de la Información: 
</t>
        </r>
        <r>
          <rPr>
            <sz val="11"/>
            <color rgb="FF000000"/>
            <rFont val="Calibri"/>
            <family val="2"/>
          </rPr>
          <t xml:space="preserve">
</t>
        </r>
        <r>
          <rPr>
            <sz val="11"/>
            <color rgb="FF000000"/>
            <rFont val="Calibri"/>
            <family val="2"/>
          </rPr>
          <t xml:space="preserve">Inicia: IMPACTO+ Conector (por) Causa inmediata+ Conector (debido a) Causa Raíz. 
</t>
        </r>
        <r>
          <rPr>
            <sz val="11"/>
            <color rgb="FF000000"/>
            <rFont val="Calibri"/>
            <family val="2"/>
          </rPr>
          <t xml:space="preserve">
</t>
        </r>
        <r>
          <rPr>
            <sz val="11"/>
            <color rgb="FF000000"/>
            <rFont val="Calibri"/>
            <family val="2"/>
          </rPr>
          <t xml:space="preserve">Riesgos de Corrupción; </t>
        </r>
      </text>
    </comment>
    <comment ref="AU13" authorId="3" shapeId="0" xr:uid="{1816B48D-01BB-448B-AFCC-2FEDB756BA4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 Así como las desviaciones presentadas en la aplicación del control. </t>
      </text>
    </comment>
    <comment ref="AV13" authorId="4" shapeId="0" xr:uid="{8ADAA9EE-5890-4480-85AE-C33717331CF8}">
      <text>
        <t>[Comentario encadenado]
Tu versión de Excel te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 ref="AW13" authorId="5" shapeId="0" xr:uid="{975DE72D-945A-4BAE-A64E-E42069A0D1CB}">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t>
      </text>
    </comment>
    <comment ref="AX13" authorId="6" shapeId="0" xr:uid="{837D0758-B511-4B9B-885F-44B15625A2B0}">
      <text>
        <t>[Comentario encadenado]
Tu versión de Excel te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List>
</comments>
</file>

<file path=xl/sharedStrings.xml><?xml version="1.0" encoding="utf-8"?>
<sst xmlns="http://schemas.openxmlformats.org/spreadsheetml/2006/main" count="734" uniqueCount="454">
  <si>
    <r>
      <rPr>
        <b/>
        <sz val="6"/>
        <color rgb="FF000000"/>
        <rFont val="Arial"/>
        <family val="2"/>
      </rPr>
      <t xml:space="preserve">Escuela Tecnológica Instituto Técnico Central
</t>
    </r>
    <r>
      <rPr>
        <b/>
        <sz val="5"/>
        <color rgb="FF000000"/>
        <rFont val="Arial"/>
        <family val="2"/>
      </rPr>
      <t>Establecimiento Público de Educación Superior</t>
    </r>
  </si>
  <si>
    <t>MAPA Y PLAN DE TRATAMIENTO DE RIESGOS</t>
  </si>
  <si>
    <t>CÓDIGO: GSI- CA-FO-09</t>
  </si>
  <si>
    <t>VERSIÓN: 9</t>
  </si>
  <si>
    <t>VIGENCIA: 2026-04-28</t>
  </si>
  <si>
    <t>PÁGINA:     1 de 1</t>
  </si>
  <si>
    <t xml:space="preserve">PREGUNTAR  RIESGOS DE CORRUPCIÓN </t>
  </si>
  <si>
    <t>CRITERIOS PARA CALIFICAR EL IMPACTO EN RIESGOS DE CORRUPCIÓN</t>
  </si>
  <si>
    <t>CÓDIGO:GSI- CA-FO-09</t>
  </si>
  <si>
    <t>REGRESAR</t>
  </si>
  <si>
    <t>ITEM</t>
  </si>
  <si>
    <t>Criterios para calificar el impacto en riesgos de corrupción</t>
  </si>
  <si>
    <t>MARACAR CON X</t>
  </si>
  <si>
    <t>Pregunta: ¿Si el riesgo de corrupción se materializa podría: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</si>
  <si>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</si>
  <si>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</si>
  <si>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</si>
  <si>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</si>
  <si>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</si>
  <si>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</si>
  <si>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¿Afectar el cumplimiento de misión del sector al que pertenece la entidad?</t>
  </si>
  <si>
    <t>¿Generar perdida de confianza de la entidad , afectando su reputación?</t>
  </si>
  <si>
    <t>¿Generar perdida de recursos económicos?</t>
  </si>
  <si>
    <t>¿Afectar la generación de los productos o la prestación de los servicios?</t>
  </si>
  <si>
    <t>¿Dar lugar al detrimento de la calidad de vida de la comunidad por la perdida del bien, servicio o recursos públicos?</t>
  </si>
  <si>
    <t>¿Generar pérdida de información de la entidad?</t>
  </si>
  <si>
    <t>¿Generar intervención de los órganos de control, de la Fiscalia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</si>
  <si>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</si>
  <si>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</si>
  <si>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</si>
  <si>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</si>
  <si>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</si>
  <si>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</si>
  <si>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</si>
  <si>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</si>
  <si>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</si>
  <si>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Para la calificación del impacto de los riesgos clasificados con tipología de corrupción, se deberá responder las siguientes preguntas, con el fin de determinar el nivel de impacto del riesgo en caso de llegarse a materializar. 
Una vez responda las diecinueve (19) preguntas para cada uno de los riesgos de corrupción, automáticamente la presente hoja se establecerá el nivel de impacto del riesgo que se encuentra valorando, segun los rangos descritos a continuación:</t>
  </si>
  <si>
    <t xml:space="preserve">
Escuela Tecnológica Instituto Técnico Central
Establecimiento Público de Educación Superior</t>
  </si>
  <si>
    <t>MAPA DE RIESGOS</t>
  </si>
  <si>
    <t>VERSIÓN:  9</t>
  </si>
  <si>
    <t>PÁGINA:    1 de 1</t>
  </si>
  <si>
    <t>Proceso:</t>
  </si>
  <si>
    <t>Objetivo:</t>
  </si>
  <si>
    <t>Alcance:</t>
  </si>
  <si>
    <t>PRIMERA LÍNEA DE DEFENSA (Líder del Proceso)</t>
  </si>
  <si>
    <t xml:space="preserve">
PRIMERA LÍNEA DE DEFENSA
MONITOREO  
</t>
  </si>
  <si>
    <t xml:space="preserve">SEGUNDA LÍNEA DE DEFENSA  (Oficina asesora de Planeación) 
</t>
  </si>
  <si>
    <t>TERCERA LÍNEA DE DEFENSA (Control Interno)</t>
  </si>
  <si>
    <t>Identificación del riesgo</t>
  </si>
  <si>
    <t>Análisis del riesgo inherente</t>
  </si>
  <si>
    <t>Evaluación del riesgo - Valoración de los controles</t>
  </si>
  <si>
    <t>Documentación</t>
  </si>
  <si>
    <t>Evaluación del riesgo - Nivel del riesgo residual</t>
  </si>
  <si>
    <t>Plan de Tratamiento</t>
  </si>
  <si>
    <t xml:space="preserve">Referencia </t>
  </si>
  <si>
    <t>Tipo de Riesgo  (Clasificación)</t>
  </si>
  <si>
    <t>Impacto</t>
  </si>
  <si>
    <t>Efecto Dañoso (Riesgo Fiscal)</t>
  </si>
  <si>
    <t>Factor</t>
  </si>
  <si>
    <t xml:space="preserve">Causa Inmediata
</t>
  </si>
  <si>
    <t>Causa Raíz-Amenazas</t>
  </si>
  <si>
    <t xml:space="preserve">Descripción del Riesgo
</t>
  </si>
  <si>
    <t>Clasificación del Riesgo</t>
  </si>
  <si>
    <t xml:space="preserve">Seguridad de la Información </t>
  </si>
  <si>
    <t>Frecuencia con la cual se realiza la actividad</t>
  </si>
  <si>
    <t>Probabilidad Inherente</t>
  </si>
  <si>
    <t>%</t>
  </si>
  <si>
    <t>Criterios de impacto</t>
  </si>
  <si>
    <t>Impacto 
Inherente</t>
  </si>
  <si>
    <t>Zona de Riesgo Inherente</t>
  </si>
  <si>
    <t>No. Control</t>
  </si>
  <si>
    <t>Descripción del Control
Responsable+ Frecuencia+ Propósito+ Desviación</t>
  </si>
  <si>
    <t>Soportes del Control</t>
  </si>
  <si>
    <t>Afectación</t>
  </si>
  <si>
    <t>Atributos</t>
  </si>
  <si>
    <t>Probabilidad Residual</t>
  </si>
  <si>
    <t>Probabilidad Residual Final</t>
  </si>
  <si>
    <t>Impacto Residual Final</t>
  </si>
  <si>
    <t>Zona de Riesgo Final</t>
  </si>
  <si>
    <t>Tratamiento</t>
  </si>
  <si>
    <t>No. Acciones</t>
  </si>
  <si>
    <t xml:space="preserve"> Acción</t>
  </si>
  <si>
    <t>Responsable</t>
  </si>
  <si>
    <t xml:space="preserve"> Evidencia de la Acción</t>
  </si>
  <si>
    <t>Fecha Implementación</t>
  </si>
  <si>
    <t xml:space="preserve">Fecha de Reporte </t>
  </si>
  <si>
    <t>¿El riesgo se materializó?</t>
  </si>
  <si>
    <t xml:space="preserve">Evidencias de la ejecución del Control </t>
  </si>
  <si>
    <t>Evidencias de la ejecucióndel Plan de Tratamiento</t>
  </si>
  <si>
    <t xml:space="preserve">Estado del Plan de Acción </t>
  </si>
  <si>
    <t>Fecha Seguimiento</t>
  </si>
  <si>
    <t xml:space="preserve">Ubicación de las evidencias </t>
  </si>
  <si>
    <t xml:space="preserve">Seguimiento y Evaluación
</t>
  </si>
  <si>
    <t>Activo de información afectado</t>
  </si>
  <si>
    <t>Criterio afectado</t>
  </si>
  <si>
    <t>Tipo</t>
  </si>
  <si>
    <t>Implementación</t>
  </si>
  <si>
    <t>Calificación</t>
  </si>
  <si>
    <t>Frecuencia</t>
  </si>
  <si>
    <t>Evidencia</t>
  </si>
  <si>
    <t>Corrupción</t>
  </si>
  <si>
    <t>Detectivo</t>
  </si>
  <si>
    <t>Reducir (mitigar)</t>
  </si>
  <si>
    <t>NA</t>
  </si>
  <si>
    <r>
      <rPr>
        <sz val="11"/>
        <color theme="9"/>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</si>
  <si>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Iniciada</t>
  </si>
  <si>
    <t>Sin iniciar</t>
  </si>
  <si>
    <t>CLASIF. DE CONFIDENCIALIDAD</t>
  </si>
  <si>
    <t>IPB</t>
  </si>
  <si>
    <t>CLASIF. DE INTEGRIDAD</t>
  </si>
  <si>
    <t>A</t>
  </si>
  <si>
    <t>CLASIF. DE DISPONIBILIDAD</t>
  </si>
  <si>
    <t>cumplida</t>
  </si>
  <si>
    <t xml:space="preserve">Documento controlado por el Sistema de Gestión de la Calidad
Asegúrese que corresponde a la última versión consultando el micrositio de calidad de la Escuela Tecnológica Instituto Técnico Central (ETITC) </t>
  </si>
  <si>
    <t>Incumplida</t>
  </si>
  <si>
    <t>Criterios_Impacto</t>
  </si>
  <si>
    <t xml:space="preserve">     Afectación menor a 10 SMLMV .</t>
  </si>
  <si>
    <t>Leve</t>
  </si>
  <si>
    <t xml:space="preserve">     Entre 10 y 50 SMLMV </t>
  </si>
  <si>
    <t>Menor</t>
  </si>
  <si>
    <t xml:space="preserve">     Entre 50 y 100 SMLMV </t>
  </si>
  <si>
    <t>Moderado</t>
  </si>
  <si>
    <t xml:space="preserve">     Entre 100 y 500 SMLMV </t>
  </si>
  <si>
    <t>Mayor</t>
  </si>
  <si>
    <t xml:space="preserve">     Mayor a 500 SMLMV </t>
  </si>
  <si>
    <t>Catastrófico</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</si>
  <si>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</si>
  <si>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</si>
  <si>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</si>
  <si>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</si>
  <si>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</si>
  <si>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Moderado (Corrupción)</t>
  </si>
  <si>
    <t>Mayor (Corrupción)</t>
  </si>
  <si>
    <t>Catastrófico (Corrupción)</t>
  </si>
  <si>
    <t>14.	Tipología de riesgos que enmarcan la política de administración del riesgo</t>
  </si>
  <si>
    <t>6.4.	 Identificación de áreas de factores de riesgo</t>
  </si>
  <si>
    <t>Efecto Dañoso (fiscal)</t>
  </si>
  <si>
    <t>FACTOR</t>
  </si>
  <si>
    <t xml:space="preserve">Clasificacion del riesgo </t>
  </si>
  <si>
    <t xml:space="preserve">Riesgo Materializado </t>
  </si>
  <si>
    <t>Activo de información</t>
  </si>
  <si>
    <t>Criterio</t>
  </si>
  <si>
    <t>Plan de accion (solo para la opción reducir)</t>
  </si>
  <si>
    <t>Gestión</t>
  </si>
  <si>
    <t>•	Procesos</t>
  </si>
  <si>
    <t>Económico</t>
  </si>
  <si>
    <t>Recursos Públicos</t>
  </si>
  <si>
    <t>Evento externo</t>
  </si>
  <si>
    <t>Daños Activos Fisicos</t>
  </si>
  <si>
    <t>Información</t>
  </si>
  <si>
    <t>Confidencialidad</t>
  </si>
  <si>
    <t>Preventivo</t>
  </si>
  <si>
    <t>Automático</t>
  </si>
  <si>
    <t>Documentado</t>
  </si>
  <si>
    <t>Continua</t>
  </si>
  <si>
    <t>Registro Sustancial</t>
  </si>
  <si>
    <t>Aceptar</t>
  </si>
  <si>
    <t>Finalizado</t>
  </si>
  <si>
    <t>•	Talento humano</t>
  </si>
  <si>
    <t>Reputacional</t>
  </si>
  <si>
    <t>Bienes Públicos</t>
  </si>
  <si>
    <t>Financiero</t>
  </si>
  <si>
    <t>Ejecucion y Administracion de procesos</t>
  </si>
  <si>
    <t xml:space="preserve">Software </t>
  </si>
  <si>
    <t>Disponibilidad</t>
  </si>
  <si>
    <t>Manual</t>
  </si>
  <si>
    <t>Sin Documentar</t>
  </si>
  <si>
    <t>Aleatoria</t>
  </si>
  <si>
    <t>Registro Material</t>
  </si>
  <si>
    <t>Evitar</t>
  </si>
  <si>
    <t>En curso</t>
  </si>
  <si>
    <t>Fiscal</t>
  </si>
  <si>
    <t>•	Tecnología</t>
  </si>
  <si>
    <t>Económico y Reputacional</t>
  </si>
  <si>
    <t>Intereses Patrimoniales de Naturaleza Pública</t>
  </si>
  <si>
    <t>Infraestructura</t>
  </si>
  <si>
    <t>Fallas Tecnologicas</t>
  </si>
  <si>
    <t>Hardware</t>
  </si>
  <si>
    <t>Integridad</t>
  </si>
  <si>
    <t>Correctivo</t>
  </si>
  <si>
    <t>Sin registro</t>
  </si>
  <si>
    <t>Reducir</t>
  </si>
  <si>
    <t>•	Infraestructura</t>
  </si>
  <si>
    <t>Procesos</t>
  </si>
  <si>
    <t>Fraude Externo</t>
  </si>
  <si>
    <t>Servicios</t>
  </si>
  <si>
    <t>NO APLICA</t>
  </si>
  <si>
    <t>•	Evento externo</t>
  </si>
  <si>
    <t>Talento humano</t>
  </si>
  <si>
    <t>Fraude Interno</t>
  </si>
  <si>
    <t>Intangibles</t>
  </si>
  <si>
    <t>Reducir (compartir)</t>
  </si>
  <si>
    <t>Tecnología</t>
  </si>
  <si>
    <t>Relaciones Laborales</t>
  </si>
  <si>
    <t>Componentes
de red</t>
  </si>
  <si>
    <t>Usuarios, productos y practicas , organizacionales</t>
  </si>
  <si>
    <t>Personas</t>
  </si>
  <si>
    <t>Instalaciones</t>
  </si>
  <si>
    <t>Redaccion del Riesgo General</t>
  </si>
  <si>
    <t xml:space="preserve">Redaccion del Riesgo  fiscal </t>
  </si>
  <si>
    <t>CONTEXTO - DOFA</t>
  </si>
  <si>
    <t>DEBILIDADES</t>
  </si>
  <si>
    <t>ESTADO</t>
  </si>
  <si>
    <t>D1. Falta de disponibilidad de recurso humano contratado, con cobertura en las diferentes sedes, Seccionales, Extensiones, unidades Agroambientales y Oficinas de la Universidad, que garantice el apoyo continuó durante todo el período académico</t>
  </si>
  <si>
    <t>D2. Falta de conocimiento de la normatividad legal vigente, aplicable y actualizada, relacionada con aspectos e impactos ambientales asociados al desempeño ambiental institucional y de su respectivo seguimiento.</t>
  </si>
  <si>
    <t>D3. Falta de conocimiento, participación, de la totalidad de  la comunidad universitaria y otras partes interesadas del  Sistema de Gestión Ambiental, y las actividades de implementación del mismo, de la Política Ambiental y  Programas ambientales del Plan Institucional de Gestión Ambiental PIGA.</t>
  </si>
  <si>
    <t>D4. Falta de compromiso y sentido de pertenencia con los temas ambientales por parte de algunos sectores de la comunidad universitaria y otras partes interesadas, reflejado en la falta de participación  en actividades del SGA y de lineamientos ambientales.</t>
  </si>
  <si>
    <t>D5. Falta de articulación de los lineamientos del SGA con los procesos del Modelo de Operación Digital</t>
  </si>
  <si>
    <t xml:space="preserve">D6. Falta de articulación con la academia en temas ambientales, reflejado en el bajo porcentaje de cobertura del Sistema de Gestión de Ambiental respecto a los estudiantes en relación en relación al porcentaje que representan en la comunidad universitaria. </t>
  </si>
  <si>
    <t xml:space="preserve">D7. Falta de articulación de temas ambientales con el Plan de Emergencias Institucional  </t>
  </si>
  <si>
    <t xml:space="preserve">D8. Falta de recursos disponibles de forma oportuna para el desarrollo y continuidad de actividades del Sistema de Gestión Ambiental. </t>
  </si>
  <si>
    <t>D9. Falta  de recursos para desplazamientos del equipo del Sistema de Gestión Ambiental.</t>
  </si>
  <si>
    <t>D10.  Incumplimiento del código de colores de clasificación de residuos institucional por desconocimiento, falta de conciencia ambiental y compromiso de parte de algunos sectores de la comunidad universitaria y otras partes interesadas, o por no contar con la totalidad de los dispositivos de almacenamiento requeridos.</t>
  </si>
  <si>
    <t>AMENAZAS</t>
  </si>
  <si>
    <t>A1. Prácticas ambientales inadecuadas por parte de vecinos de la comunidad circundante a las instalaciones de la Universidad, que puedan afectar su desempeño ambiental.</t>
  </si>
  <si>
    <t xml:space="preserve">A2. Afectación en el desarrollo de actividades presenciales o virtuales, internas y externas del SGA, debido al riesgo de contagio por virus que puedan alcanzar el nivel de pandemia </t>
  </si>
  <si>
    <t>A3. Falta  de alcance en servicios públicos o de comunicación, y condiciones específicas  de la infraestructura  de algunas sedes.</t>
  </si>
  <si>
    <t>A4. Falta de participación  de las partes interesadas externas en las actividades del Sistema de Gestión Ambiental.</t>
  </si>
  <si>
    <t>A5. Afectación de actividades  del Sistema de Gestión ambiental internas o externas), y  de recursos, elementos o insumos del Plan Institucional de Gestión Ambiental -PIGA, por alteraciones de orden público como manifestaciones, paros,  disturbios y asonadas.</t>
  </si>
  <si>
    <t>A6. Afectación de fenómenos naturales (Cambio climático, fenómeno del niño y la niña, sismos, incendios, caída de árboles, Vendavales) y antrópicos (Orden publico y manifestaciones estudiantiles) que puedan afectar las instalaciones.</t>
  </si>
  <si>
    <t xml:space="preserve">A7. Sanciones o multas por incumplimiento legal </t>
  </si>
  <si>
    <t>A8. Rotación constante de personal en diferentes procesos</t>
  </si>
  <si>
    <t>FORTALEZAS</t>
  </si>
  <si>
    <t>F1.Compromiso de la alta  Dirección para apoyar el proceso, reflejado en liderazgo de Directores Administrativos y del Rector.​</t>
  </si>
  <si>
    <t>F2. Articulación del Sistema de Gestión Ambiental a nivel institucional en Sede, Seccionales y Extensiones.</t>
  </si>
  <si>
    <t>F3. Equipo de profesionales del  Sistema de Gestión Ambiental con competencia  y actitud propositiva en el proceso de planeación, implementación, seguimiento y preparación para los procesos de auditoría del SGA.</t>
  </si>
  <si>
    <t>F4. Disponibilidad de la documentación del Sistema de Gestión ambiental en el sitio web del Modelo de Operación digital, en el marco del PHVA: Caracterización, Política y Objetivos de Gestión Ambiental, Plan Institucional de Gestión Ambiental - PIGA y programas ambientales, Procedimientos, Formatos, Matrices y otros registros SGA.</t>
  </si>
  <si>
    <t>F5.Asignación de rubro para implementación y certificación  del Sistema de Gestión Ambiental_ISO 14001:2015 a través del Proyecto UCundinamarca en Equilibrio con la Naturaleza.</t>
  </si>
  <si>
    <t>F6.Fortalecimiento de la cultura ambiental  a nivel institucional a través del #Reto Ambientalmente en equilibrio con la naturaleza, eventos y capacitaciones ambientales.</t>
  </si>
  <si>
    <t>F7.Divulgación de la Gestión ambiental con la comunidad universitaria y otras partes interesadas a través de publicaciones y eventos en canales institucionales como la página web, la agencia de noticias, redes sociales, revistas digitales de las Seccionales, Extensiones y Periódico digital institucional.</t>
  </si>
  <si>
    <t>F8. Implementación del código de colores de clasificación de residuos con la instalación gradual de Unidades Técnicas de Almacenamiento Central -UTAC-  y Puntos ecológicos en Sede, Seccionales y Extensiones.</t>
  </si>
  <si>
    <t>F9. Implementación de estrategias de sostenibilidad en la Sede, Seccionales y Extensiones, mediante la instalación de dispositivos de ahorro de agua y de energía como paneles fotovoltaicos e iluminación LED.</t>
  </si>
  <si>
    <t>F10.Articulación con los demás componentes del Sistema Integrado de Gestión como: SG SST, SGSI, SGC y con las diferentes procesos y dependencias.</t>
  </si>
  <si>
    <t>F11. Proceso de Medición de Huella de Carbono y reporte internacional de sostenibilidad GRI en articulación con Interacción Social Universitaria y diferentes dependencias relacionadas.</t>
  </si>
  <si>
    <t>F12. Articulación del Sistema de Gestión Ambiental  como parte del proceso de formación para la vida de la comunidad universitaria, desde la dimensión naturaleza del Modelo de Educación Digital Transmoderno -MEDIT.</t>
  </si>
  <si>
    <t>F13. Participación activa de los estudiantes en la Gestión Ambiental Institucional como practicantes y pasantes al SGA</t>
  </si>
  <si>
    <t>F14 Articulación de criterios  ambientales en los procesos  de compras institucionales.</t>
  </si>
  <si>
    <t>F15. Disponibilidad de canales institucionales para la comunicación de solicitudes, felicitaciones</t>
  </si>
  <si>
    <t>OPORTUNIDADES</t>
  </si>
  <si>
    <t xml:space="preserve">O1. Fortalecer la articulación  del  Sistema de Gestión ambiental, con las partes interesadas Internas y  Externas de forma translocal a través de la cultura ambiental.     </t>
  </si>
  <si>
    <t>O2. Ampliar la  cobertura  del proceso de cultura ambiental de la comunidad universitaria con base en la Política de Gestión Ambiental, y los programas del Plan Institucional de Gestión Ambiental -PIGA.</t>
  </si>
  <si>
    <t>O3. Ampliar la cobertura de contenedores para disposición de residuos sólidos y  Unidades Técnicas de Almacenamiento Central UTAC en Sedes, Seccionales y Extensiones</t>
  </si>
  <si>
    <t>O4.Pomover alianzas para el desarrollo de espacios verdes en las Sedes, Seccionales y Extensiones, mediante la  implementación de actividades del Programa de Uso Eficiente de Servicios Ecosistemicos -PUESE- generando un ambiente sano para la comunidad.</t>
  </si>
  <si>
    <t>O5. Fortalecer el acompañamiento y asesoría en las unidades regionales, en condiciones de Pandemia, con actividades virtuales y presenciales según las necesidades de la Sede, Seccional o Extensión.</t>
  </si>
  <si>
    <t>O6.Articulación en de Proyectos Ambientales Universitarios -PRAU- con partes interesadas internas y externas.</t>
  </si>
  <si>
    <t xml:space="preserve">O7. Ampliación de actividades de  medición  de impacto y desempeño institucional con proyección translocal.  </t>
  </si>
  <si>
    <t xml:space="preserve">O8. Instaurar lineamiento de austeridad del gasto con el proceso de Bienes y Servicios articulados con el  Sistema de Gestión Ambiental con el fin de  minimizar el consumo de  materiales a nivel institucional </t>
  </si>
  <si>
    <t xml:space="preserve">O9. Generar espacios virtuales o presenciales para  el fortalecimiento de la cultura ambiental de la comunidad educativa, a través de cursos, diplomados,  programas de voluntariado ( ambiental)  y proyectos que generen impacto ambiental positivo  mediante alianzas estratégicas. </t>
  </si>
  <si>
    <r>
      <rPr>
        <b/>
        <sz val="6"/>
        <color theme="1"/>
        <rFont val="Arial"/>
        <family val="2"/>
      </rPr>
      <t>Escuela Tecnológica Instituto Técnico Central</t>
    </r>
    <r>
      <rPr>
        <b/>
        <sz val="5"/>
        <color theme="1"/>
        <rFont val="Arial"/>
        <family val="2"/>
      </rPr>
      <t xml:space="preserve">
Establecimiento Público de Educación Superior</t>
    </r>
  </si>
  <si>
    <t>CÓDIGO: GDC-FO-09</t>
  </si>
  <si>
    <t>VIGENCIA: 2024-08-22</t>
  </si>
  <si>
    <t>Matriz de Calor Inherente</t>
  </si>
  <si>
    <t>Probabilidad</t>
  </si>
  <si>
    <t>Muy Alta
100%</t>
  </si>
  <si>
    <t>Extremo</t>
  </si>
  <si>
    <t>Alta
80%</t>
  </si>
  <si>
    <t>Alto</t>
  </si>
  <si>
    <t>Media
60%</t>
  </si>
  <si>
    <t>Baja
40%</t>
  </si>
  <si>
    <t>Bajo</t>
  </si>
  <si>
    <t>Muy Baja
20%</t>
  </si>
  <si>
    <t>Leve
20%</t>
  </si>
  <si>
    <t>Menor
40%</t>
  </si>
  <si>
    <t>Moderado
60%</t>
  </si>
  <si>
    <t>Mayor
80%</t>
  </si>
  <si>
    <t>Catastrófico
100%</t>
  </si>
  <si>
    <t>(Y('Mapa final'!$L$22="Muy Alta",'Mapa final'!$P$22="Leve"),CONCATENAR("R",'Mapa final'!$A$22),"")</t>
  </si>
  <si>
    <t xml:space="preserve"> Matriz de Calor Residual</t>
  </si>
  <si>
    <t>Escuela Tecnológica Instituto Técnico Central
Establecimiento Público de Educación Superior</t>
  </si>
  <si>
    <t>FECHA</t>
  </si>
  <si>
    <t>DESCRIPCIÓN DE LA ACTUALIZACIÓN</t>
  </si>
  <si>
    <t>RESPONSABLE</t>
  </si>
  <si>
    <t>CARGO</t>
  </si>
  <si>
    <t xml:space="preserve">Se actualiza en la versión 9 del formato, se eliminan los riesgos No 5 y 6 Para incluirlos como riesgo No 1 en los mapas de comunicaciones y Internacionalización </t>
  </si>
  <si>
    <t xml:space="preserve"> Hno. Ariosto Ardila Silva</t>
  </si>
  <si>
    <t xml:space="preserve">Rector </t>
  </si>
  <si>
    <r>
      <rPr>
        <b/>
        <sz val="11"/>
        <color theme="1"/>
        <rFont val="Arial"/>
        <family val="2"/>
      </rPr>
      <t>C</t>
    </r>
    <r>
      <rPr>
        <sz val="11"/>
        <color theme="1"/>
        <rFont val="Arial"/>
        <family val="2"/>
      </rPr>
      <t xml:space="preserve">ontexto:
Se elininaron las debilidades D3 Y D8:
Se incluyeron las debilidades D10, D11.
se eliminaron las fortalezas: F2,F11,F12,F13Y la F9 paso a fortaleza.
Riesgos: Se elimino el R1(Posibilidad de afectación económica y reputacional por recibir o solicitar cualquier dádiva o beneficio a nombre propio o de terceros al formular proyectos direccionados que no respondan a ninguna necesidad.) por racionalización de riesgos de integro al riesgo No2.
R2:Se cambiaron los controles del riesgos No2, se ajusto redacción en el control no1 y se implemento el control No2.
R4:Se ajusto redacción del riesgo y el control </t>
    </r>
  </si>
  <si>
    <t>Matriz Mapa de Riesgos</t>
  </si>
  <si>
    <t>X</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</si>
  <si>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V6</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</si>
  <si>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</si>
  <si>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</si>
  <si>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2,3 y 5 Mapa Final de Gestión, Corrupción y Seguridad de la Información: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</si>
  <si>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</si>
  <si>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</si>
  <si>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</si>
  <si>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</si>
  <si>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</si>
  <si>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</si>
  <si>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</si>
  <si>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</si>
  <si>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</si>
  <si>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</si>
  <si>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</si>
  <si>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</si>
  <si>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</si>
  <si>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</si>
  <si>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</si>
  <si>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</si>
  <si>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</si>
  <si>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</si>
  <si>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</si>
  <si>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</si>
  <si>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</si>
  <si>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</si>
  <si>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</si>
  <si>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</si>
  <si>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</si>
  <si>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</si>
  <si>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r>
      <t xml:space="preserve">ATRIBUTOS EFICIENCIA
</t>
    </r>
    <r>
      <rPr>
        <sz val="9"/>
        <rFont val="Arial Narrow"/>
        <family val="2"/>
      </rPr>
      <t>Tipo</t>
    </r>
  </si>
  <si>
    <t>Utilice la lista de despligue que se encuentra parametrizada, le aparecerán las opciones: i)Preventivo, ii)Detectivo, iii)Correctivo.</t>
  </si>
  <si>
    <r>
      <t xml:space="preserve">ATRIBUTOS EFICIENCIA
</t>
    </r>
    <r>
      <rPr>
        <sz val="9"/>
        <rFont val="Arial Narrow"/>
        <family val="2"/>
      </rPr>
      <t>Implementación</t>
    </r>
  </si>
  <si>
    <t>Utilice la lista de despligue que se encuentra parametrizada, le aparecerán las opciones: i)Automático, ii)Manual.</t>
  </si>
  <si>
    <r>
      <t xml:space="preserve">ATRIBUTOS EFICIENCIA
</t>
    </r>
    <r>
      <rPr>
        <sz val="9"/>
        <rFont val="Arial Narrow"/>
        <family val="2"/>
      </rPr>
      <t>Calificación</t>
    </r>
  </si>
  <si>
    <t xml:space="preserve">La matriz automáticamente hará el cálculo para el control analizado (Columna T) </t>
  </si>
  <si>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</si>
  <si>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</si>
  <si>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</si>
  <si>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</si>
  <si>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</si>
  <si>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</si>
  <si>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</si>
  <si>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</si>
  <si>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</si>
  <si>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r>
      <t xml:space="preserve">Plan de Acción
</t>
    </r>
    <r>
      <rPr>
        <sz val="9"/>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</si>
  <si>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</si>
  <si>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</si>
  <si>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</si>
  <si>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Hoja 6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</si>
  <si>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7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</si>
  <si>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8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</si>
  <si>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9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</si>
  <si>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10 Tabla de Valoración de Controles: </t>
    </r>
    <r>
      <rPr>
        <sz val="11"/>
        <rFont val="Arial Narrow"/>
        <family val="2"/>
      </rPr>
      <t>Tabla referente para todos los cálculos (no se diligencia)</t>
    </r>
  </si>
  <si>
    <t xml:space="preserve">Tipo </t>
  </si>
  <si>
    <t>Ambiental</t>
  </si>
  <si>
    <t>Software</t>
  </si>
  <si>
    <t>Estratégico</t>
  </si>
  <si>
    <t>Documental</t>
  </si>
  <si>
    <t>Seguridad digital</t>
  </si>
  <si>
    <t>SST</t>
  </si>
  <si>
    <t>Tecnológico</t>
  </si>
  <si>
    <t>VERSIÓN: 8</t>
  </si>
  <si>
    <t>VERSIÓN</t>
  </si>
  <si>
    <t>CAMBIOS</t>
  </si>
  <si>
    <t xml:space="preserve">Se incluye protada, control de cambios del registro, riesgos fiscales </t>
  </si>
  <si>
    <t>28/4/2026</t>
  </si>
  <si>
    <t xml:space="preserve">Se ajusta el formato en las siguientes condiciones: 
1- Se ajustan las tipologias de riesgos: Corrupción, Fiscal, Seguridad de la Información y Gestión.
2- Se incluye en los criterios de impacto de corrupción: Moderado, Mayor, Catastrófico.
3- Se ajusta las variables del diseño del control
4- Se ajustan la descripción para el monitoreo de la primera y segunda linea, así como la evaluación para la tercera linea de defensa. m
</t>
  </si>
  <si>
    <t>ELABORÓ</t>
  </si>
  <si>
    <t>REVISÓ</t>
  </si>
  <si>
    <t>APROBÓ</t>
  </si>
  <si>
    <t>ANAY PINTO</t>
  </si>
  <si>
    <t xml:space="preserve">JORGE HERRERA ORTIZ </t>
  </si>
  <si>
    <t>Profesional de Calidad</t>
  </si>
  <si>
    <t>Representante de la Dirección</t>
  </si>
  <si>
    <t>Documento controlado por el Sistema de Gestión de la Calidad</t>
  </si>
  <si>
    <t>Asegúrese que corresponde a la última versión consultando el micrositio de calidad de la Escuela Tecnológica Instituto Técnico Central (ETITC)</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</si>
  <si>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</si>
  <si>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</si>
  <si>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</si>
  <si>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</si>
  <si>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</si>
  <si>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</si>
  <si>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</si>
  <si>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</si>
  <si>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</si>
  <si>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</si>
  <si>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</si>
  <si>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</si>
  <si>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</si>
  <si>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</si>
  <si>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</si>
  <si>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</si>
  <si>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</si>
  <si>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</si>
  <si>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</si>
  <si>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</si>
  <si>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</si>
  <si>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</si>
  <si>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</si>
  <si>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</si>
  <si>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</si>
  <si>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</si>
  <si>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</si>
  <si>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la entidad con efecto publicitario sostenido a nivel de sector administrativo, nivel departamental o municipal</t>
  </si>
  <si>
    <t>Catastrófico 100%</t>
  </si>
  <si>
    <t xml:space="preserve">Mayor a 500 SMLMV </t>
  </si>
  <si>
    <t>El riesgo afecta la imagen de la entidad a nivel nacional, con efecto publicitarios sostenible a nivel país</t>
  </si>
  <si>
    <t>Afectación_Económica_o_presupuestal</t>
  </si>
  <si>
    <t>Pérdida_Reputacional</t>
  </si>
  <si>
    <t>Criterios</t>
  </si>
  <si>
    <t>Subcriterios</t>
  </si>
  <si>
    <t>Afectación Económica o presupuestal</t>
  </si>
  <si>
    <t>Afectación menor a 10 SMLMV .</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</si>
  <si>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</si>
  <si>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</si>
  <si>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</si>
  <si>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</si>
  <si>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</si>
  <si>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</si>
  <si>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</si>
  <si>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</si>
  <si>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</si>
  <si>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</si>
  <si>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</si>
  <si>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</si>
  <si>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</si>
  <si>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</si>
  <si>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</si>
  <si>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</si>
  <si>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</si>
  <si>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</si>
  <si>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</si>
  <si>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</si>
  <si>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</si>
  <si>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</si>
  <si>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</si>
  <si>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</si>
  <si>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Gestión de Internacionalización</t>
  </si>
  <si>
    <t xml:space="preserve">Construir una relación dialógica de lo que es y hace la Institución, con el mundo laboral, industrial, social y ambiental global, los desarrollos disciplinares y educativos, los avances técnicos, tecnológicos y de la ingeniería y las comunidades académicas e investigativas del orden internacional y nacional.  </t>
  </si>
  <si>
    <t xml:space="preserve">Desde la Formulación del plan de internacionalización hasta sus ejecución y seguimiento.				</t>
  </si>
  <si>
    <t>falta de asignación presupuestal y demora en trámites administrativos internos</t>
  </si>
  <si>
    <t>Baja ejecución de procesos de movilidad y convenios</t>
  </si>
  <si>
    <t>Posibilidad de afectación reputacional por a la baja ejecución de procesos de movilidad y convenios, debido a falta de asignación presupuestal y demora en trámites administrativos internos</t>
  </si>
  <si>
    <r>
      <t xml:space="preserve">El profesional responsable de la ORII realiza </t>
    </r>
    <r>
      <rPr>
        <b/>
        <sz val="10"/>
        <rFont val="Arial Narrow"/>
        <family val="2"/>
      </rPr>
      <t>seguimiento</t>
    </r>
    <r>
      <rPr>
        <sz val="10"/>
        <rFont val="Arial Narrow"/>
        <family val="2"/>
      </rPr>
      <t xml:space="preserve"> permanente a las solicitudes de movilidad y convenios desde su radicación hasta la aprobación o negación por parte de la alta gerencia, mediante la</t>
    </r>
    <r>
      <rPr>
        <b/>
        <sz val="10"/>
        <rFont val="Arial Narrow"/>
        <family val="2"/>
      </rPr>
      <t xml:space="preserve"> verificación</t>
    </r>
    <r>
      <rPr>
        <sz val="10"/>
        <rFont val="Arial Narrow"/>
        <family val="2"/>
      </rPr>
      <t xml:space="preserve"> del estado de los trámites administrativos y la </t>
    </r>
    <r>
      <rPr>
        <b/>
        <sz val="10"/>
        <rFont val="Arial Narrow"/>
        <family val="2"/>
      </rPr>
      <t>notificación</t>
    </r>
    <r>
      <rPr>
        <sz val="10"/>
        <rFont val="Arial Narrow"/>
        <family val="2"/>
      </rPr>
      <t xml:space="preserve"> oportuna al solicitante, con el fin de garantizar trazabilidad y oportunidad en el proceso.
En caso de identificar demoras, inconsistencias o falta de documentación requerida, el profesional gestiona la solicitud de ajustes o realiza seguimiento ante las dependencias correspondientes, dejando evidencia de las actuaciones realizadas.</t>
    </r>
  </si>
  <si>
    <t>1. Correos electrónicos por responsabilidad de cada dependencia  
2. Registro base de datos de movilidad y convenios
3. Correos electrónicos al solicitante</t>
  </si>
  <si>
    <t>La líder de la ORII consolida semestralmente las necesidades asociadas a procesos de movilidad, mediante la proyección y priorización de solicitudes recibidas, con el fin de gestionar oportunamente los recursos requeridos para su ejecución.
En caso de identificar insuficiencia presupuestal, se informa a la alta dirección para la evaluación de alternativas y priorización correspondiente.</t>
  </si>
  <si>
    <t>1. Informe del plan de movilidad 
2. Correos electronicos remitidos a la alta dirección en caso de desviación</t>
  </si>
  <si>
    <t>Pendiente de documentar</t>
  </si>
  <si>
    <t>Soportes de la socialización de los procedimiento GIN-PC-01 Procedimiento de movilidad y GIN-PC-02 Procedimiento trámite de covenios</t>
  </si>
  <si>
    <t>Durante la vigencia 2026</t>
  </si>
  <si>
    <t>Líder de proceso</t>
  </si>
  <si>
    <t>Socializar periódicamente con estudiantes, docentes y administrativos los tiempos y procedimientos establecidos para solicitudes de movilidad y convenios.</t>
  </si>
  <si>
    <t>Realizar mesas periódicas de articulación entre la ORII y las dependencias involucradas en los procesos de movilidad y convenios</t>
  </si>
  <si>
    <t>Convocatoria a las mesas de trabajo</t>
  </si>
  <si>
    <t xml:space="preserve">Falta de articulación entre dependencias </t>
  </si>
  <si>
    <t>Posibilidad de afectación reputacional y al cumplimiento de los objetivos de internacionalización por falta de articulación entre dependencias debido a la ausencia de lineamientos, indicadores de impacto y mecanismos de seguimiento y evaluación.</t>
  </si>
  <si>
    <t>Ausencia de lineamientos, indicadores de impacto y mecanismos de seguimiento y evaluación.</t>
  </si>
  <si>
    <t>La líder de la ORII realizará trimestralmente seguimiento al avance y cumplimiento de las actividades del proceso, a través de la revisión y análisis del reporte del Plan de Acción, con el propósito de identificar desviaciones y fortalecer la gestión del proceso.</t>
  </si>
  <si>
    <t>1. Plantallazo del Plan de acción con el reporte de resultados de las movilidades, convenios y redes.</t>
  </si>
  <si>
    <t>La líder de la ORII realizará mesas de trabajo semestrales con las dependencias, con el fin de verificar avances, identificar necesidades de articulación y establecer compromisos de mejora.
En caso de evidenciar desviaciones o incumplimientos se informará a la alta dirección.</t>
  </si>
  <si>
    <t>La ORII actualizará y socializará anualmente los lineamientos institucionales de internacionalización con las dependencias involucradas, dejando evidencia de su divulgación y aplicación. 
En caso de identificar inconsistencias o falta de aplicación de los lineamientos, se informará al solicitante para su subsanación.</t>
  </si>
  <si>
    <t>1. Citación y grabación de la mesa de trabajo
2. Citación a reunión equipo de rectoría</t>
  </si>
  <si>
    <t>1. Soportes de socialización
2. Correo electrónico en caso de incumplimiento de lineamientos</t>
  </si>
  <si>
    <t>La líder de la ORII presentará semestralmente a la alta dirección un informe consolidado sobre el avance de las actividades a cargo de internacionalización, incluyendo resultados, alertas y oportunidades de mejora identificadas.
En caso de no contar con el informe dentro del semestre, se solicitará plazo adicional a la alta dirección para su presentación.</t>
  </si>
  <si>
    <t>1. Informe semestral 
2. Correo electrónico con la solicitud de ampliación de plazo</t>
  </si>
  <si>
    <t>GSI-PC-01 PROCEDIMIENTO CREACIÓN Y CONTROL DE DOCUMENTOS</t>
  </si>
  <si>
    <t>GIN-PC-01 Procedimiento de movilidad
GIN-PC-02 Trámite de covenios</t>
  </si>
  <si>
    <t>GIN-PC-02 Trámite de covenios</t>
  </si>
  <si>
    <t xml:space="preserve">Soportes del avance de diseño del Tablero de indicadores </t>
  </si>
  <si>
    <t>Diseñar un tablero institucional de indicadores de internacionalización para realizar seguimiento periódico a los avances, resultados y nivel de articulación entre dependencias</t>
  </si>
  <si>
    <t>Seguimiento</t>
  </si>
  <si>
    <t>Avance de Ejecución de Control(es)</t>
  </si>
  <si>
    <t>Avance de Ejecución de Plan de Tratamiento</t>
  </si>
  <si>
    <r>
      <rPr>
        <b/>
        <sz val="14"/>
        <rFont val="Arial"/>
        <family val="2"/>
      </rPr>
      <t>LIDER DEL PROCESO:</t>
    </r>
    <r>
      <rPr>
        <sz val="14"/>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</si>
</sst>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6">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color rgb="FF000000"/>
      <name val="Arial"/>
      <family val="2"/>
    </font>
    <font>
      <b/>
      <sz val="12"/>
      <name val="Arial"/>
      <family val="2"/>
    </font>
    <font>
      <sz val="6"/>
      <color theme="1"/>
      <name val="Arial"/>
      <family val="2"/>
    </font>
    <font>
      <b/>
      <sz val="14"/>
      <color rgb="FF000000"/>
      <name val="Arial"/>
      <family val="2"/>
    </font>
    <font>
      <sz val="14"/>
      <color rgb="FF000000"/>
      <name val="Arial"/>
      <family val="2"/>
    </font>
    <font>
      <b/>
      <sz val="11"/>
      <color theme="0"/>
      <name val="Calibri"/>
      <family val="2"/>
      <scheme val="minor"/>
    </font>
    <font>
      <b/>
      <sz val="11"/>
      <color theme="1"/>
      <name val="Calibri"/>
      <family val="2"/>
      <scheme val="minor"/>
    </font>
    <font>
      <b/>
      <sz val="5"/>
      <color rgb="FF000000"/>
      <name val="Arial"/>
      <family val="2"/>
    </font>
    <font>
      <b/>
      <sz val="6"/>
      <color rgb="FF000000"/>
      <name val="Arial"/>
      <family val="2"/>
    </font>
    <font>
      <b/>
      <sz val="11"/>
      <color rgb="FF292929"/>
      <name val="Arial"/>
      <family val="2"/>
    </font>
    <font>
      <sz val="11"/>
      <color theme="1"/>
      <name val="Arial"/>
      <family val="2"/>
    </font>
    <font>
      <b/>
      <sz val="8"/>
      <color theme="1"/>
      <name val="Arial"/>
      <family val="2"/>
    </font>
    <font>
      <b/>
      <sz val="5"/>
      <color theme="1"/>
      <name val="Arial"/>
      <family val="2"/>
    </font>
    <font>
      <b/>
      <sz val="6"/>
      <color theme="1"/>
      <name val="Arial"/>
      <family val="2"/>
    </font>
    <font>
      <b/>
      <sz val="9"/>
      <color rgb="FF292929"/>
      <name val="Arial"/>
      <family val="2"/>
    </font>
    <font>
      <b/>
      <sz val="11"/>
      <color theme="0"/>
      <name val="Arial"/>
      <family val="2"/>
    </font>
    <font>
      <sz val="10"/>
      <color theme="1"/>
      <name val="Arial"/>
      <family val="2"/>
    </font>
    <font>
      <b/>
      <sz val="10"/>
      <color theme="0"/>
      <name val="Arial"/>
      <family val="2"/>
    </font>
    <font>
      <b/>
      <sz val="10"/>
      <color theme="1"/>
      <name val="Arial"/>
      <family val="2"/>
    </font>
    <font>
      <b/>
      <u/>
      <sz val="10"/>
      <color theme="1"/>
      <name val="Arial"/>
      <family val="2"/>
    </font>
    <font>
      <i/>
      <sz val="9"/>
      <color rgb="FF000000"/>
      <name val="Arial"/>
      <family val="2"/>
    </font>
    <font>
      <b/>
      <sz val="11"/>
      <color theme="1"/>
      <name val="Arial"/>
      <family val="2"/>
    </font>
    <font>
      <b/>
      <sz val="11"/>
      <color rgb="FF000000"/>
      <name val="Arial"/>
      <family val="2"/>
    </font>
    <font>
      <b/>
      <sz val="11"/>
      <color theme="1"/>
      <name val="Times New Roman"/>
      <family val="1"/>
    </font>
    <font>
      <b/>
      <sz val="11"/>
      <color theme="0"/>
      <name val="Times New Roman"/>
      <family val="1"/>
    </font>
    <font>
      <sz val="11"/>
      <color theme="0"/>
      <name val="Times New Roman"/>
      <family val="1"/>
    </font>
    <font>
      <sz val="11"/>
      <color rgb="FF7030A0"/>
      <name val="Calibri"/>
      <family val="2"/>
      <scheme val="minor"/>
    </font>
    <font>
      <b/>
      <sz val="16"/>
      <color rgb="FF7030A0"/>
      <name val="Times New Roman"/>
      <family val="1"/>
    </font>
    <font>
      <b/>
      <sz val="18"/>
      <color theme="0"/>
      <name val="Arial"/>
      <family val="2"/>
    </font>
    <font>
      <b/>
      <sz val="12"/>
      <color theme="0"/>
      <name val="Arial"/>
      <family val="2"/>
    </font>
    <font>
      <sz val="11"/>
      <color rgb="FF000000"/>
      <name val="Arial"/>
      <family val="2"/>
    </font>
    <font>
      <sz val="10"/>
      <color theme="0"/>
      <name val="Arial"/>
      <family val="2"/>
    </font>
    <font>
      <b/>
      <sz val="22"/>
      <color rgb="FF000000"/>
      <name val="Arial"/>
      <family val="2"/>
    </font>
    <font>
      <b/>
      <sz val="18"/>
      <name val="Arial"/>
      <family val="2"/>
    </font>
    <font>
      <sz val="11"/>
      <color theme="0"/>
      <name val="Arial"/>
      <family val="2"/>
    </font>
    <font>
      <sz val="11"/>
      <name val="Arial"/>
      <family val="2"/>
    </font>
    <font>
      <sz val="14"/>
      <name val="Arial"/>
      <family val="2"/>
    </font>
    <font>
      <b/>
      <sz val="14"/>
      <name val="Arial"/>
      <family val="2"/>
    </font>
    <font>
      <b/>
      <sz val="12"/>
      <color theme="0"/>
      <name val="Arial Black"/>
      <family val="2"/>
    </font>
    <font>
      <sz val="11"/>
      <color theme="9"/>
      <name val="Arial"/>
      <family val="2"/>
    </font>
    <font>
      <b/>
      <sz val="11"/>
      <name val="Arial"/>
      <family val="2"/>
    </font>
    <font>
      <u/>
      <sz val="11"/>
      <color theme="10"/>
      <name val="Calibri"/>
      <family val="2"/>
      <scheme val="minor"/>
    </font>
    <font>
      <sz val="11"/>
      <color rgb="FF000000"/>
      <name val="Calibri"/>
      <family val="2"/>
      <scheme val="minor"/>
    </font>
    <font>
      <b/>
      <sz val="11"/>
      <name val="Arial"/>
      <family val="2"/>
    </font>
    <font>
      <b/>
      <sz val="10"/>
      <color rgb="FF000000"/>
      <name val="Arial"/>
      <family val="2"/>
    </font>
    <font>
      <sz val="11"/>
      <color rgb="FF000000"/>
      <name val="Calibri"/>
      <family val="2"/>
    </font>
    <font>
      <sz val="10"/>
      <color theme="1"/>
      <name val="Arial Narrow"/>
      <family val="2"/>
    </font>
    <font>
      <sz val="14"/>
      <color rgb="FF000000"/>
      <name val="-webkit-standard"/>
    </font>
    <font>
      <b/>
      <sz val="36"/>
      <color rgb="FF000000"/>
      <name val="Calibri"/>
      <family val="2"/>
      <scheme val="minor"/>
    </font>
    <font>
      <sz val="36"/>
      <color rgb="FF000000"/>
      <name val="Calibri"/>
      <family val="2"/>
      <scheme val="minor"/>
    </font>
    <font>
      <sz val="12"/>
      <color theme="1"/>
      <name val="Arial"/>
      <family val="2"/>
    </font>
  </fonts>
  <fills count="30">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6783C"/>
        <bgColor indexed="64"/>
      </patternFill>
    </fill>
    <fill>
      <patternFill patternType="solid">
        <fgColor theme="0" tint="-0.14999847407452621"/>
        <bgColor indexed="64"/>
      </patternFill>
    </fill>
    <fill>
      <patternFill patternType="solid">
        <fgColor rgb="FF287840"/>
        <bgColor indexed="64"/>
      </patternFill>
    </fill>
    <fill>
      <patternFill patternType="solid">
        <fgColor theme="0" tint="-0.499984740745262"/>
        <bgColor indexed="64"/>
      </patternFill>
    </fill>
    <fill>
      <patternFill patternType="solid">
        <fgColor rgb="FFDAAA00"/>
        <bgColor indexed="64"/>
      </patternFill>
    </fill>
    <fill>
      <patternFill patternType="solid">
        <fgColor rgb="FF4E4B48"/>
        <bgColor indexed="64"/>
      </patternFill>
    </fill>
    <fill>
      <patternFill patternType="solid">
        <fgColor rgb="FFFFFFFF"/>
        <bgColor rgb="FFFFFFFF"/>
      </patternFill>
    </fill>
    <fill>
      <patternFill patternType="solid">
        <fgColor rgb="FFFFFFFF"/>
        <bgColor rgb="FF000000"/>
      </patternFill>
    </fill>
    <fill>
      <patternFill patternType="solid">
        <fgColor rgb="FFFFFFFF"/>
        <bgColor indexed="64"/>
      </patternFill>
    </fill>
    <fill>
      <patternFill patternType="solid">
        <fgColor rgb="FFB4B3B6"/>
        <bgColor indexed="64"/>
      </patternFill>
    </fill>
    <fill>
      <patternFill patternType="solid">
        <fgColor rgb="FF00CC66"/>
        <bgColor indexed="64"/>
      </patternFill>
    </fill>
    <fill>
      <patternFill patternType="solid">
        <fgColor theme="0" tint="-4.9989318521683403E-2"/>
        <bgColor indexed="64"/>
      </patternFill>
    </fill>
    <fill>
      <patternFill patternType="solid">
        <fgColor theme="6" tint="-0.499984740745262"/>
        <bgColor indexed="64"/>
      </patternFill>
    </fill>
    <fill>
      <patternFill patternType="solid">
        <fgColor theme="6" tint="0.79998168889431442"/>
        <bgColor indexed="64"/>
      </patternFill>
    </fill>
  </fills>
  <borders count="119">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auto="1"/>
      </left>
      <right/>
      <top/>
      <bottom style="thin">
        <color auto="1"/>
      </bottom>
      <diagonal/>
    </border>
    <border>
      <left/>
      <right/>
      <top/>
      <bottom style="dashed">
        <color theme="9" tint="-0.2499465926084170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thin">
        <color rgb="FF4B514E"/>
      </left>
      <right/>
      <top/>
      <bottom/>
      <diagonal/>
    </border>
    <border>
      <left/>
      <right style="thin">
        <color indexed="64"/>
      </right>
      <top/>
      <bottom/>
      <diagonal/>
    </border>
    <border>
      <left style="medium">
        <color rgb="FF000000"/>
      </left>
      <right style="thin">
        <color indexed="64"/>
      </right>
      <top/>
      <bottom style="medium">
        <color rgb="FF000000"/>
      </bottom>
      <diagonal/>
    </border>
    <border>
      <left style="thin">
        <color rgb="FF4B514E"/>
      </left>
      <right style="thin">
        <color rgb="FF4B514E"/>
      </right>
      <top style="thin">
        <color rgb="FF4B514E"/>
      </top>
      <bottom style="thin">
        <color rgb="FF4B514E"/>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right style="thin">
        <color rgb="FF4B514E"/>
      </right>
      <top/>
      <bottom/>
      <diagonal/>
    </border>
    <border>
      <left style="thin">
        <color rgb="FF4B514E"/>
      </left>
      <right/>
      <top style="medium">
        <color indexed="64"/>
      </top>
      <bottom/>
      <diagonal/>
    </border>
    <border>
      <left style="thin">
        <color rgb="FF4B514E"/>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auto="1"/>
      </left>
      <right/>
      <top style="thin">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auto="1"/>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auto="1"/>
      </top>
      <bottom style="thin">
        <color indexed="64"/>
      </bottom>
      <diagonal/>
    </border>
    <border>
      <left style="thin">
        <color indexed="64"/>
      </left>
      <right style="thin">
        <color indexed="64"/>
      </right>
      <top style="thin">
        <color rgb="FF000000"/>
      </top>
      <bottom/>
      <diagonal/>
    </border>
    <border>
      <left/>
      <right style="thin">
        <color indexed="64"/>
      </right>
      <top style="medium">
        <color rgb="FF000000"/>
      </top>
      <bottom/>
      <diagonal/>
    </border>
    <border>
      <left/>
      <right style="thin">
        <color indexed="64"/>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6">
    <xf numFmtId="0" fontId="0" fillId="0" borderId="0"/>
    <xf numFmtId="9" fontId="12" fillId="0" borderId="0" applyFont="0" applyFill="0" applyBorder="0" applyAlignment="0" applyProtection="0"/>
    <xf numFmtId="0" fontId="43" fillId="0" borderId="0"/>
    <xf numFmtId="0" fontId="44" fillId="0" borderId="0"/>
    <xf numFmtId="0" fontId="4" fillId="0" borderId="0"/>
    <xf numFmtId="0" fontId="96" fillId="0" borderId="0" applyNumberFormat="0" applyFill="0" applyBorder="0" applyAlignment="0" applyProtection="0"/>
  </cellStyleXfs>
  <cellXfs count="673">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6" borderId="0" xfId="0" applyFont="1" applyFill="1" applyAlignment="1">
      <alignment horizontal="center" vertical="center" wrapText="1" readingOrder="1"/>
    </xf>
    <xf numFmtId="0" fontId="8" fillId="5"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4" borderId="1" xfId="0" applyFont="1" applyFill="1" applyBorder="1" applyAlignment="1">
      <alignment horizontal="center" vertical="center" wrapText="1" readingOrder="1"/>
    </xf>
    <xf numFmtId="0" fontId="8" fillId="8" borderId="1" xfId="0" applyFont="1" applyFill="1" applyBorder="1" applyAlignment="1">
      <alignment horizontal="center" vertical="center" wrapText="1" readingOrder="1"/>
    </xf>
    <xf numFmtId="0" fontId="9" fillId="9" borderId="1" xfId="0" applyFont="1" applyFill="1" applyBorder="1" applyAlignment="1">
      <alignment horizontal="center" vertical="center" wrapText="1" readingOrder="1"/>
    </xf>
    <xf numFmtId="0" fontId="13" fillId="0" borderId="0" xfId="0" applyFont="1"/>
    <xf numFmtId="0" fontId="11" fillId="0" borderId="0" xfId="0" applyFont="1"/>
    <xf numFmtId="0" fontId="24" fillId="0" borderId="0" xfId="0" applyFont="1" applyAlignment="1">
      <alignment vertical="center"/>
    </xf>
    <xf numFmtId="0" fontId="25" fillId="0" borderId="0" xfId="0" applyFont="1"/>
    <xf numFmtId="0" fontId="23" fillId="0" borderId="0" xfId="0" applyFont="1"/>
    <xf numFmtId="0" fontId="0" fillId="0" borderId="0" xfId="0" pivotButton="1"/>
    <xf numFmtId="0" fontId="10" fillId="0" borderId="0" xfId="0" applyFont="1" applyAlignment="1">
      <alignment horizontal="justify" vertical="center" wrapText="1" readingOrder="1"/>
    </xf>
    <xf numFmtId="0" fontId="26" fillId="0" borderId="0" xfId="0" applyFont="1"/>
    <xf numFmtId="0" fontId="28" fillId="6" borderId="0" xfId="0" applyFont="1" applyFill="1" applyAlignment="1">
      <alignment horizontal="center" vertical="center" wrapText="1" readingOrder="1"/>
    </xf>
    <xf numFmtId="0" fontId="29" fillId="0" borderId="4" xfId="0" applyFont="1" applyBorder="1" applyAlignment="1">
      <alignment horizontal="justify" vertical="center" wrapText="1" readingOrder="1"/>
    </xf>
    <xf numFmtId="0" fontId="29" fillId="0" borderId="1" xfId="0" applyFont="1" applyBorder="1" applyAlignment="1">
      <alignment horizontal="justify" vertical="center" wrapText="1" readingOrder="1"/>
    </xf>
    <xf numFmtId="0" fontId="29" fillId="5" borderId="4"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29" fillId="4" borderId="1" xfId="0" applyFont="1" applyFill="1" applyBorder="1" applyAlignment="1">
      <alignment horizontal="center" vertical="center" wrapText="1" readingOrder="1"/>
    </xf>
    <xf numFmtId="0" fontId="29" fillId="8" borderId="1" xfId="0" applyFont="1" applyFill="1" applyBorder="1" applyAlignment="1">
      <alignment horizontal="center" vertical="center" wrapText="1" readingOrder="1"/>
    </xf>
    <xf numFmtId="0" fontId="30" fillId="9" borderId="1" xfId="0" applyFont="1" applyFill="1" applyBorder="1" applyAlignment="1">
      <alignment horizontal="center" vertical="center" wrapText="1" readingOrder="1"/>
    </xf>
    <xf numFmtId="0" fontId="29" fillId="0" borderId="4" xfId="0" applyFont="1" applyBorder="1" applyAlignment="1">
      <alignment horizontal="center" vertical="center" wrapText="1" readingOrder="1"/>
    </xf>
    <xf numFmtId="0" fontId="29" fillId="0" borderId="1" xfId="0" applyFont="1" applyBorder="1" applyAlignment="1">
      <alignment horizontal="center" vertical="center" wrapText="1" readingOrder="1"/>
    </xf>
    <xf numFmtId="0" fontId="17" fillId="11" borderId="5" xfId="0" applyFont="1" applyFill="1" applyBorder="1" applyAlignment="1" applyProtection="1">
      <alignment horizontal="center" vertical="center" wrapText="1" readingOrder="1"/>
      <protection hidden="1"/>
    </xf>
    <xf numFmtId="0" fontId="17" fillId="11" borderId="12" xfId="0" applyFont="1" applyFill="1" applyBorder="1" applyAlignment="1" applyProtection="1">
      <alignment horizontal="center" vertical="center" wrapText="1" readingOrder="1"/>
      <protection hidden="1"/>
    </xf>
    <xf numFmtId="0" fontId="17" fillId="11" borderId="6" xfId="0" applyFont="1" applyFill="1" applyBorder="1" applyAlignment="1" applyProtection="1">
      <alignment horizontal="center" vertic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1" borderId="7" xfId="0" applyFont="1" applyFill="1" applyBorder="1" applyAlignment="1" applyProtection="1">
      <alignment horizontal="center" vertical="center" wrapText="1" readingOrder="1"/>
      <protection hidden="1"/>
    </xf>
    <xf numFmtId="0" fontId="17" fillId="11" borderId="0" xfId="0" applyFont="1" applyFill="1" applyAlignment="1" applyProtection="1">
      <alignment horizontal="center" vertical="center" wrapText="1" readingOrder="1"/>
      <protection hidden="1"/>
    </xf>
    <xf numFmtId="0" fontId="17" fillId="11" borderId="8" xfId="0" applyFont="1" applyFill="1" applyBorder="1" applyAlignment="1" applyProtection="1">
      <alignment horizontal="center" vertic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1" borderId="9" xfId="0" applyFont="1" applyFill="1" applyBorder="1" applyAlignment="1" applyProtection="1">
      <alignment horizontal="center" vertical="center" wrapText="1" readingOrder="1"/>
      <protection hidden="1"/>
    </xf>
    <xf numFmtId="0" fontId="17" fillId="11" borderId="11" xfId="0" applyFont="1" applyFill="1" applyBorder="1" applyAlignment="1" applyProtection="1">
      <alignment horizontal="center" vertical="center" wrapText="1" readingOrder="1"/>
      <protection hidden="1"/>
    </xf>
    <xf numFmtId="0" fontId="17" fillId="11" borderId="10" xfId="0" applyFont="1" applyFill="1" applyBorder="1" applyAlignment="1" applyProtection="1">
      <alignment horizontal="center" vertic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13" borderId="5" xfId="0" applyFont="1" applyFill="1" applyBorder="1" applyAlignment="1" applyProtection="1">
      <alignment horizontal="center" wrapText="1" readingOrder="1"/>
      <protection hidden="1"/>
    </xf>
    <xf numFmtId="0" fontId="17" fillId="13" borderId="12" xfId="0" applyFont="1" applyFill="1" applyBorder="1" applyAlignment="1" applyProtection="1">
      <alignment horizontal="center" wrapText="1" readingOrder="1"/>
      <protection hidden="1"/>
    </xf>
    <xf numFmtId="0" fontId="17" fillId="13" borderId="6" xfId="0" applyFont="1" applyFill="1" applyBorder="1" applyAlignment="1" applyProtection="1">
      <alignment horizontal="center" wrapText="1" readingOrder="1"/>
      <protection hidden="1"/>
    </xf>
    <xf numFmtId="0" fontId="17" fillId="13" borderId="7" xfId="0" applyFont="1" applyFill="1" applyBorder="1" applyAlignment="1" applyProtection="1">
      <alignment horizontal="center" wrapText="1" readingOrder="1"/>
      <protection hidden="1"/>
    </xf>
    <xf numFmtId="0" fontId="17" fillId="13" borderId="0" xfId="0" applyFont="1" applyFill="1" applyAlignment="1" applyProtection="1">
      <alignment horizontal="center" wrapText="1" readingOrder="1"/>
      <protection hidden="1"/>
    </xf>
    <xf numFmtId="0" fontId="17" fillId="13" borderId="8" xfId="0" applyFont="1" applyFill="1" applyBorder="1" applyAlignment="1" applyProtection="1">
      <alignment horizontal="center" wrapText="1" readingOrder="1"/>
      <protection hidden="1"/>
    </xf>
    <xf numFmtId="0" fontId="17" fillId="13" borderId="9" xfId="0" applyFont="1" applyFill="1" applyBorder="1" applyAlignment="1" applyProtection="1">
      <alignment horizontal="center" wrapText="1" readingOrder="1"/>
      <protection hidden="1"/>
    </xf>
    <xf numFmtId="0" fontId="17" fillId="13" borderId="11" xfId="0" applyFont="1" applyFill="1" applyBorder="1" applyAlignment="1" applyProtection="1">
      <alignment horizontal="center" wrapText="1" readingOrder="1"/>
      <protection hidden="1"/>
    </xf>
    <xf numFmtId="0" fontId="17" fillId="13" borderId="10" xfId="0" applyFont="1" applyFill="1" applyBorder="1" applyAlignment="1" applyProtection="1">
      <alignment horizontal="center" wrapText="1" readingOrder="1"/>
      <protection hidden="1"/>
    </xf>
    <xf numFmtId="0" fontId="17" fillId="5" borderId="5" xfId="0" applyFont="1" applyFill="1" applyBorder="1" applyAlignment="1" applyProtection="1">
      <alignment horizontal="center" wrapText="1" readingOrder="1"/>
      <protection hidden="1"/>
    </xf>
    <xf numFmtId="0" fontId="17" fillId="5" borderId="12" xfId="0" applyFont="1" applyFill="1" applyBorder="1" applyAlignment="1" applyProtection="1">
      <alignment horizontal="center" wrapText="1" readingOrder="1"/>
      <protection hidden="1"/>
    </xf>
    <xf numFmtId="0" fontId="17" fillId="5" borderId="6" xfId="0" applyFont="1" applyFill="1" applyBorder="1" applyAlignment="1" applyProtection="1">
      <alignment horizontal="center" wrapText="1" readingOrder="1"/>
      <protection hidden="1"/>
    </xf>
    <xf numFmtId="0" fontId="17" fillId="5" borderId="7" xfId="0" applyFont="1" applyFill="1" applyBorder="1" applyAlignment="1" applyProtection="1">
      <alignment horizontal="center" wrapText="1" readingOrder="1"/>
      <protection hidden="1"/>
    </xf>
    <xf numFmtId="0" fontId="17" fillId="5" borderId="0" xfId="0" applyFont="1" applyFill="1" applyAlignment="1" applyProtection="1">
      <alignment horizontal="center" wrapText="1" readingOrder="1"/>
      <protection hidden="1"/>
    </xf>
    <xf numFmtId="0" fontId="17" fillId="5" borderId="8" xfId="0" applyFont="1" applyFill="1" applyBorder="1" applyAlignment="1" applyProtection="1">
      <alignment horizontal="center" wrapText="1" readingOrder="1"/>
      <protection hidden="1"/>
    </xf>
    <xf numFmtId="0" fontId="17" fillId="5" borderId="9" xfId="0" applyFont="1" applyFill="1" applyBorder="1" applyAlignment="1" applyProtection="1">
      <alignment horizontal="center" wrapText="1" readingOrder="1"/>
      <protection hidden="1"/>
    </xf>
    <xf numFmtId="0" fontId="17" fillId="5" borderId="11" xfId="0" applyFont="1" applyFill="1" applyBorder="1" applyAlignment="1" applyProtection="1">
      <alignment horizontal="center" wrapText="1" readingOrder="1"/>
      <protection hidden="1"/>
    </xf>
    <xf numFmtId="0" fontId="17" fillId="5" borderId="10" xfId="0" applyFont="1" applyFill="1" applyBorder="1" applyAlignment="1" applyProtection="1">
      <alignment horizontal="center" wrapText="1" readingOrder="1"/>
      <protection hidden="1"/>
    </xf>
    <xf numFmtId="0" fontId="0" fillId="3" borderId="0" xfId="0" applyFill="1"/>
    <xf numFmtId="0" fontId="45" fillId="3" borderId="39" xfId="2" applyFont="1" applyFill="1" applyBorder="1"/>
    <xf numFmtId="0" fontId="45" fillId="3" borderId="40" xfId="2" applyFont="1" applyFill="1" applyBorder="1"/>
    <xf numFmtId="0" fontId="45" fillId="3" borderId="41" xfId="2" applyFont="1" applyFill="1" applyBorder="1"/>
    <xf numFmtId="0" fontId="14" fillId="3" borderId="0" xfId="0" applyFont="1" applyFill="1" applyAlignment="1">
      <alignment vertical="center"/>
    </xf>
    <xf numFmtId="0" fontId="4" fillId="3" borderId="0" xfId="0" applyFont="1" applyFill="1"/>
    <xf numFmtId="0" fontId="32" fillId="3" borderId="0" xfId="0" applyFont="1" applyFill="1"/>
    <xf numFmtId="0" fontId="34" fillId="3" borderId="22" xfId="0" applyFont="1" applyFill="1" applyBorder="1" applyAlignment="1">
      <alignment horizontal="justify" vertical="center" wrapText="1" readingOrder="1"/>
    </xf>
    <xf numFmtId="9" fontId="33" fillId="3" borderId="31" xfId="0" applyNumberFormat="1" applyFont="1" applyFill="1" applyBorder="1" applyAlignment="1">
      <alignment horizontal="center" vertical="center" wrapText="1" readingOrder="1"/>
    </xf>
    <xf numFmtId="0" fontId="34" fillId="3" borderId="21" xfId="0" applyFont="1" applyFill="1" applyBorder="1" applyAlignment="1">
      <alignment horizontal="justify" vertical="center" wrapText="1" readingOrder="1"/>
    </xf>
    <xf numFmtId="9" fontId="33" fillId="3" borderId="26" xfId="0" applyNumberFormat="1" applyFont="1" applyFill="1" applyBorder="1" applyAlignment="1">
      <alignment horizontal="center" vertical="center" wrapText="1" readingOrder="1"/>
    </xf>
    <xf numFmtId="0" fontId="34" fillId="3" borderId="26" xfId="0" applyFont="1" applyFill="1" applyBorder="1" applyAlignment="1">
      <alignment horizontal="center" vertical="center" wrapText="1" readingOrder="1"/>
    </xf>
    <xf numFmtId="0" fontId="34" fillId="3" borderId="28" xfId="0" applyFont="1" applyFill="1" applyBorder="1" applyAlignment="1">
      <alignment horizontal="justify" vertical="center" wrapText="1" readingOrder="1"/>
    </xf>
    <xf numFmtId="0" fontId="34" fillId="3" borderId="29" xfId="0" applyFont="1" applyFill="1" applyBorder="1" applyAlignment="1">
      <alignment horizontal="center" vertical="center" wrapText="1" readingOrder="1"/>
    </xf>
    <xf numFmtId="0" fontId="42" fillId="3" borderId="0" xfId="0" applyFont="1" applyFill="1"/>
    <xf numFmtId="0" fontId="33" fillId="15" borderId="34" xfId="0" applyFont="1" applyFill="1" applyBorder="1" applyAlignment="1">
      <alignment horizontal="center" vertical="center" wrapText="1" readingOrder="1"/>
    </xf>
    <xf numFmtId="0" fontId="11" fillId="3" borderId="0" xfId="0" applyFont="1" applyFill="1"/>
    <xf numFmtId="0" fontId="27" fillId="3" borderId="0" xfId="0" applyFont="1" applyFill="1" applyAlignment="1">
      <alignment horizontal="center" vertical="center" wrapText="1"/>
    </xf>
    <xf numFmtId="0" fontId="10" fillId="3" borderId="0" xfId="0" applyFont="1" applyFill="1" applyAlignment="1">
      <alignment horizontal="justify" vertical="center" wrapText="1" readingOrder="1"/>
    </xf>
    <xf numFmtId="0" fontId="3" fillId="3" borderId="0" xfId="0" applyFont="1" applyFill="1" applyAlignment="1">
      <alignment vertical="center"/>
    </xf>
    <xf numFmtId="0" fontId="13" fillId="3" borderId="0" xfId="0" applyFont="1" applyFill="1"/>
    <xf numFmtId="0" fontId="3" fillId="3" borderId="0" xfId="0" applyFont="1" applyFill="1" applyAlignment="1">
      <alignment horizontal="left" vertical="center"/>
    </xf>
    <xf numFmtId="0" fontId="45" fillId="3" borderId="7" xfId="2" applyFont="1" applyFill="1" applyBorder="1"/>
    <xf numFmtId="0" fontId="50" fillId="3" borderId="0" xfId="0" applyFont="1" applyFill="1" applyAlignment="1">
      <alignment horizontal="left" vertical="center" wrapText="1"/>
    </xf>
    <xf numFmtId="0" fontId="51" fillId="3" borderId="0" xfId="0" applyFont="1" applyFill="1" applyAlignment="1">
      <alignment horizontal="left" vertical="top" wrapText="1"/>
    </xf>
    <xf numFmtId="0" fontId="45" fillId="3" borderId="0" xfId="2" applyFont="1" applyFill="1"/>
    <xf numFmtId="0" fontId="45" fillId="3" borderId="8" xfId="2" applyFont="1" applyFill="1" applyBorder="1"/>
    <xf numFmtId="0" fontId="45" fillId="3" borderId="9" xfId="2" applyFont="1" applyFill="1" applyBorder="1"/>
    <xf numFmtId="0" fontId="45" fillId="3" borderId="11" xfId="2" applyFont="1" applyFill="1" applyBorder="1"/>
    <xf numFmtId="0" fontId="45" fillId="3" borderId="10" xfId="2" applyFont="1" applyFill="1" applyBorder="1"/>
    <xf numFmtId="0" fontId="49" fillId="3" borderId="0" xfId="2" applyFont="1" applyFill="1" applyAlignment="1">
      <alignment horizontal="left" vertical="center" wrapText="1"/>
    </xf>
    <xf numFmtId="0" fontId="45" fillId="3" borderId="0" xfId="2" applyFont="1" applyFill="1" applyAlignment="1">
      <alignment horizontal="left" vertical="center" wrapText="1"/>
    </xf>
    <xf numFmtId="0" fontId="45" fillId="3" borderId="0" xfId="2" quotePrefix="1" applyFont="1" applyFill="1" applyAlignment="1">
      <alignment horizontal="left" vertical="center" wrapText="1"/>
    </xf>
    <xf numFmtId="0" fontId="47" fillId="3" borderId="7" xfId="2" quotePrefix="1" applyFont="1" applyFill="1" applyBorder="1" applyAlignment="1">
      <alignment horizontal="left" vertical="top" wrapText="1"/>
    </xf>
    <xf numFmtId="0" fontId="48" fillId="3" borderId="0" xfId="2" quotePrefix="1" applyFont="1" applyFill="1" applyAlignment="1">
      <alignment horizontal="left" vertical="top" wrapText="1"/>
    </xf>
    <xf numFmtId="0" fontId="48" fillId="3" borderId="8" xfId="2" quotePrefix="1" applyFont="1" applyFill="1" applyBorder="1" applyAlignment="1">
      <alignment horizontal="left" vertical="top" wrapText="1"/>
    </xf>
    <xf numFmtId="0" fontId="43" fillId="0" borderId="7" xfId="0" applyFont="1" applyBorder="1" applyAlignment="1">
      <alignment vertical="center" wrapText="1"/>
    </xf>
    <xf numFmtId="0" fontId="43" fillId="0" borderId="0" xfId="0" applyFont="1" applyAlignment="1">
      <alignment vertical="center" wrapText="1"/>
    </xf>
    <xf numFmtId="0" fontId="56" fillId="0" borderId="0" xfId="0" applyFont="1" applyAlignment="1">
      <alignment horizontal="center" vertical="center" wrapText="1"/>
    </xf>
    <xf numFmtId="0" fontId="43" fillId="0" borderId="0" xfId="0" applyFont="1" applyAlignment="1">
      <alignment horizontal="center" vertical="center" wrapText="1"/>
    </xf>
    <xf numFmtId="0" fontId="43" fillId="0" borderId="0" xfId="0" applyFont="1" applyAlignment="1">
      <alignment horizontal="left" vertical="center" wrapText="1"/>
    </xf>
    <xf numFmtId="0" fontId="57" fillId="0" borderId="0" xfId="0" applyFont="1" applyAlignment="1">
      <alignment horizontal="center"/>
    </xf>
    <xf numFmtId="0" fontId="59" fillId="0" borderId="0" xfId="0" applyFont="1" applyAlignment="1">
      <alignment horizontal="center" vertical="center" wrapText="1"/>
    </xf>
    <xf numFmtId="0" fontId="0" fillId="0" borderId="0" xfId="0" applyAlignment="1">
      <alignment wrapText="1"/>
    </xf>
    <xf numFmtId="0" fontId="59" fillId="0" borderId="0" xfId="0" applyFont="1" applyAlignment="1">
      <alignment vertical="center" wrapText="1"/>
    </xf>
    <xf numFmtId="0" fontId="55" fillId="0" borderId="63" xfId="0" applyFont="1" applyBorder="1" applyAlignment="1" applyProtection="1">
      <alignment horizontal="center" wrapText="1"/>
      <protection locked="0"/>
    </xf>
    <xf numFmtId="0" fontId="55" fillId="0" borderId="57" xfId="0" applyFont="1" applyBorder="1" applyAlignment="1" applyProtection="1">
      <alignment horizontal="center" wrapText="1"/>
      <protection locked="0"/>
    </xf>
    <xf numFmtId="0" fontId="54" fillId="0" borderId="57" xfId="0" applyFont="1" applyBorder="1" applyAlignment="1">
      <alignment horizontal="left" vertical="center"/>
    </xf>
    <xf numFmtId="0" fontId="0" fillId="17" borderId="0" xfId="0" applyFill="1"/>
    <xf numFmtId="0" fontId="65" fillId="17" borderId="0" xfId="0" applyFont="1" applyFill="1"/>
    <xf numFmtId="14" fontId="65" fillId="0" borderId="74" xfId="0" applyNumberFormat="1" applyFont="1" applyBorder="1" applyAlignment="1" applyProtection="1">
      <alignment horizontal="center" vertical="center"/>
      <protection locked="0"/>
    </xf>
    <xf numFmtId="0" fontId="65" fillId="0" borderId="74" xfId="0" applyFont="1" applyBorder="1" applyAlignment="1" applyProtection="1">
      <alignment horizontal="center" vertical="center"/>
      <protection locked="0"/>
    </xf>
    <xf numFmtId="0" fontId="65" fillId="0" borderId="74" xfId="0" applyFont="1" applyBorder="1" applyAlignment="1" applyProtection="1">
      <alignment horizontal="center" vertical="center" wrapText="1"/>
      <protection locked="0"/>
    </xf>
    <xf numFmtId="0" fontId="65" fillId="0" borderId="74" xfId="0" applyFont="1" applyBorder="1" applyAlignment="1" applyProtection="1">
      <alignment horizontal="justify" wrapText="1"/>
      <protection locked="0"/>
    </xf>
    <xf numFmtId="0" fontId="11" fillId="17" borderId="0" xfId="0" applyFont="1" applyFill="1"/>
    <xf numFmtId="0" fontId="66" fillId="0" borderId="24" xfId="0" applyFont="1" applyBorder="1" applyAlignment="1">
      <alignment horizontal="center" vertical="center"/>
    </xf>
    <xf numFmtId="0" fontId="66" fillId="0" borderId="85" xfId="0" applyFont="1" applyBorder="1" applyAlignment="1">
      <alignment horizontal="center" vertical="center" wrapText="1"/>
    </xf>
    <xf numFmtId="0" fontId="66" fillId="0" borderId="85" xfId="0" applyFont="1" applyBorder="1" applyAlignment="1">
      <alignment horizontal="center" vertical="center"/>
    </xf>
    <xf numFmtId="0" fontId="0" fillId="0" borderId="5" xfId="0" applyBorder="1"/>
    <xf numFmtId="0" fontId="0" fillId="0" borderId="12"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0" xfId="0" applyBorder="1"/>
    <xf numFmtId="14" fontId="70" fillId="16" borderId="74" xfId="0" applyNumberFormat="1" applyFont="1" applyFill="1" applyBorder="1" applyAlignment="1">
      <alignment horizontal="center" vertical="center" wrapText="1"/>
    </xf>
    <xf numFmtId="0" fontId="70" fillId="16" borderId="74" xfId="0" applyFont="1" applyFill="1" applyBorder="1" applyAlignment="1">
      <alignment horizontal="center" vertical="center" wrapText="1"/>
    </xf>
    <xf numFmtId="0" fontId="76" fillId="17" borderId="0" xfId="0" applyFont="1" applyFill="1" applyAlignment="1">
      <alignment horizontal="center" vertical="center" textRotation="90"/>
    </xf>
    <xf numFmtId="0" fontId="78" fillId="0" borderId="0" xfId="0" applyFont="1" applyAlignment="1">
      <alignment vertical="center"/>
    </xf>
    <xf numFmtId="0" fontId="81" fillId="0" borderId="0" xfId="0" applyFont="1"/>
    <xf numFmtId="0" fontId="76" fillId="0" borderId="0" xfId="0" applyFont="1" applyAlignment="1">
      <alignment horizontal="left" vertical="center"/>
    </xf>
    <xf numFmtId="0" fontId="65" fillId="0" borderId="91" xfId="0" applyFont="1" applyBorder="1" applyAlignment="1">
      <alignment horizontal="left" vertical="center"/>
    </xf>
    <xf numFmtId="0" fontId="65" fillId="0" borderId="92" xfId="0" applyFont="1" applyBorder="1" applyAlignment="1">
      <alignment horizontal="left" vertical="center"/>
    </xf>
    <xf numFmtId="0" fontId="81" fillId="3" borderId="0" xfId="0" applyFont="1" applyFill="1"/>
    <xf numFmtId="0" fontId="82" fillId="3" borderId="0" xfId="0" applyFont="1" applyFill="1" applyAlignment="1">
      <alignment horizontal="center" vertical="center"/>
    </xf>
    <xf numFmtId="0" fontId="0" fillId="0" borderId="85" xfId="0" applyBorder="1" applyAlignment="1">
      <alignment horizontal="center" vertical="center"/>
    </xf>
    <xf numFmtId="0" fontId="70" fillId="19" borderId="85" xfId="0" applyFont="1" applyFill="1" applyBorder="1" applyAlignment="1">
      <alignment horizontal="center" vertical="center"/>
    </xf>
    <xf numFmtId="0" fontId="79" fillId="18" borderId="0" xfId="0" applyFont="1" applyFill="1" applyAlignment="1">
      <alignment horizontal="center" vertical="center"/>
    </xf>
    <xf numFmtId="0" fontId="70" fillId="19" borderId="0" xfId="0" applyFont="1" applyFill="1" applyAlignment="1">
      <alignment horizontal="center" vertical="center"/>
    </xf>
    <xf numFmtId="0" fontId="80" fillId="0" borderId="0" xfId="0" applyFont="1" applyAlignment="1">
      <alignment horizontal="center"/>
    </xf>
    <xf numFmtId="0" fontId="80" fillId="0" borderId="0" xfId="0" applyFont="1" applyAlignment="1">
      <alignment horizontal="center" vertical="center"/>
    </xf>
    <xf numFmtId="0" fontId="72" fillId="21" borderId="27" xfId="0" applyFont="1" applyFill="1" applyBorder="1" applyAlignment="1">
      <alignment horizontal="center" vertical="center" wrapText="1"/>
    </xf>
    <xf numFmtId="0" fontId="72" fillId="21" borderId="28" xfId="0" applyFont="1" applyFill="1" applyBorder="1" applyAlignment="1">
      <alignment horizontal="center" vertical="center" wrapText="1"/>
    </xf>
    <xf numFmtId="0" fontId="85" fillId="3" borderId="21" xfId="0" applyFont="1" applyFill="1" applyBorder="1" applyAlignment="1" applyProtection="1">
      <alignment horizontal="justify" vertical="justify" wrapText="1"/>
      <protection locked="0"/>
    </xf>
    <xf numFmtId="0" fontId="71" fillId="0" borderId="22" xfId="0" applyFont="1" applyBorder="1" applyAlignment="1" applyProtection="1">
      <alignment horizontal="center" vertical="center" wrapText="1"/>
      <protection locked="0"/>
    </xf>
    <xf numFmtId="0" fontId="85" fillId="0" borderId="21" xfId="0" applyFont="1" applyBorder="1" applyAlignment="1" applyProtection="1">
      <alignment horizontal="justify" vertical="justify" wrapText="1"/>
      <protection locked="0"/>
    </xf>
    <xf numFmtId="0" fontId="71" fillId="0" borderId="21" xfId="0" applyFont="1" applyBorder="1" applyAlignment="1" applyProtection="1">
      <alignment horizontal="center" vertical="center" wrapText="1"/>
      <protection locked="0"/>
    </xf>
    <xf numFmtId="0" fontId="85" fillId="22" borderId="21" xfId="0" applyFont="1" applyFill="1" applyBorder="1" applyAlignment="1" applyProtection="1">
      <alignment horizontal="justify" vertical="justify" wrapText="1"/>
      <protection locked="0"/>
    </xf>
    <xf numFmtId="0" fontId="43" fillId="0" borderId="25" xfId="0" applyFont="1" applyBorder="1" applyAlignment="1" applyProtection="1">
      <alignment horizontal="justify" vertical="center" wrapText="1"/>
      <protection locked="0"/>
    </xf>
    <xf numFmtId="0" fontId="72" fillId="21" borderId="25" xfId="0" applyFont="1" applyFill="1" applyBorder="1" applyAlignment="1">
      <alignment horizontal="center" vertical="center" wrapText="1"/>
    </xf>
    <xf numFmtId="0" fontId="71" fillId="21" borderId="21" xfId="0" applyFont="1" applyFill="1" applyBorder="1" applyAlignment="1" applyProtection="1">
      <alignment horizontal="center" vertical="center"/>
      <protection locked="0"/>
    </xf>
    <xf numFmtId="0" fontId="85" fillId="23" borderId="22" xfId="0" applyFont="1" applyFill="1" applyBorder="1" applyAlignment="1" applyProtection="1">
      <alignment horizontal="justify" vertical="justify" wrapText="1"/>
      <protection locked="0"/>
    </xf>
    <xf numFmtId="0" fontId="86" fillId="21" borderId="21" xfId="0" applyFont="1" applyFill="1" applyBorder="1" applyAlignment="1" applyProtection="1">
      <alignment horizontal="center" vertical="center"/>
      <protection locked="0"/>
    </xf>
    <xf numFmtId="0" fontId="85" fillId="24" borderId="21" xfId="0" applyFont="1" applyFill="1" applyBorder="1" applyAlignment="1" applyProtection="1">
      <alignment horizontal="justify" vertical="justify" wrapText="1"/>
      <protection locked="0"/>
    </xf>
    <xf numFmtId="0" fontId="85" fillId="22" borderId="67" xfId="0" applyFont="1" applyFill="1" applyBorder="1" applyAlignment="1" applyProtection="1">
      <alignment wrapText="1"/>
      <protection locked="0"/>
    </xf>
    <xf numFmtId="0" fontId="65" fillId="3" borderId="21" xfId="0" applyFont="1" applyFill="1" applyBorder="1" applyAlignment="1" applyProtection="1">
      <alignment horizontal="justify" vertical="justify" wrapText="1"/>
      <protection locked="0"/>
    </xf>
    <xf numFmtId="0" fontId="11" fillId="18" borderId="0" xfId="0" applyFont="1" applyFill="1" applyAlignment="1">
      <alignment horizontal="center" vertical="center"/>
    </xf>
    <xf numFmtId="0" fontId="60" fillId="18" borderId="0" xfId="0" applyFont="1" applyFill="1" applyAlignment="1">
      <alignment horizontal="center" vertical="center"/>
    </xf>
    <xf numFmtId="0" fontId="60" fillId="18" borderId="0" xfId="0" applyFont="1" applyFill="1" applyAlignment="1">
      <alignment horizontal="center" vertical="center" wrapText="1"/>
    </xf>
    <xf numFmtId="0" fontId="11" fillId="18" borderId="0" xfId="0" applyFont="1" applyFill="1" applyAlignment="1">
      <alignment wrapText="1"/>
    </xf>
    <xf numFmtId="0" fontId="65" fillId="0" borderId="0" xfId="0" applyFont="1"/>
    <xf numFmtId="0" fontId="65" fillId="0" borderId="0" xfId="0" applyFont="1" applyAlignment="1">
      <alignment horizontal="center" vertical="center"/>
    </xf>
    <xf numFmtId="0" fontId="65" fillId="0" borderId="0" xfId="0" applyFont="1" applyAlignment="1">
      <alignment horizontal="center"/>
    </xf>
    <xf numFmtId="0" fontId="87" fillId="0" borderId="57" xfId="0" applyFont="1" applyBorder="1" applyAlignment="1" applyProtection="1">
      <alignment horizontal="center" vertical="center"/>
      <protection locked="0"/>
    </xf>
    <xf numFmtId="0" fontId="65" fillId="3" borderId="0" xfId="0" applyFont="1" applyFill="1"/>
    <xf numFmtId="0" fontId="89" fillId="3" borderId="0" xfId="0" applyFont="1" applyFill="1"/>
    <xf numFmtId="0" fontId="83" fillId="3" borderId="66" xfId="0" applyFont="1" applyFill="1" applyBorder="1" applyAlignment="1">
      <alignment horizontal="center" vertical="center"/>
    </xf>
    <xf numFmtId="0" fontId="83" fillId="3" borderId="67" xfId="0" applyFont="1" applyFill="1" applyBorder="1" applyAlignment="1">
      <alignment horizontal="center" vertical="center"/>
    </xf>
    <xf numFmtId="0" fontId="83" fillId="3" borderId="65" xfId="0" applyFont="1" applyFill="1" applyBorder="1" applyAlignment="1">
      <alignment horizontal="center" vertical="center"/>
    </xf>
    <xf numFmtId="0" fontId="83" fillId="3" borderId="57" xfId="0" applyFont="1" applyFill="1" applyBorder="1" applyAlignment="1">
      <alignment horizontal="center" vertical="center"/>
    </xf>
    <xf numFmtId="0" fontId="83" fillId="3" borderId="40" xfId="0" applyFont="1" applyFill="1" applyBorder="1" applyAlignment="1">
      <alignment vertical="center"/>
    </xf>
    <xf numFmtId="0" fontId="70" fillId="3" borderId="0" xfId="0" applyFont="1" applyFill="1" applyAlignment="1">
      <alignment horizontal="center" vertical="center"/>
    </xf>
    <xf numFmtId="0" fontId="76" fillId="3" borderId="0" xfId="0" applyFont="1" applyFill="1" applyAlignment="1">
      <alignment horizontal="center" vertical="center"/>
    </xf>
    <xf numFmtId="0" fontId="76" fillId="2" borderId="0" xfId="0" applyFont="1" applyFill="1" applyAlignment="1">
      <alignment horizontal="center" vertical="center"/>
    </xf>
    <xf numFmtId="0" fontId="65" fillId="0" borderId="3" xfId="0" applyFont="1" applyBorder="1" applyAlignment="1">
      <alignment horizontal="center" vertical="center"/>
    </xf>
    <xf numFmtId="0" fontId="65" fillId="0" borderId="2" xfId="0" applyFont="1" applyBorder="1" applyAlignment="1">
      <alignment horizontal="center" vertical="center"/>
    </xf>
    <xf numFmtId="0" fontId="65" fillId="0" borderId="0" xfId="0" applyFont="1" applyAlignment="1">
      <alignment horizontal="center" wrapText="1"/>
    </xf>
    <xf numFmtId="0" fontId="65" fillId="0" borderId="0" xfId="0" applyFont="1" applyAlignment="1">
      <alignment wrapText="1"/>
    </xf>
    <xf numFmtId="0" fontId="65" fillId="0" borderId="0" xfId="0" applyFont="1" applyAlignment="1">
      <alignment vertical="center"/>
    </xf>
    <xf numFmtId="0" fontId="90" fillId="0" borderId="0" xfId="0" applyFont="1" applyAlignment="1">
      <alignment horizontal="center" vertical="center" wrapText="1"/>
    </xf>
    <xf numFmtId="0" fontId="45" fillId="0" borderId="21" xfId="0" applyFont="1" applyBorder="1" applyAlignment="1" applyProtection="1">
      <alignment horizontal="justify" vertical="center" wrapText="1"/>
      <protection locked="0"/>
    </xf>
    <xf numFmtId="0" fontId="45" fillId="0" borderId="21" xfId="0" applyFont="1" applyBorder="1" applyAlignment="1" applyProtection="1">
      <alignment horizontal="left" vertical="center" wrapText="1"/>
      <protection locked="0"/>
    </xf>
    <xf numFmtId="0" fontId="90" fillId="0" borderId="21" xfId="0" applyFont="1" applyBorder="1" applyAlignment="1" applyProtection="1">
      <alignment horizontal="center" vertical="center" wrapText="1"/>
      <protection hidden="1"/>
    </xf>
    <xf numFmtId="0" fontId="90" fillId="0" borderId="21" xfId="0" applyFont="1" applyBorder="1" applyAlignment="1" applyProtection="1">
      <alignment horizontal="center" vertical="center" textRotation="90" wrapText="1"/>
      <protection locked="0"/>
    </xf>
    <xf numFmtId="9" fontId="90" fillId="0" borderId="21" xfId="0" applyNumberFormat="1" applyFont="1" applyBorder="1" applyAlignment="1" applyProtection="1">
      <alignment horizontal="center" vertical="center" wrapText="1"/>
      <protection hidden="1"/>
    </xf>
    <xf numFmtId="0" fontId="90" fillId="3" borderId="0" xfId="0" applyFont="1" applyFill="1" applyAlignment="1">
      <alignment horizontal="center" vertical="center" wrapText="1"/>
    </xf>
    <xf numFmtId="0" fontId="1" fillId="0" borderId="21" xfId="0" applyFont="1" applyBorder="1" applyAlignment="1">
      <alignment horizontal="center" vertical="center"/>
    </xf>
    <xf numFmtId="0" fontId="65" fillId="0" borderId="74" xfId="0" applyFont="1" applyBorder="1" applyAlignment="1" applyProtection="1">
      <alignment horizontal="left" vertical="center" wrapText="1"/>
      <protection locked="0"/>
    </xf>
    <xf numFmtId="0" fontId="55" fillId="11" borderId="12" xfId="0" applyFont="1" applyFill="1" applyBorder="1" applyAlignment="1" applyProtection="1">
      <alignment horizontal="center" vertical="center" wrapText="1" readingOrder="1"/>
      <protection hidden="1"/>
    </xf>
    <xf numFmtId="0" fontId="77" fillId="13" borderId="12" xfId="0" applyFont="1" applyFill="1" applyBorder="1" applyAlignment="1" applyProtection="1">
      <alignment horizontal="center" wrapText="1" readingOrder="1"/>
      <protection hidden="1"/>
    </xf>
    <xf numFmtId="0" fontId="54" fillId="0" borderId="94" xfId="0" applyFont="1" applyBorder="1" applyAlignment="1">
      <alignment vertical="center"/>
    </xf>
    <xf numFmtId="0" fontId="54" fillId="0" borderId="90" xfId="0" applyFont="1" applyBorder="1" applyAlignment="1">
      <alignment vertical="center"/>
    </xf>
    <xf numFmtId="0" fontId="54" fillId="0" borderId="93" xfId="0" applyFont="1" applyBorder="1" applyAlignment="1">
      <alignment vertical="center"/>
    </xf>
    <xf numFmtId="0" fontId="59" fillId="0" borderId="68" xfId="0" applyFont="1" applyBorder="1" applyAlignment="1">
      <alignment horizontal="center" vertical="center" wrapText="1"/>
    </xf>
    <xf numFmtId="0" fontId="33" fillId="15" borderId="33"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14" fontId="96" fillId="3" borderId="0" xfId="5" applyNumberFormat="1" applyFill="1" applyAlignment="1">
      <alignment horizontal="center" vertical="center" wrapText="1"/>
    </xf>
    <xf numFmtId="0" fontId="96" fillId="3" borderId="0" xfId="5" applyFill="1" applyAlignment="1">
      <alignment horizontal="center" vertical="center" wrapText="1"/>
    </xf>
    <xf numFmtId="0" fontId="54" fillId="0" borderId="66" xfId="0" applyFont="1" applyBorder="1" applyAlignment="1">
      <alignment horizontal="left" vertical="center"/>
    </xf>
    <xf numFmtId="0" fontId="54" fillId="0" borderId="21" xfId="0" applyFont="1" applyBorder="1" applyAlignment="1">
      <alignment horizontal="left" vertical="center"/>
    </xf>
    <xf numFmtId="0" fontId="43" fillId="0" borderId="101" xfId="0" applyFont="1" applyBorder="1" applyAlignment="1" applyProtection="1">
      <alignment horizontal="center" vertical="center" wrapText="1"/>
      <protection locked="0"/>
    </xf>
    <xf numFmtId="0" fontId="83" fillId="3" borderId="0" xfId="0" applyFont="1" applyFill="1" applyAlignment="1">
      <alignment horizontal="center" vertical="center"/>
    </xf>
    <xf numFmtId="0" fontId="84" fillId="16" borderId="63" xfId="0" applyFont="1" applyFill="1" applyBorder="1" applyAlignment="1">
      <alignment horizontal="center" vertical="center"/>
    </xf>
    <xf numFmtId="0" fontId="90" fillId="25" borderId="21" xfId="0" applyFont="1" applyFill="1" applyBorder="1" applyAlignment="1" applyProtection="1">
      <alignment horizontal="center" vertical="center" wrapText="1"/>
      <protection locked="0"/>
    </xf>
    <xf numFmtId="0" fontId="90" fillId="17" borderId="21" xfId="0" applyFont="1" applyFill="1" applyBorder="1" applyAlignment="1">
      <alignment horizontal="center" vertical="center" wrapText="1"/>
    </xf>
    <xf numFmtId="14" fontId="96" fillId="17" borderId="21" xfId="5" applyNumberFormat="1" applyFill="1" applyBorder="1" applyAlignment="1">
      <alignment horizontal="center" vertical="center" wrapText="1"/>
    </xf>
    <xf numFmtId="0" fontId="96" fillId="17" borderId="21" xfId="5" applyFill="1" applyBorder="1" applyAlignment="1">
      <alignment horizontal="center" vertical="center" wrapText="1"/>
    </xf>
    <xf numFmtId="0" fontId="99" fillId="0" borderId="21" xfId="0" applyFont="1" applyBorder="1" applyAlignment="1">
      <alignment horizontal="left" vertical="center"/>
    </xf>
    <xf numFmtId="0" fontId="84" fillId="16" borderId="101" xfId="0" applyFont="1" applyFill="1" applyBorder="1" applyAlignment="1">
      <alignment horizontal="center" vertical="center" textRotation="90"/>
    </xf>
    <xf numFmtId="14" fontId="90" fillId="27" borderId="21" xfId="0" applyNumberFormat="1" applyFont="1" applyFill="1" applyBorder="1" applyAlignment="1" applyProtection="1">
      <alignment horizontal="center" vertical="center" wrapText="1"/>
      <protection locked="0"/>
    </xf>
    <xf numFmtId="14" fontId="90" fillId="29" borderId="21" xfId="0" applyNumberFormat="1" applyFont="1" applyFill="1" applyBorder="1" applyAlignment="1" applyProtection="1">
      <alignment horizontal="center" vertical="center" wrapText="1"/>
      <protection locked="0"/>
    </xf>
    <xf numFmtId="0" fontId="93" fillId="16" borderId="101" xfId="0" applyFont="1" applyFill="1" applyBorder="1" applyAlignment="1">
      <alignment horizontal="center" vertical="center" wrapText="1"/>
    </xf>
    <xf numFmtId="0" fontId="90" fillId="0" borderId="100" xfId="0" applyFont="1" applyBorder="1" applyAlignment="1">
      <alignment horizontal="center" vertical="center" wrapText="1"/>
    </xf>
    <xf numFmtId="0" fontId="45" fillId="0" borderId="100" xfId="0" applyFont="1" applyBorder="1" applyAlignment="1" applyProtection="1">
      <alignment horizontal="justify" vertical="center" wrapText="1"/>
      <protection locked="0"/>
    </xf>
    <xf numFmtId="0" fontId="101" fillId="0" borderId="100" xfId="0" applyFont="1" applyBorder="1" applyAlignment="1" applyProtection="1">
      <alignment horizontal="left" vertical="center" wrapText="1"/>
      <protection locked="0"/>
    </xf>
    <xf numFmtId="0" fontId="90" fillId="0" borderId="100" xfId="0" applyFont="1" applyBorder="1" applyAlignment="1" applyProtection="1">
      <alignment horizontal="center" vertical="center" wrapText="1"/>
      <protection hidden="1"/>
    </xf>
    <xf numFmtId="0" fontId="90" fillId="0" borderId="100" xfId="0" applyFont="1" applyBorder="1" applyAlignment="1" applyProtection="1">
      <alignment horizontal="center" vertical="center" textRotation="90" wrapText="1"/>
      <protection locked="0"/>
    </xf>
    <xf numFmtId="9" fontId="90" fillId="0" borderId="100" xfId="0" applyNumberFormat="1" applyFont="1" applyBorder="1" applyAlignment="1" applyProtection="1">
      <alignment horizontal="center" vertical="center" wrapText="1"/>
      <protection hidden="1"/>
    </xf>
    <xf numFmtId="0" fontId="43" fillId="0" borderId="83" xfId="0" applyFont="1" applyBorder="1" applyAlignment="1" applyProtection="1">
      <alignment horizontal="center" vertical="center" wrapText="1"/>
      <protection locked="0"/>
    </xf>
    <xf numFmtId="0" fontId="1" fillId="0" borderId="100" xfId="0" applyFont="1" applyBorder="1" applyAlignment="1" applyProtection="1">
      <alignment vertical="center" wrapText="1"/>
      <protection locked="0"/>
    </xf>
    <xf numFmtId="14" fontId="1" fillId="0" borderId="100" xfId="0" applyNumberFormat="1" applyFont="1" applyBorder="1" applyAlignment="1" applyProtection="1">
      <alignment horizontal="center" vertical="center" wrapText="1"/>
      <protection locked="0"/>
    </xf>
    <xf numFmtId="14" fontId="90" fillId="0" borderId="100" xfId="0" applyNumberFormat="1" applyFont="1" applyBorder="1" applyAlignment="1" applyProtection="1">
      <alignment vertical="center" wrapText="1"/>
      <protection locked="0"/>
    </xf>
    <xf numFmtId="0" fontId="1" fillId="0" borderId="28" xfId="0" applyFont="1" applyBorder="1" applyAlignment="1">
      <alignment horizontal="center" vertical="center"/>
    </xf>
    <xf numFmtId="0" fontId="45" fillId="0" borderId="28" xfId="0" applyFont="1" applyBorder="1" applyAlignment="1" applyProtection="1">
      <alignment horizontal="justify" vertical="center" wrapText="1"/>
      <protection locked="0"/>
    </xf>
    <xf numFmtId="0" fontId="45" fillId="0" borderId="28" xfId="0" applyFont="1" applyBorder="1" applyAlignment="1" applyProtection="1">
      <alignment horizontal="left" vertical="center" wrapText="1"/>
      <protection locked="0"/>
    </xf>
    <xf numFmtId="0" fontId="90" fillId="0" borderId="28" xfId="0" applyFont="1" applyBorder="1" applyAlignment="1" applyProtection="1">
      <alignment horizontal="center" vertical="center" wrapText="1"/>
      <protection hidden="1"/>
    </xf>
    <xf numFmtId="0" fontId="90" fillId="0" borderId="28" xfId="0" applyFont="1" applyBorder="1" applyAlignment="1" applyProtection="1">
      <alignment horizontal="center" vertical="center" textRotation="90" wrapText="1"/>
      <protection locked="0"/>
    </xf>
    <xf numFmtId="9" fontId="90" fillId="0" borderId="28" xfId="0" applyNumberFormat="1" applyFont="1" applyBorder="1" applyAlignment="1" applyProtection="1">
      <alignment horizontal="center" vertical="center" wrapText="1"/>
      <protection hidden="1"/>
    </xf>
    <xf numFmtId="0" fontId="43" fillId="0" borderId="28" xfId="0" applyFont="1" applyBorder="1" applyAlignment="1" applyProtection="1">
      <alignment horizontal="center" vertical="center" wrapText="1"/>
      <protection locked="0"/>
    </xf>
    <xf numFmtId="0" fontId="1" fillId="0" borderId="28" xfId="0" applyFont="1" applyBorder="1" applyAlignment="1" applyProtection="1">
      <alignment vertical="center" wrapText="1"/>
      <protection locked="0"/>
    </xf>
    <xf numFmtId="14" fontId="1" fillId="0" borderId="28" xfId="0" applyNumberFormat="1" applyFont="1" applyBorder="1" applyAlignment="1" applyProtection="1">
      <alignment horizontal="center" vertical="center" wrapText="1"/>
      <protection locked="0"/>
    </xf>
    <xf numFmtId="14" fontId="90" fillId="0" borderId="28" xfId="0" applyNumberFormat="1" applyFont="1" applyBorder="1" applyAlignment="1" applyProtection="1">
      <alignment vertical="center" wrapText="1"/>
      <protection locked="0"/>
    </xf>
    <xf numFmtId="0" fontId="45" fillId="0" borderId="100" xfId="0" applyFont="1" applyBorder="1" applyAlignment="1" applyProtection="1">
      <alignment horizontal="left" vertical="center" wrapText="1"/>
      <protection locked="0"/>
    </xf>
    <xf numFmtId="0" fontId="102" fillId="0" borderId="0" xfId="0" applyFont="1"/>
    <xf numFmtId="0" fontId="103" fillId="0" borderId="0" xfId="0" applyFont="1"/>
    <xf numFmtId="0" fontId="104" fillId="0" borderId="0" xfId="0" applyFont="1"/>
    <xf numFmtId="14" fontId="90" fillId="0" borderId="117" xfId="0" applyNumberFormat="1" applyFont="1" applyBorder="1" applyAlignment="1" applyProtection="1">
      <alignment vertical="center" wrapText="1"/>
      <protection locked="0"/>
    </xf>
    <xf numFmtId="14" fontId="90" fillId="0" borderId="118" xfId="0" applyNumberFormat="1" applyFont="1" applyBorder="1" applyAlignment="1" applyProtection="1">
      <alignment vertical="center" wrapText="1"/>
      <protection locked="0"/>
    </xf>
    <xf numFmtId="0" fontId="61" fillId="0" borderId="0" xfId="0" applyFont="1" applyAlignment="1">
      <alignment horizontal="center" wrapText="1"/>
    </xf>
    <xf numFmtId="0" fontId="64" fillId="0" borderId="88" xfId="0" applyFont="1" applyBorder="1" applyAlignment="1">
      <alignment horizontal="center" vertical="center" wrapText="1"/>
    </xf>
    <xf numFmtId="0" fontId="64" fillId="0" borderId="12" xfId="0" applyFont="1" applyBorder="1" applyAlignment="1">
      <alignment horizontal="center" vertical="center" wrapText="1"/>
    </xf>
    <xf numFmtId="0" fontId="64" fillId="0" borderId="75" xfId="0" applyFont="1" applyBorder="1" applyAlignment="1">
      <alignment horizontal="center" vertical="center" wrapText="1"/>
    </xf>
    <xf numFmtId="0" fontId="64" fillId="0" borderId="71" xfId="0" applyFont="1" applyBorder="1" applyAlignment="1">
      <alignment horizontal="center" vertical="center" wrapText="1"/>
    </xf>
    <xf numFmtId="0" fontId="64" fillId="0" borderId="0" xfId="0" applyFont="1" applyAlignment="1">
      <alignment horizontal="center" vertical="center" wrapText="1"/>
    </xf>
    <xf numFmtId="0" fontId="64" fillId="0" borderId="72" xfId="0" applyFont="1" applyBorder="1" applyAlignment="1">
      <alignment horizontal="center" vertical="center" wrapText="1"/>
    </xf>
    <xf numFmtId="0" fontId="64" fillId="0" borderId="89" xfId="0" applyFont="1" applyBorder="1" applyAlignment="1">
      <alignment horizontal="center" vertical="center" wrapText="1"/>
    </xf>
    <xf numFmtId="0" fontId="64" fillId="0" borderId="11" xfId="0" applyFont="1" applyBorder="1" applyAlignment="1">
      <alignment horizontal="center" vertical="center" wrapText="1"/>
    </xf>
    <xf numFmtId="0" fontId="64" fillId="0" borderId="78" xfId="0" applyFont="1" applyBorder="1" applyAlignment="1">
      <alignment horizontal="center" vertical="center" wrapText="1"/>
    </xf>
    <xf numFmtId="0" fontId="62" fillId="0" borderId="5" xfId="0" applyFont="1" applyBorder="1" applyAlignment="1">
      <alignment horizontal="center" wrapText="1"/>
    </xf>
    <xf numFmtId="0" fontId="62" fillId="0" borderId="6" xfId="0" applyFont="1" applyBorder="1" applyAlignment="1">
      <alignment horizontal="center" wrapText="1"/>
    </xf>
    <xf numFmtId="0" fontId="62" fillId="0" borderId="7" xfId="0" applyFont="1" applyBorder="1" applyAlignment="1">
      <alignment horizontal="center" wrapText="1"/>
    </xf>
    <xf numFmtId="0" fontId="62" fillId="0" borderId="8" xfId="0" applyFont="1" applyBorder="1" applyAlignment="1">
      <alignment horizontal="center" wrapText="1"/>
    </xf>
    <xf numFmtId="0" fontId="62" fillId="0" borderId="9" xfId="0" applyFont="1" applyBorder="1" applyAlignment="1">
      <alignment horizontal="center" wrapText="1"/>
    </xf>
    <xf numFmtId="0" fontId="62" fillId="0" borderId="10" xfId="0" applyFont="1" applyBorder="1" applyAlignment="1">
      <alignment horizontal="center" wrapText="1"/>
    </xf>
    <xf numFmtId="0" fontId="54" fillId="0" borderId="76" xfId="0" applyFont="1" applyBorder="1" applyAlignment="1">
      <alignment horizontal="left" vertical="center"/>
    </xf>
    <xf numFmtId="0" fontId="54" fillId="0" borderId="6" xfId="0" applyFont="1" applyBorder="1" applyAlignment="1">
      <alignment horizontal="left" vertical="center"/>
    </xf>
    <xf numFmtId="0" fontId="54" fillId="0" borderId="77" xfId="0" applyFont="1" applyBorder="1" applyAlignment="1">
      <alignment horizontal="left" vertical="center"/>
    </xf>
    <xf numFmtId="0" fontId="54" fillId="0" borderId="8" xfId="0" applyFont="1" applyBorder="1" applyAlignment="1">
      <alignment horizontal="left" vertical="center"/>
    </xf>
    <xf numFmtId="0" fontId="54" fillId="0" borderId="79" xfId="0" applyFont="1" applyBorder="1" applyAlignment="1">
      <alignment horizontal="left" vertical="center"/>
    </xf>
    <xf numFmtId="0" fontId="54" fillId="0" borderId="10" xfId="0" applyFont="1" applyBorder="1" applyAlignment="1">
      <alignment horizontal="left" vertical="center"/>
    </xf>
    <xf numFmtId="0" fontId="97" fillId="0" borderId="111" xfId="0" applyFont="1" applyBorder="1" applyAlignment="1">
      <alignment horizontal="center" wrapText="1"/>
    </xf>
    <xf numFmtId="0" fontId="97" fillId="0" borderId="112" xfId="0" applyFont="1" applyBorder="1" applyAlignment="1">
      <alignment horizontal="center" wrapText="1"/>
    </xf>
    <xf numFmtId="0" fontId="97" fillId="0" borderId="113" xfId="0" applyFont="1" applyBorder="1" applyAlignment="1">
      <alignment horizontal="center" wrapText="1"/>
    </xf>
    <xf numFmtId="0" fontId="65" fillId="0" borderId="23" xfId="0" applyFont="1" applyBorder="1" applyAlignment="1">
      <alignment horizontal="left" vertical="center" wrapText="1"/>
    </xf>
    <xf numFmtId="0" fontId="65" fillId="0" borderId="35" xfId="0" applyFont="1" applyBorder="1" applyAlignment="1">
      <alignment horizontal="left" vertical="center" wrapText="1"/>
    </xf>
    <xf numFmtId="0" fontId="64" fillId="0" borderId="94" xfId="0" applyFont="1" applyBorder="1" applyAlignment="1">
      <alignment horizontal="center" vertical="center" wrapText="1"/>
    </xf>
    <xf numFmtId="0" fontId="64" fillId="0" borderId="90" xfId="0" applyFont="1" applyBorder="1" applyAlignment="1">
      <alignment horizontal="center" vertical="center" wrapText="1"/>
    </xf>
    <xf numFmtId="0" fontId="64" fillId="0" borderId="93" xfId="0" applyFont="1" applyBorder="1" applyAlignment="1">
      <alignment horizontal="center" vertical="center" wrapText="1"/>
    </xf>
    <xf numFmtId="0" fontId="60" fillId="18" borderId="94" xfId="0" applyFont="1" applyFill="1" applyBorder="1" applyAlignment="1">
      <alignment horizontal="center" vertical="center"/>
    </xf>
    <xf numFmtId="0" fontId="60" fillId="18" borderId="90" xfId="0" applyFont="1" applyFill="1" applyBorder="1" applyAlignment="1">
      <alignment horizontal="center" vertical="center"/>
    </xf>
    <xf numFmtId="0" fontId="60" fillId="18" borderId="93" xfId="0" applyFont="1" applyFill="1" applyBorder="1" applyAlignment="1">
      <alignment horizontal="center" vertical="center"/>
    </xf>
    <xf numFmtId="0" fontId="70" fillId="18" borderId="5" xfId="0" applyFont="1" applyFill="1" applyBorder="1" applyAlignment="1">
      <alignment horizontal="center" vertical="center"/>
    </xf>
    <xf numFmtId="0" fontId="70" fillId="18" borderId="6" xfId="0" applyFont="1" applyFill="1" applyBorder="1" applyAlignment="1">
      <alignment horizontal="center" vertical="center"/>
    </xf>
    <xf numFmtId="0" fontId="70" fillId="18" borderId="9" xfId="0" applyFont="1" applyFill="1" applyBorder="1" applyAlignment="1">
      <alignment horizontal="center" vertical="center"/>
    </xf>
    <xf numFmtId="0" fontId="70" fillId="18" borderId="10" xfId="0" applyFont="1" applyFill="1" applyBorder="1" applyAlignment="1">
      <alignment horizontal="center" vertical="center"/>
    </xf>
    <xf numFmtId="0" fontId="70" fillId="19" borderId="9" xfId="0" applyFont="1" applyFill="1" applyBorder="1" applyAlignment="1">
      <alignment horizontal="center" vertical="center"/>
    </xf>
    <xf numFmtId="0" fontId="70" fillId="19" borderId="10" xfId="0" applyFont="1" applyFill="1" applyBorder="1" applyAlignment="1">
      <alignment horizontal="center" vertical="center"/>
    </xf>
    <xf numFmtId="0" fontId="70" fillId="18" borderId="5" xfId="0" applyFont="1" applyFill="1" applyBorder="1" applyAlignment="1">
      <alignment horizontal="center" vertical="center" wrapText="1"/>
    </xf>
    <xf numFmtId="0" fontId="70" fillId="18" borderId="6" xfId="0" applyFont="1" applyFill="1" applyBorder="1" applyAlignment="1">
      <alignment horizontal="center" vertical="center" wrapText="1"/>
    </xf>
    <xf numFmtId="0" fontId="70" fillId="18" borderId="9" xfId="0" applyFont="1" applyFill="1" applyBorder="1" applyAlignment="1">
      <alignment horizontal="center" vertical="center" wrapText="1"/>
    </xf>
    <xf numFmtId="0" fontId="70" fillId="18" borderId="10" xfId="0" applyFont="1" applyFill="1" applyBorder="1" applyAlignment="1">
      <alignment horizontal="center" vertical="center" wrapText="1"/>
    </xf>
    <xf numFmtId="0" fontId="54" fillId="0" borderId="5" xfId="0" applyFont="1" applyBorder="1" applyAlignment="1">
      <alignment horizontal="left" vertical="center"/>
    </xf>
    <xf numFmtId="0" fontId="54" fillId="0" borderId="7" xfId="0" applyFont="1" applyBorder="1" applyAlignment="1">
      <alignment horizontal="left" vertical="center"/>
    </xf>
    <xf numFmtId="0" fontId="54" fillId="0" borderId="9" xfId="0" applyFont="1" applyBorder="1" applyAlignment="1">
      <alignment horizontal="left" vertical="center"/>
    </xf>
    <xf numFmtId="14" fontId="90" fillId="17" borderId="101" xfId="0" applyNumberFormat="1" applyFont="1" applyFill="1" applyBorder="1" applyAlignment="1">
      <alignment horizontal="center" vertical="center" wrapText="1"/>
    </xf>
    <xf numFmtId="14" fontId="90" fillId="17" borderId="102" xfId="0" applyNumberFormat="1" applyFont="1" applyFill="1" applyBorder="1" applyAlignment="1">
      <alignment horizontal="center" vertical="center" wrapText="1"/>
    </xf>
    <xf numFmtId="14" fontId="90" fillId="25" borderId="101" xfId="0" applyNumberFormat="1" applyFont="1" applyFill="1" applyBorder="1" applyAlignment="1" applyProtection="1">
      <alignment horizontal="center" vertical="center" wrapText="1"/>
      <protection locked="0"/>
    </xf>
    <xf numFmtId="14" fontId="90" fillId="25" borderId="102" xfId="0" applyNumberFormat="1" applyFont="1" applyFill="1" applyBorder="1" applyAlignment="1" applyProtection="1">
      <alignment horizontal="center" vertical="center" wrapText="1"/>
      <protection locked="0"/>
    </xf>
    <xf numFmtId="14" fontId="90" fillId="0" borderId="76" xfId="0" applyNumberFormat="1" applyFont="1" applyBorder="1" applyAlignment="1" applyProtection="1">
      <alignment horizontal="center" vertical="center" wrapText="1"/>
      <protection locked="0"/>
    </xf>
    <xf numFmtId="14" fontId="90" fillId="0" borderId="77" xfId="0" applyNumberFormat="1" applyFont="1" applyBorder="1" applyAlignment="1" applyProtection="1">
      <alignment horizontal="center" vertical="center" wrapText="1"/>
      <protection locked="0"/>
    </xf>
    <xf numFmtId="14" fontId="90" fillId="0" borderId="79" xfId="0" applyNumberFormat="1" applyFont="1" applyBorder="1" applyAlignment="1" applyProtection="1">
      <alignment horizontal="center" vertical="center" wrapText="1"/>
      <protection locked="0"/>
    </xf>
    <xf numFmtId="0" fontId="105" fillId="27" borderId="21" xfId="0" applyFont="1" applyFill="1" applyBorder="1" applyAlignment="1">
      <alignment horizontal="center" vertical="center"/>
    </xf>
    <xf numFmtId="14" fontId="90" fillId="27" borderId="101" xfId="0" applyNumberFormat="1" applyFont="1" applyFill="1" applyBorder="1" applyAlignment="1" applyProtection="1">
      <alignment horizontal="center" vertical="center" wrapText="1"/>
      <protection locked="0"/>
    </xf>
    <xf numFmtId="14" fontId="90" fillId="27" borderId="102" xfId="0" applyNumberFormat="1" applyFont="1" applyFill="1" applyBorder="1" applyAlignment="1" applyProtection="1">
      <alignment horizontal="center" vertical="center" wrapText="1"/>
      <protection locked="0"/>
    </xf>
    <xf numFmtId="14" fontId="90" fillId="27" borderId="22" xfId="0" applyNumberFormat="1" applyFont="1" applyFill="1" applyBorder="1" applyAlignment="1" applyProtection="1">
      <alignment horizontal="center" vertical="center" wrapText="1"/>
      <protection locked="0"/>
    </xf>
    <xf numFmtId="0" fontId="90" fillId="0" borderId="83" xfId="0" applyFont="1" applyBorder="1" applyAlignment="1">
      <alignment horizontal="center" vertical="center" wrapText="1"/>
    </xf>
    <xf numFmtId="0" fontId="90" fillId="0" borderId="102" xfId="0" applyFont="1" applyBorder="1" applyAlignment="1">
      <alignment horizontal="center" vertical="center" wrapText="1"/>
    </xf>
    <xf numFmtId="0" fontId="90" fillId="0" borderId="115" xfId="0" applyFont="1" applyBorder="1" applyAlignment="1">
      <alignment horizontal="center" vertical="center" wrapText="1"/>
    </xf>
    <xf numFmtId="0" fontId="95" fillId="0" borderId="82" xfId="0" applyFont="1" applyBorder="1" applyAlignment="1">
      <alignment horizontal="center" vertical="center" wrapText="1"/>
    </xf>
    <xf numFmtId="0" fontId="95" fillId="0" borderId="116" xfId="0" applyFont="1" applyBorder="1" applyAlignment="1">
      <alignment horizontal="center" vertical="center" wrapText="1"/>
    </xf>
    <xf numFmtId="0" fontId="95" fillId="0" borderId="114" xfId="0" applyFont="1" applyBorder="1" applyAlignment="1">
      <alignment horizontal="center" vertical="center" wrapText="1"/>
    </xf>
    <xf numFmtId="0" fontId="90" fillId="17" borderId="83" xfId="0" applyFont="1" applyFill="1" applyBorder="1" applyAlignment="1">
      <alignment horizontal="center" vertical="center" wrapText="1"/>
    </xf>
    <xf numFmtId="0" fontId="90" fillId="17" borderId="102" xfId="0" applyFont="1" applyFill="1" applyBorder="1" applyAlignment="1">
      <alignment horizontal="center" vertical="center" wrapText="1"/>
    </xf>
    <xf numFmtId="0" fontId="90" fillId="17" borderId="115" xfId="0" applyFont="1" applyFill="1" applyBorder="1" applyAlignment="1">
      <alignment horizontal="center" vertical="center" wrapText="1"/>
    </xf>
    <xf numFmtId="0" fontId="1" fillId="0" borderId="83" xfId="0" applyFont="1" applyBorder="1" applyAlignment="1" applyProtection="1">
      <alignment horizontal="center" vertical="center" wrapText="1"/>
      <protection locked="0"/>
    </xf>
    <xf numFmtId="0" fontId="1" fillId="0" borderId="102" xfId="0" applyFont="1" applyBorder="1" applyAlignment="1" applyProtection="1">
      <alignment horizontal="center" vertical="center" wrapText="1"/>
      <protection locked="0"/>
    </xf>
    <xf numFmtId="0" fontId="1" fillId="0" borderId="115" xfId="0" applyFont="1" applyBorder="1" applyAlignment="1" applyProtection="1">
      <alignment horizontal="center" vertical="center" wrapText="1"/>
      <protection locked="0"/>
    </xf>
    <xf numFmtId="0" fontId="90" fillId="0" borderId="83" xfId="0" applyFont="1" applyBorder="1" applyAlignment="1" applyProtection="1">
      <alignment horizontal="center" vertical="center" wrapText="1"/>
      <protection locked="0"/>
    </xf>
    <xf numFmtId="0" fontId="90" fillId="0" borderId="102" xfId="0" applyFont="1" applyBorder="1" applyAlignment="1" applyProtection="1">
      <alignment horizontal="center" vertical="center" wrapText="1"/>
      <protection locked="0"/>
    </xf>
    <xf numFmtId="0" fontId="90" fillId="0" borderId="115" xfId="0" applyFont="1" applyBorder="1" applyAlignment="1" applyProtection="1">
      <alignment horizontal="center" vertical="center" wrapText="1"/>
      <protection locked="0"/>
    </xf>
    <xf numFmtId="0" fontId="90" fillId="17" borderId="83" xfId="0" applyFont="1" applyFill="1" applyBorder="1" applyAlignment="1" applyProtection="1">
      <alignment horizontal="center" vertical="center" wrapText="1"/>
      <protection locked="0"/>
    </xf>
    <xf numFmtId="0" fontId="90" fillId="17" borderId="102" xfId="0" applyFont="1" applyFill="1" applyBorder="1" applyAlignment="1" applyProtection="1">
      <alignment horizontal="center" vertical="center" wrapText="1"/>
      <protection locked="0"/>
    </xf>
    <xf numFmtId="0" fontId="90" fillId="17" borderId="115" xfId="0" applyFont="1" applyFill="1" applyBorder="1" applyAlignment="1" applyProtection="1">
      <alignment horizontal="center" vertical="center" wrapText="1"/>
      <protection locked="0"/>
    </xf>
    <xf numFmtId="0" fontId="98" fillId="0" borderId="83" xfId="0" applyFont="1" applyBorder="1" applyAlignment="1" applyProtection="1">
      <alignment horizontal="center" vertical="center" wrapText="1"/>
      <protection hidden="1"/>
    </xf>
    <xf numFmtId="0" fontId="98" fillId="0" borderId="102" xfId="0" applyFont="1" applyBorder="1" applyAlignment="1" applyProtection="1">
      <alignment horizontal="center" vertical="center" wrapText="1"/>
      <protection hidden="1"/>
    </xf>
    <xf numFmtId="0" fontId="98" fillId="0" borderId="115" xfId="0" applyFont="1" applyBorder="1" applyAlignment="1" applyProtection="1">
      <alignment horizontal="center" vertical="center" wrapText="1"/>
      <protection hidden="1"/>
    </xf>
    <xf numFmtId="9" fontId="90" fillId="0" borderId="83" xfId="0" applyNumberFormat="1" applyFont="1" applyBorder="1" applyAlignment="1" applyProtection="1">
      <alignment horizontal="center" vertical="center" wrapText="1"/>
      <protection hidden="1"/>
    </xf>
    <xf numFmtId="9" fontId="90" fillId="0" borderId="115" xfId="0" applyNumberFormat="1" applyFont="1" applyBorder="1" applyAlignment="1" applyProtection="1">
      <alignment horizontal="center" vertical="center" wrapText="1"/>
      <protection hidden="1"/>
    </xf>
    <xf numFmtId="0" fontId="84" fillId="16" borderId="21" xfId="0" applyFont="1" applyFill="1" applyBorder="1" applyAlignment="1">
      <alignment horizontal="center" vertical="center" wrapText="1"/>
    </xf>
    <xf numFmtId="0" fontId="84" fillId="16" borderId="101" xfId="0" applyFont="1" applyFill="1" applyBorder="1" applyAlignment="1">
      <alignment horizontal="center" vertical="center" wrapText="1"/>
    </xf>
    <xf numFmtId="0" fontId="84" fillId="16" borderId="22" xfId="0" applyFont="1" applyFill="1" applyBorder="1" applyAlignment="1">
      <alignment horizontal="center" vertical="center"/>
    </xf>
    <xf numFmtId="0" fontId="84" fillId="16" borderId="66" xfId="0" applyFont="1" applyFill="1" applyBorder="1" applyAlignment="1">
      <alignment horizontal="center" vertical="center"/>
    </xf>
    <xf numFmtId="0" fontId="84" fillId="16" borderId="65" xfId="0" applyFont="1" applyFill="1" applyBorder="1" applyAlignment="1">
      <alignment horizontal="center" vertical="center"/>
    </xf>
    <xf numFmtId="9" fontId="90" fillId="0" borderId="83" xfId="0" applyNumberFormat="1" applyFont="1" applyBorder="1" applyAlignment="1" applyProtection="1">
      <alignment horizontal="center" vertical="center" wrapText="1"/>
      <protection locked="0"/>
    </xf>
    <xf numFmtId="9" fontId="90" fillId="0" borderId="102" xfId="0" applyNumberFormat="1" applyFont="1" applyBorder="1" applyAlignment="1" applyProtection="1">
      <alignment horizontal="center" vertical="center" wrapText="1"/>
      <protection locked="0"/>
    </xf>
    <xf numFmtId="9" fontId="90" fillId="0" borderId="115" xfId="0" applyNumberFormat="1" applyFont="1" applyBorder="1" applyAlignment="1" applyProtection="1">
      <alignment horizontal="center" vertical="center" wrapText="1"/>
      <protection locked="0"/>
    </xf>
    <xf numFmtId="0" fontId="95" fillId="0" borderId="83" xfId="0" applyFont="1" applyBorder="1" applyAlignment="1" applyProtection="1">
      <alignment horizontal="center" vertical="center" wrapText="1"/>
      <protection hidden="1"/>
    </xf>
    <xf numFmtId="0" fontId="95" fillId="0" borderId="102" xfId="0" applyFont="1" applyBorder="1" applyAlignment="1" applyProtection="1">
      <alignment horizontal="center" vertical="center" wrapText="1"/>
      <protection hidden="1"/>
    </xf>
    <xf numFmtId="0" fontId="95" fillId="0" borderId="115" xfId="0" applyFont="1" applyBorder="1" applyAlignment="1" applyProtection="1">
      <alignment horizontal="center" vertical="center" wrapText="1"/>
      <protection hidden="1"/>
    </xf>
    <xf numFmtId="0" fontId="84" fillId="16" borderId="21" xfId="0" applyFont="1" applyFill="1" applyBorder="1" applyAlignment="1">
      <alignment horizontal="center" vertical="center" textRotation="90" wrapText="1"/>
    </xf>
    <xf numFmtId="0" fontId="84" fillId="16" borderId="101" xfId="0" applyFont="1" applyFill="1" applyBorder="1" applyAlignment="1">
      <alignment horizontal="center" vertical="center" textRotation="90" wrapText="1"/>
    </xf>
    <xf numFmtId="9" fontId="90" fillId="0" borderId="102" xfId="0" applyNumberFormat="1" applyFont="1" applyBorder="1" applyAlignment="1" applyProtection="1">
      <alignment horizontal="center" vertical="center" wrapText="1"/>
      <protection hidden="1"/>
    </xf>
    <xf numFmtId="0" fontId="90" fillId="0" borderId="83" xfId="0" applyFont="1" applyBorder="1" applyAlignment="1" applyProtection="1">
      <alignment horizontal="center" vertical="center" textRotation="90" wrapText="1"/>
      <protection locked="0"/>
    </xf>
    <xf numFmtId="0" fontId="90" fillId="0" borderId="102" xfId="0" applyFont="1" applyBorder="1" applyAlignment="1" applyProtection="1">
      <alignment horizontal="center" vertical="center" textRotation="90" wrapText="1"/>
      <protection locked="0"/>
    </xf>
    <xf numFmtId="0" fontId="90" fillId="0" borderId="115" xfId="0" applyFont="1" applyBorder="1" applyAlignment="1" applyProtection="1">
      <alignment horizontal="center" vertical="center" textRotation="90" wrapText="1"/>
      <protection locked="0"/>
    </xf>
    <xf numFmtId="0" fontId="95" fillId="0" borderId="83" xfId="0" applyFont="1" applyBorder="1" applyAlignment="1" applyProtection="1">
      <alignment horizontal="center" vertical="center" textRotation="90" wrapText="1"/>
      <protection hidden="1"/>
    </xf>
    <xf numFmtId="0" fontId="95" fillId="0" borderId="102" xfId="0" applyFont="1" applyBorder="1" applyAlignment="1" applyProtection="1">
      <alignment horizontal="center" vertical="center" textRotation="90" wrapText="1"/>
      <protection hidden="1"/>
    </xf>
    <xf numFmtId="0" fontId="95" fillId="0" borderId="115" xfId="0" applyFont="1" applyBorder="1" applyAlignment="1" applyProtection="1">
      <alignment horizontal="center" vertical="center" textRotation="90" wrapText="1"/>
      <protection hidden="1"/>
    </xf>
    <xf numFmtId="14" fontId="90" fillId="0" borderId="83" xfId="0" applyNumberFormat="1" applyFont="1" applyBorder="1" applyAlignment="1" applyProtection="1">
      <alignment horizontal="center" vertical="center" wrapText="1"/>
      <protection locked="0"/>
    </xf>
    <xf numFmtId="14" fontId="90" fillId="0" borderId="102" xfId="0" applyNumberFormat="1" applyFont="1" applyBorder="1" applyAlignment="1" applyProtection="1">
      <alignment horizontal="center" vertical="center" wrapText="1"/>
      <protection locked="0"/>
    </xf>
    <xf numFmtId="14" fontId="90" fillId="0" borderId="115" xfId="0" applyNumberFormat="1" applyFont="1" applyBorder="1" applyAlignment="1" applyProtection="1">
      <alignment horizontal="center" vertical="center" wrapText="1"/>
      <protection locked="0"/>
    </xf>
    <xf numFmtId="0" fontId="62" fillId="0" borderId="95" xfId="0" applyFont="1" applyBorder="1" applyAlignment="1">
      <alignment horizontal="center" vertical="center" wrapText="1"/>
    </xf>
    <xf numFmtId="0" fontId="62" fillId="0" borderId="96" xfId="0" applyFont="1" applyBorder="1" applyAlignment="1">
      <alignment horizontal="center" vertical="center" wrapText="1"/>
    </xf>
    <xf numFmtId="0" fontId="62" fillId="0" borderId="109" xfId="0" applyFont="1" applyBorder="1" applyAlignment="1">
      <alignment horizontal="center" vertical="center" wrapText="1"/>
    </xf>
    <xf numFmtId="0" fontId="62" fillId="0" borderId="86" xfId="0" applyFont="1" applyBorder="1" applyAlignment="1">
      <alignment horizontal="center" vertical="center" wrapText="1"/>
    </xf>
    <xf numFmtId="0" fontId="62" fillId="0" borderId="0" xfId="0" applyFont="1" applyAlignment="1">
      <alignment horizontal="center" vertical="center" wrapText="1"/>
    </xf>
    <xf numFmtId="0" fontId="62" fillId="0" borderId="72" xfId="0" applyFont="1" applyBorder="1" applyAlignment="1">
      <alignment horizontal="center" vertical="center" wrapText="1"/>
    </xf>
    <xf numFmtId="0" fontId="62" fillId="0" borderId="97" xfId="0" applyFont="1" applyBorder="1" applyAlignment="1">
      <alignment horizontal="center" vertical="center" wrapText="1"/>
    </xf>
    <xf numFmtId="0" fontId="62" fillId="0" borderId="98" xfId="0" applyFont="1" applyBorder="1" applyAlignment="1">
      <alignment horizontal="center" vertical="center" wrapText="1"/>
    </xf>
    <xf numFmtId="0" fontId="62" fillId="0" borderId="110" xfId="0" applyFont="1" applyBorder="1" applyAlignment="1">
      <alignment horizontal="center" vertical="center" wrapText="1"/>
    </xf>
    <xf numFmtId="0" fontId="87" fillId="0" borderId="21" xfId="0" applyFont="1" applyBorder="1" applyAlignment="1" applyProtection="1">
      <alignment horizontal="center" vertical="center"/>
      <protection locked="0"/>
    </xf>
    <xf numFmtId="0" fontId="88" fillId="0" borderId="66" xfId="0" applyFont="1" applyBorder="1" applyAlignment="1">
      <alignment horizontal="left" vertical="center"/>
    </xf>
    <xf numFmtId="0" fontId="88" fillId="0" borderId="65" xfId="0" applyFont="1" applyBorder="1" applyAlignment="1">
      <alignment horizontal="left" vertical="center"/>
    </xf>
    <xf numFmtId="0" fontId="84" fillId="16" borderId="102" xfId="0" applyFont="1" applyFill="1" applyBorder="1" applyAlignment="1">
      <alignment horizontal="center" vertical="center" wrapText="1"/>
    </xf>
    <xf numFmtId="0" fontId="84" fillId="16" borderId="21" xfId="0" applyFont="1" applyFill="1" applyBorder="1" applyAlignment="1">
      <alignment horizontal="center" vertical="center"/>
    </xf>
    <xf numFmtId="0" fontId="84" fillId="16" borderId="101" xfId="0" applyFont="1" applyFill="1" applyBorder="1" applyAlignment="1">
      <alignment horizontal="center" vertical="center"/>
    </xf>
    <xf numFmtId="0" fontId="83" fillId="16" borderId="66" xfId="0" applyFont="1" applyFill="1" applyBorder="1" applyAlignment="1">
      <alignment horizontal="left" vertical="center"/>
    </xf>
    <xf numFmtId="0" fontId="83" fillId="16" borderId="65" xfId="0" applyFont="1" applyFill="1" applyBorder="1" applyAlignment="1">
      <alignment horizontal="left" vertical="center"/>
    </xf>
    <xf numFmtId="0" fontId="83" fillId="16" borderId="67" xfId="0" applyFont="1" applyFill="1" applyBorder="1" applyAlignment="1">
      <alignment horizontal="left" vertical="center"/>
    </xf>
    <xf numFmtId="0" fontId="84" fillId="16" borderId="21" xfId="0" applyFont="1" applyFill="1" applyBorder="1" applyAlignment="1">
      <alignment horizontal="center" vertical="center" textRotation="90"/>
    </xf>
    <xf numFmtId="0" fontId="84" fillId="16" borderId="101" xfId="0" applyFont="1" applyFill="1" applyBorder="1" applyAlignment="1">
      <alignment horizontal="center" vertical="center" textRotation="90"/>
    </xf>
    <xf numFmtId="0" fontId="84" fillId="18" borderId="67" xfId="0" applyFont="1" applyFill="1" applyBorder="1" applyAlignment="1">
      <alignment horizontal="center" vertical="center" wrapText="1"/>
    </xf>
    <xf numFmtId="0" fontId="84" fillId="18" borderId="21" xfId="0" applyFont="1" applyFill="1" applyBorder="1" applyAlignment="1">
      <alignment horizontal="center" vertical="center" wrapText="1"/>
    </xf>
    <xf numFmtId="0" fontId="84" fillId="16" borderId="99" xfId="0" applyFont="1" applyFill="1" applyBorder="1" applyAlignment="1">
      <alignment horizontal="center" vertical="center" wrapText="1"/>
    </xf>
    <xf numFmtId="0" fontId="84" fillId="16" borderId="105" xfId="0" applyFont="1" applyFill="1" applyBorder="1" applyAlignment="1">
      <alignment horizontal="center" vertical="center" wrapText="1"/>
    </xf>
    <xf numFmtId="0" fontId="84" fillId="16" borderId="63" xfId="0" applyFont="1" applyFill="1" applyBorder="1" applyAlignment="1">
      <alignment horizontal="center" vertical="center" wrapText="1"/>
    </xf>
    <xf numFmtId="0" fontId="84" fillId="16" borderId="106" xfId="0" applyFont="1" applyFill="1" applyBorder="1" applyAlignment="1">
      <alignment horizontal="center" vertical="center" wrapText="1"/>
    </xf>
    <xf numFmtId="14" fontId="90" fillId="26" borderId="108" xfId="0" applyNumberFormat="1" applyFont="1" applyFill="1" applyBorder="1" applyAlignment="1">
      <alignment horizontal="center" vertical="center" wrapText="1"/>
    </xf>
    <xf numFmtId="14" fontId="90" fillId="26" borderId="22" xfId="0" applyNumberFormat="1" applyFont="1" applyFill="1" applyBorder="1" applyAlignment="1">
      <alignment horizontal="center" vertical="center" wrapText="1"/>
    </xf>
    <xf numFmtId="0" fontId="84" fillId="16" borderId="107" xfId="0" applyFont="1" applyFill="1" applyBorder="1" applyAlignment="1">
      <alignment horizontal="center" vertical="center"/>
    </xf>
    <xf numFmtId="14" fontId="89" fillId="28" borderId="108" xfId="0" applyNumberFormat="1" applyFont="1" applyFill="1" applyBorder="1" applyAlignment="1">
      <alignment horizontal="center" vertical="center" wrapText="1"/>
    </xf>
    <xf numFmtId="14" fontId="89" fillId="28" borderId="22" xfId="0" applyNumberFormat="1" applyFont="1" applyFill="1" applyBorder="1" applyAlignment="1">
      <alignment horizontal="center" vertical="center" wrapText="1"/>
    </xf>
    <xf numFmtId="0" fontId="84" fillId="16" borderId="104" xfId="0" applyFont="1" applyFill="1" applyBorder="1" applyAlignment="1">
      <alignment horizontal="center" vertical="center" wrapText="1"/>
    </xf>
    <xf numFmtId="0" fontId="58" fillId="0" borderId="68" xfId="0" applyFont="1" applyBorder="1" applyAlignment="1">
      <alignment horizontal="center" vertical="center" wrapText="1"/>
    </xf>
    <xf numFmtId="0" fontId="59" fillId="0" borderId="68" xfId="0" applyFont="1" applyBorder="1" applyAlignment="1">
      <alignment horizontal="center" vertical="center" wrapText="1"/>
    </xf>
    <xf numFmtId="0" fontId="65" fillId="0" borderId="64" xfId="0" applyFont="1" applyBorder="1" applyAlignment="1">
      <alignment horizontal="left" vertical="center" wrapText="1"/>
    </xf>
    <xf numFmtId="9" fontId="90" fillId="0" borderId="83" xfId="1" applyFont="1" applyBorder="1" applyAlignment="1">
      <alignment horizontal="center" vertical="center" wrapText="1"/>
    </xf>
    <xf numFmtId="9" fontId="90" fillId="0" borderId="102" xfId="1" applyFont="1" applyBorder="1" applyAlignment="1">
      <alignment horizontal="center" vertical="center" wrapText="1"/>
    </xf>
    <xf numFmtId="9" fontId="90" fillId="0" borderId="115" xfId="1" applyFont="1" applyBorder="1" applyAlignment="1">
      <alignment horizontal="center" vertical="center" wrapText="1"/>
    </xf>
    <xf numFmtId="0" fontId="84" fillId="16" borderId="115" xfId="0" applyFont="1" applyFill="1" applyBorder="1" applyAlignment="1">
      <alignment horizontal="center" vertical="center" textRotation="90" wrapText="1"/>
    </xf>
    <xf numFmtId="0" fontId="0" fillId="0" borderId="103" xfId="0" applyBorder="1" applyAlignment="1">
      <alignment horizontal="left" wrapText="1"/>
    </xf>
    <xf numFmtId="0" fontId="0" fillId="0" borderId="103" xfId="0" applyBorder="1" applyAlignment="1">
      <alignment horizontal="left"/>
    </xf>
    <xf numFmtId="0" fontId="93" fillId="16" borderId="66" xfId="0" applyFont="1" applyFill="1" applyBorder="1" applyAlignment="1">
      <alignment horizontal="center" vertical="center" wrapText="1"/>
    </xf>
    <xf numFmtId="0" fontId="93" fillId="16" borderId="67" xfId="0" applyFont="1" applyFill="1" applyBorder="1" applyAlignment="1">
      <alignment horizontal="center" vertical="center" wrapText="1"/>
    </xf>
    <xf numFmtId="0" fontId="84" fillId="16" borderId="102" xfId="0" applyFont="1" applyFill="1" applyBorder="1" applyAlignment="1">
      <alignment horizontal="center" vertical="center" textRotation="90"/>
    </xf>
    <xf numFmtId="0" fontId="76" fillId="0" borderId="0" xfId="0" applyFont="1" applyAlignment="1">
      <alignment horizontal="center"/>
    </xf>
    <xf numFmtId="0" fontId="76" fillId="0" borderId="72" xfId="0" applyFont="1" applyBorder="1" applyAlignment="1">
      <alignment horizontal="center"/>
    </xf>
    <xf numFmtId="0" fontId="84" fillId="16" borderId="102" xfId="0" applyFont="1" applyFill="1" applyBorder="1" applyAlignment="1">
      <alignment horizontal="center" vertical="center"/>
    </xf>
    <xf numFmtId="0" fontId="92" fillId="0" borderId="66" xfId="0" applyFont="1" applyBorder="1" applyAlignment="1">
      <alignment horizontal="left" vertical="center" wrapText="1"/>
    </xf>
    <xf numFmtId="0" fontId="92" fillId="0" borderId="65" xfId="0" applyFont="1" applyBorder="1" applyAlignment="1">
      <alignment horizontal="left" vertical="center" wrapText="1"/>
    </xf>
    <xf numFmtId="0" fontId="92" fillId="0" borderId="67" xfId="0" applyFont="1" applyBorder="1" applyAlignment="1">
      <alignment horizontal="left" vertical="center" wrapText="1"/>
    </xf>
    <xf numFmtId="0" fontId="91" fillId="0" borderId="21" xfId="0" applyFont="1" applyBorder="1" applyAlignment="1">
      <alignment horizontal="left" vertical="center" wrapText="1"/>
    </xf>
    <xf numFmtId="0" fontId="0" fillId="5" borderId="0" xfId="0" applyFill="1" applyAlignment="1">
      <alignment horizontal="center"/>
    </xf>
    <xf numFmtId="0" fontId="76" fillId="20" borderId="91" xfId="0" applyFont="1" applyFill="1" applyBorder="1" applyAlignment="1">
      <alignment horizontal="center" vertical="center" wrapText="1"/>
    </xf>
    <xf numFmtId="0" fontId="76" fillId="20" borderId="100" xfId="0" applyFont="1" applyFill="1" applyBorder="1" applyAlignment="1">
      <alignment horizontal="center" vertical="center" wrapText="1"/>
    </xf>
    <xf numFmtId="0" fontId="76" fillId="20" borderId="25" xfId="0" applyFont="1" applyFill="1" applyBorder="1" applyAlignment="1">
      <alignment horizontal="center" vertical="center" wrapText="1"/>
    </xf>
    <xf numFmtId="0" fontId="76" fillId="20" borderId="21" xfId="0" applyFont="1" applyFill="1" applyBorder="1" applyAlignment="1">
      <alignment horizontal="center" vertical="center" wrapText="1"/>
    </xf>
    <xf numFmtId="0" fontId="54" fillId="0" borderId="12" xfId="0" applyFont="1" applyBorder="1" applyAlignment="1">
      <alignment horizontal="left" vertical="center"/>
    </xf>
    <xf numFmtId="0" fontId="54" fillId="0" borderId="0" xfId="0" applyFont="1" applyAlignment="1">
      <alignment horizontal="left" vertical="center"/>
    </xf>
    <xf numFmtId="0" fontId="54" fillId="0" borderId="11" xfId="0" applyFont="1" applyBorder="1" applyAlignment="1">
      <alignment horizontal="left" vertical="center"/>
    </xf>
    <xf numFmtId="0" fontId="54" fillId="0" borderId="5" xfId="0" applyFont="1" applyBorder="1" applyAlignment="1">
      <alignment horizontal="center" vertical="center"/>
    </xf>
    <xf numFmtId="0" fontId="54" fillId="0" borderId="12" xfId="0" applyFont="1" applyBorder="1" applyAlignment="1">
      <alignment horizontal="center" vertical="center"/>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0" borderId="9" xfId="0" applyFont="1" applyBorder="1" applyAlignment="1">
      <alignment horizontal="center" vertical="center"/>
    </xf>
    <xf numFmtId="0" fontId="54" fillId="0" borderId="11" xfId="0" applyFont="1" applyBorder="1" applyAlignment="1">
      <alignment horizontal="center" vertical="center"/>
    </xf>
    <xf numFmtId="0" fontId="54" fillId="0" borderId="10" xfId="0" applyFont="1" applyBorder="1" applyAlignment="1">
      <alignment horizontal="center" vertical="center"/>
    </xf>
    <xf numFmtId="0" fontId="67" fillId="0" borderId="5" xfId="0" applyFont="1" applyBorder="1" applyAlignment="1">
      <alignment horizontal="center" wrapText="1"/>
    </xf>
    <xf numFmtId="0" fontId="67" fillId="0" borderId="12" xfId="0" applyFont="1" applyBorder="1" applyAlignment="1">
      <alignment horizontal="center" wrapText="1"/>
    </xf>
    <xf numFmtId="0" fontId="67" fillId="0" borderId="6" xfId="0" applyFont="1" applyBorder="1" applyAlignment="1">
      <alignment horizontal="center" wrapText="1"/>
    </xf>
    <xf numFmtId="0" fontId="67" fillId="0" borderId="7" xfId="0" applyFont="1" applyBorder="1" applyAlignment="1">
      <alignment horizontal="center" wrapText="1"/>
    </xf>
    <xf numFmtId="0" fontId="67" fillId="0" borderId="0" xfId="0" applyFont="1" applyAlignment="1">
      <alignment horizontal="center" wrapText="1"/>
    </xf>
    <xf numFmtId="0" fontId="67" fillId="0" borderId="8" xfId="0" applyFont="1" applyBorder="1" applyAlignment="1">
      <alignment horizontal="center" wrapText="1"/>
    </xf>
    <xf numFmtId="0" fontId="67" fillId="0" borderId="9" xfId="0" applyFont="1" applyBorder="1" applyAlignment="1">
      <alignment horizontal="center" wrapText="1"/>
    </xf>
    <xf numFmtId="0" fontId="67" fillId="0" borderId="11" xfId="0" applyFont="1" applyBorder="1" applyAlignment="1">
      <alignment horizontal="center" wrapText="1"/>
    </xf>
    <xf numFmtId="0" fontId="67" fillId="0" borderId="10" xfId="0" applyFont="1" applyBorder="1" applyAlignment="1">
      <alignment horizontal="center" wrapText="1"/>
    </xf>
    <xf numFmtId="0" fontId="16" fillId="10" borderId="0" xfId="0" applyFont="1" applyFill="1" applyAlignment="1">
      <alignment horizontal="center" vertical="center" textRotation="90" wrapText="1" readingOrder="1"/>
    </xf>
    <xf numFmtId="0" fontId="16" fillId="10" borderId="8" xfId="0" applyFont="1" applyFill="1" applyBorder="1" applyAlignment="1">
      <alignment horizontal="center" vertical="center" textRotation="90"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3" borderId="13" xfId="0" applyFont="1" applyFill="1" applyBorder="1" applyAlignment="1">
      <alignment horizontal="center" vertical="center" wrapText="1" readingOrder="1"/>
    </xf>
    <xf numFmtId="0" fontId="19" fillId="13" borderId="14" xfId="0" applyFont="1" applyFill="1" applyBorder="1" applyAlignment="1">
      <alignment horizontal="center" vertical="center" wrapText="1" readingOrder="1"/>
    </xf>
    <xf numFmtId="0" fontId="19" fillId="13" borderId="15" xfId="0" applyFont="1" applyFill="1" applyBorder="1" applyAlignment="1">
      <alignment horizontal="center" vertical="center" wrapText="1" readingOrder="1"/>
    </xf>
    <xf numFmtId="0" fontId="19" fillId="13" borderId="16" xfId="0" applyFont="1" applyFill="1" applyBorder="1" applyAlignment="1">
      <alignment horizontal="center" vertical="center" wrapText="1" readingOrder="1"/>
    </xf>
    <xf numFmtId="0" fontId="19" fillId="13" borderId="0" xfId="0" applyFont="1" applyFill="1" applyAlignment="1">
      <alignment horizontal="center" vertical="center" wrapText="1" readingOrder="1"/>
    </xf>
    <xf numFmtId="0" fontId="19" fillId="13" borderId="17" xfId="0" applyFont="1" applyFill="1" applyBorder="1" applyAlignment="1">
      <alignment horizontal="center" vertical="center" wrapText="1" readingOrder="1"/>
    </xf>
    <xf numFmtId="0" fontId="19" fillId="13" borderId="18" xfId="0" applyFont="1" applyFill="1" applyBorder="1" applyAlignment="1">
      <alignment horizontal="center" vertical="center" wrapText="1" readingOrder="1"/>
    </xf>
    <xf numFmtId="0" fontId="19" fillId="13" borderId="19" xfId="0" applyFont="1" applyFill="1" applyBorder="1" applyAlignment="1">
      <alignment horizontal="center" vertical="center" wrapText="1" readingOrder="1"/>
    </xf>
    <xf numFmtId="0" fontId="19" fillId="13" borderId="20" xfId="0" applyFont="1" applyFill="1" applyBorder="1" applyAlignment="1">
      <alignment horizontal="center" vertical="center" wrapText="1" readingOrder="1"/>
    </xf>
    <xf numFmtId="0" fontId="19" fillId="5" borderId="13" xfId="0" applyFont="1" applyFill="1" applyBorder="1" applyAlignment="1">
      <alignment horizontal="center" vertical="center" wrapText="1" readingOrder="1"/>
    </xf>
    <xf numFmtId="0" fontId="19" fillId="5" borderId="14" xfId="0" applyFont="1" applyFill="1" applyBorder="1" applyAlignment="1">
      <alignment horizontal="center" vertical="center" wrapText="1" readingOrder="1"/>
    </xf>
    <xf numFmtId="0" fontId="19" fillId="5" borderId="15" xfId="0" applyFont="1" applyFill="1" applyBorder="1" applyAlignment="1">
      <alignment horizontal="center" vertical="center" wrapText="1" readingOrder="1"/>
    </xf>
    <xf numFmtId="0" fontId="19" fillId="5" borderId="16" xfId="0" applyFont="1" applyFill="1" applyBorder="1" applyAlignment="1">
      <alignment horizontal="center" vertical="center" wrapText="1" readingOrder="1"/>
    </xf>
    <xf numFmtId="0" fontId="19" fillId="5" borderId="0" xfId="0" applyFont="1" applyFill="1" applyAlignment="1">
      <alignment horizontal="center" vertical="center" wrapText="1" readingOrder="1"/>
    </xf>
    <xf numFmtId="0" fontId="19" fillId="5" borderId="17" xfId="0" applyFont="1" applyFill="1" applyBorder="1" applyAlignment="1">
      <alignment horizontal="center" vertical="center" wrapText="1" readingOrder="1"/>
    </xf>
    <xf numFmtId="0" fontId="19" fillId="5" borderId="18" xfId="0" applyFont="1" applyFill="1" applyBorder="1" applyAlignment="1">
      <alignment horizontal="center" vertical="center" wrapText="1" readingOrder="1"/>
    </xf>
    <xf numFmtId="0" fontId="19" fillId="5" borderId="19" xfId="0" applyFont="1" applyFill="1" applyBorder="1" applyAlignment="1">
      <alignment horizontal="center" vertical="center" wrapText="1" readingOrder="1"/>
    </xf>
    <xf numFmtId="0" fontId="19" fillId="5" borderId="20" xfId="0" applyFont="1" applyFill="1" applyBorder="1" applyAlignment="1">
      <alignment horizontal="center" vertical="center" wrapText="1" readingOrder="1"/>
    </xf>
    <xf numFmtId="0" fontId="15" fillId="0" borderId="5" xfId="0" applyFont="1" applyBorder="1" applyAlignment="1">
      <alignment horizontal="center" vertical="center" wrapText="1"/>
    </xf>
    <xf numFmtId="0" fontId="15" fillId="0" borderId="12"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6" fillId="25" borderId="0" xfId="0" applyFont="1" applyFill="1" applyAlignment="1">
      <alignment horizontal="center" vertical="center" wrapText="1" readingOrder="1"/>
    </xf>
    <xf numFmtId="0" fontId="18" fillId="11" borderId="0" xfId="0" applyFont="1" applyFill="1" applyAlignment="1" applyProtection="1">
      <alignment horizontal="center" vertical="center" wrapText="1" readingOrder="1"/>
      <protection hidden="1"/>
    </xf>
    <xf numFmtId="0" fontId="18" fillId="11" borderId="5" xfId="0" applyFont="1" applyFill="1" applyBorder="1" applyAlignment="1" applyProtection="1">
      <alignment horizontal="center" vertical="center" wrapText="1" readingOrder="1"/>
      <protection hidden="1"/>
    </xf>
    <xf numFmtId="0" fontId="18" fillId="11" borderId="12" xfId="0" applyFont="1" applyFill="1" applyBorder="1" applyAlignment="1" applyProtection="1">
      <alignment horizontal="center" vertical="center" wrapText="1" readingOrder="1"/>
      <protection hidden="1"/>
    </xf>
    <xf numFmtId="0" fontId="18" fillId="11" borderId="7" xfId="0" applyFont="1" applyFill="1" applyBorder="1" applyAlignment="1" applyProtection="1">
      <alignment horizontal="center" vertical="center" wrapText="1" readingOrder="1"/>
      <protection hidden="1"/>
    </xf>
    <xf numFmtId="0" fontId="15" fillId="0" borderId="7" xfId="0" applyFont="1" applyBorder="1" applyAlignment="1">
      <alignment horizontal="center" vertical="center" wrapText="1"/>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5" fillId="0" borderId="6" xfId="0" applyFont="1" applyBorder="1" applyAlignment="1">
      <alignment horizontal="center" vertical="center"/>
    </xf>
    <xf numFmtId="0" fontId="18" fillId="11" borderId="8" xfId="0" applyFont="1" applyFill="1" applyBorder="1" applyAlignment="1" applyProtection="1">
      <alignment horizontal="center" vertical="center" wrapText="1" readingOrder="1"/>
      <protection hidden="1"/>
    </xf>
    <xf numFmtId="0" fontId="18" fillId="11" borderId="11" xfId="0" applyFont="1" applyFill="1" applyBorder="1" applyAlignment="1" applyProtection="1">
      <alignment horizontal="center" vertical="center" wrapText="1" readingOrder="1"/>
      <protection hidden="1"/>
    </xf>
    <xf numFmtId="0" fontId="18" fillId="11" borderId="10" xfId="0" applyFont="1" applyFill="1" applyBorder="1" applyAlignment="1" applyProtection="1">
      <alignment horizontal="center" vertical="center" wrapText="1" readingOrder="1"/>
      <protection hidden="1"/>
    </xf>
    <xf numFmtId="0" fontId="18" fillId="13" borderId="7" xfId="0" applyFont="1" applyFill="1" applyBorder="1" applyAlignment="1" applyProtection="1">
      <alignment horizontal="center" wrapText="1" readingOrder="1"/>
      <protection hidden="1"/>
    </xf>
    <xf numFmtId="0" fontId="18" fillId="13" borderId="0" xfId="0" applyFont="1" applyFill="1" applyAlignment="1" applyProtection="1">
      <alignment horizontal="center" wrapText="1" readingOrder="1"/>
      <protection hidden="1"/>
    </xf>
    <xf numFmtId="0" fontId="15" fillId="0" borderId="12" xfId="0" applyFont="1" applyBorder="1" applyAlignment="1">
      <alignment horizontal="center" vertical="center" wrapText="1"/>
    </xf>
    <xf numFmtId="0" fontId="18" fillId="11" borderId="9" xfId="0" applyFont="1" applyFill="1" applyBorder="1" applyAlignment="1" applyProtection="1">
      <alignment horizontal="center" vertical="center" wrapText="1" readingOrder="1"/>
      <protection hidden="1"/>
    </xf>
    <xf numFmtId="0" fontId="18" fillId="11" borderId="6" xfId="0" applyFont="1" applyFill="1" applyBorder="1" applyAlignment="1" applyProtection="1">
      <alignment horizontal="center" vertic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3" borderId="8" xfId="0" applyFont="1" applyFill="1" applyBorder="1" applyAlignment="1" applyProtection="1">
      <alignment horizontal="center" wrapText="1" readingOrder="1"/>
      <protection hidden="1"/>
    </xf>
    <xf numFmtId="0" fontId="18" fillId="13" borderId="9" xfId="0" applyFont="1" applyFill="1" applyBorder="1" applyAlignment="1" applyProtection="1">
      <alignment horizontal="center" wrapText="1" readingOrder="1"/>
      <protection hidden="1"/>
    </xf>
    <xf numFmtId="0" fontId="18" fillId="13" borderId="11" xfId="0" applyFont="1" applyFill="1" applyBorder="1" applyAlignment="1" applyProtection="1">
      <alignment horizontal="center" wrapText="1" readingOrder="1"/>
      <protection hidden="1"/>
    </xf>
    <xf numFmtId="0" fontId="18" fillId="13" borderId="10" xfId="0" applyFont="1" applyFill="1" applyBorder="1" applyAlignment="1" applyProtection="1">
      <alignment horizontal="center" wrapText="1" readingOrder="1"/>
      <protection hidden="1"/>
    </xf>
    <xf numFmtId="0" fontId="18" fillId="13" borderId="5" xfId="0" applyFont="1" applyFill="1" applyBorder="1" applyAlignment="1" applyProtection="1">
      <alignment horizontal="center" wrapText="1" readingOrder="1"/>
      <protection hidden="1"/>
    </xf>
    <xf numFmtId="0" fontId="18" fillId="13" borderId="12" xfId="0" applyFont="1" applyFill="1" applyBorder="1" applyAlignment="1" applyProtection="1">
      <alignment horizontal="center" wrapText="1" readingOrder="1"/>
      <protection hidden="1"/>
    </xf>
    <xf numFmtId="0" fontId="18" fillId="13" borderId="6" xfId="0" applyFont="1" applyFill="1" applyBorder="1" applyAlignment="1" applyProtection="1">
      <alignment horizontal="center" wrapText="1" readingOrder="1"/>
      <protection hidden="1"/>
    </xf>
    <xf numFmtId="0" fontId="18" fillId="5" borderId="0" xfId="0" applyFont="1" applyFill="1" applyAlignment="1" applyProtection="1">
      <alignment horizontal="center" wrapText="1" readingOrder="1"/>
      <protection hidden="1"/>
    </xf>
    <xf numFmtId="0" fontId="18" fillId="5" borderId="8" xfId="0" applyFont="1" applyFill="1" applyBorder="1" applyAlignment="1" applyProtection="1">
      <alignment horizontal="center" wrapText="1" readingOrder="1"/>
      <protection hidden="1"/>
    </xf>
    <xf numFmtId="0" fontId="18" fillId="5" borderId="7" xfId="0" applyFont="1" applyFill="1" applyBorder="1" applyAlignment="1" applyProtection="1">
      <alignment horizontal="center" wrapText="1" readingOrder="1"/>
      <protection hidden="1"/>
    </xf>
    <xf numFmtId="0" fontId="18" fillId="5" borderId="9" xfId="0" applyFont="1" applyFill="1" applyBorder="1" applyAlignment="1" applyProtection="1">
      <alignment horizontal="center" wrapText="1" readingOrder="1"/>
      <protection hidden="1"/>
    </xf>
    <xf numFmtId="0" fontId="18" fillId="5" borderId="11" xfId="0" applyFont="1" applyFill="1" applyBorder="1" applyAlignment="1" applyProtection="1">
      <alignment horizontal="center" wrapText="1" readingOrder="1"/>
      <protection hidden="1"/>
    </xf>
    <xf numFmtId="0" fontId="18" fillId="5" borderId="10" xfId="0" applyFont="1" applyFill="1" applyBorder="1" applyAlignment="1" applyProtection="1">
      <alignment horizontal="center" wrapText="1" readingOrder="1"/>
      <protection hidden="1"/>
    </xf>
    <xf numFmtId="0" fontId="18" fillId="5" borderId="5" xfId="0" applyFont="1" applyFill="1" applyBorder="1" applyAlignment="1" applyProtection="1">
      <alignment horizontal="center" wrapText="1" readingOrder="1"/>
      <protection hidden="1"/>
    </xf>
    <xf numFmtId="0" fontId="18" fillId="5" borderId="12" xfId="0" applyFont="1" applyFill="1" applyBorder="1" applyAlignment="1" applyProtection="1">
      <alignment horizontal="center" wrapText="1" readingOrder="1"/>
      <protection hidden="1"/>
    </xf>
    <xf numFmtId="0" fontId="18" fillId="5" borderId="6" xfId="0" applyFont="1" applyFill="1" applyBorder="1" applyAlignment="1" applyProtection="1">
      <alignment horizontal="center" wrapText="1" readingOrder="1"/>
      <protection hidden="1"/>
    </xf>
    <xf numFmtId="0" fontId="22" fillId="0" borderId="0" xfId="0" applyFont="1" applyAlignment="1">
      <alignment horizontal="center" vertical="center" wrapText="1"/>
    </xf>
    <xf numFmtId="0" fontId="39" fillId="0" borderId="5" xfId="0" applyFont="1" applyBorder="1" applyAlignment="1">
      <alignment horizontal="center" vertical="center" wrapText="1"/>
    </xf>
    <xf numFmtId="0" fontId="39" fillId="0" borderId="12"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0" xfId="0" applyFont="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8" fillId="11" borderId="13" xfId="0" applyFont="1" applyFill="1" applyBorder="1" applyAlignment="1">
      <alignment horizontal="center" vertical="center" wrapText="1" readingOrder="1"/>
    </xf>
    <xf numFmtId="0" fontId="38" fillId="11" borderId="14" xfId="0" applyFont="1" applyFill="1" applyBorder="1" applyAlignment="1">
      <alignment horizontal="center" vertical="center" wrapText="1" readingOrder="1"/>
    </xf>
    <xf numFmtId="0" fontId="38" fillId="11" borderId="15" xfId="0" applyFont="1" applyFill="1" applyBorder="1" applyAlignment="1">
      <alignment horizontal="center" vertical="center" wrapText="1" readingOrder="1"/>
    </xf>
    <xf numFmtId="0" fontId="38" fillId="11" borderId="16" xfId="0" applyFont="1" applyFill="1" applyBorder="1" applyAlignment="1">
      <alignment horizontal="center" vertical="center" wrapText="1" readingOrder="1"/>
    </xf>
    <xf numFmtId="0" fontId="38" fillId="11" borderId="0" xfId="0" applyFont="1" applyFill="1" applyAlignment="1">
      <alignment horizontal="center" vertical="center" wrapText="1" readingOrder="1"/>
    </xf>
    <xf numFmtId="0" fontId="38" fillId="11" borderId="17" xfId="0" applyFont="1" applyFill="1" applyBorder="1" applyAlignment="1">
      <alignment horizontal="center" vertical="center" wrapText="1" readingOrder="1"/>
    </xf>
    <xf numFmtId="0" fontId="38" fillId="11" borderId="18" xfId="0" applyFont="1" applyFill="1" applyBorder="1" applyAlignment="1">
      <alignment horizontal="center" vertical="center" wrapText="1" readingOrder="1"/>
    </xf>
    <xf numFmtId="0" fontId="38" fillId="11" borderId="19" xfId="0" applyFont="1" applyFill="1" applyBorder="1" applyAlignment="1">
      <alignment horizontal="center" vertical="center" wrapText="1" readingOrder="1"/>
    </xf>
    <xf numFmtId="0" fontId="38" fillId="11" borderId="20" xfId="0" applyFont="1" applyFill="1" applyBorder="1" applyAlignment="1">
      <alignment horizontal="center" vertical="center" wrapText="1" readingOrder="1"/>
    </xf>
    <xf numFmtId="0" fontId="39" fillId="0" borderId="7" xfId="0" applyFont="1" applyBorder="1" applyAlignment="1">
      <alignment horizontal="center" vertical="center" wrapText="1"/>
    </xf>
    <xf numFmtId="0" fontId="38" fillId="12" borderId="13" xfId="0" applyFont="1" applyFill="1" applyBorder="1" applyAlignment="1">
      <alignment horizontal="center" vertical="center" wrapText="1" readingOrder="1"/>
    </xf>
    <xf numFmtId="0" fontId="38" fillId="12" borderId="14" xfId="0" applyFont="1" applyFill="1" applyBorder="1" applyAlignment="1">
      <alignment horizontal="center" vertical="center" wrapText="1" readingOrder="1"/>
    </xf>
    <xf numFmtId="0" fontId="38" fillId="12" borderId="15" xfId="0" applyFont="1" applyFill="1" applyBorder="1" applyAlignment="1">
      <alignment horizontal="center" vertical="center" wrapText="1" readingOrder="1"/>
    </xf>
    <xf numFmtId="0" fontId="38" fillId="12" borderId="16" xfId="0" applyFont="1" applyFill="1" applyBorder="1" applyAlignment="1">
      <alignment horizontal="center" vertical="center" wrapText="1" readingOrder="1"/>
    </xf>
    <xf numFmtId="0" fontId="38" fillId="12" borderId="0" xfId="0" applyFont="1" applyFill="1" applyAlignment="1">
      <alignment horizontal="center" vertical="center" wrapText="1" readingOrder="1"/>
    </xf>
    <xf numFmtId="0" fontId="38" fillId="12" borderId="17" xfId="0" applyFont="1" applyFill="1" applyBorder="1" applyAlignment="1">
      <alignment horizontal="center" vertical="center" wrapText="1" readingOrder="1"/>
    </xf>
    <xf numFmtId="0" fontId="38" fillId="12" borderId="18" xfId="0" applyFont="1" applyFill="1" applyBorder="1" applyAlignment="1">
      <alignment horizontal="center" vertical="center" wrapText="1" readingOrder="1"/>
    </xf>
    <xf numFmtId="0" fontId="38" fillId="12" borderId="19" xfId="0" applyFont="1" applyFill="1" applyBorder="1" applyAlignment="1">
      <alignment horizontal="center" vertical="center" wrapText="1" readingOrder="1"/>
    </xf>
    <xf numFmtId="0" fontId="38" fillId="12" borderId="20" xfId="0" applyFont="1" applyFill="1" applyBorder="1" applyAlignment="1">
      <alignment horizontal="center" vertical="center" wrapText="1" readingOrder="1"/>
    </xf>
    <xf numFmtId="0" fontId="37" fillId="0" borderId="0" xfId="0" applyFont="1" applyAlignment="1">
      <alignment horizontal="center" vertical="center" wrapText="1"/>
    </xf>
    <xf numFmtId="0" fontId="20" fillId="0" borderId="0" xfId="0" applyFont="1" applyAlignment="1">
      <alignment horizontal="center" vertical="center" wrapText="1"/>
    </xf>
    <xf numFmtId="0" fontId="16" fillId="10" borderId="0" xfId="0" applyFont="1" applyFill="1" applyAlignment="1">
      <alignment horizontal="center" vertical="center" wrapText="1" readingOrder="1"/>
    </xf>
    <xf numFmtId="0" fontId="38" fillId="5" borderId="13" xfId="0" applyFont="1" applyFill="1" applyBorder="1" applyAlignment="1">
      <alignment horizontal="center" vertical="center" wrapText="1" readingOrder="1"/>
    </xf>
    <xf numFmtId="0" fontId="38" fillId="5" borderId="14" xfId="0" applyFont="1" applyFill="1" applyBorder="1" applyAlignment="1">
      <alignment horizontal="center" vertical="center" wrapText="1" readingOrder="1"/>
    </xf>
    <xf numFmtId="0" fontId="38" fillId="5" borderId="15" xfId="0" applyFont="1" applyFill="1" applyBorder="1" applyAlignment="1">
      <alignment horizontal="center" vertical="center" wrapText="1" readingOrder="1"/>
    </xf>
    <xf numFmtId="0" fontId="38" fillId="5" borderId="16" xfId="0" applyFont="1" applyFill="1" applyBorder="1" applyAlignment="1">
      <alignment horizontal="center" vertical="center" wrapText="1" readingOrder="1"/>
    </xf>
    <xf numFmtId="0" fontId="38" fillId="5" borderId="0" xfId="0" applyFont="1" applyFill="1" applyAlignment="1">
      <alignment horizontal="center" vertical="center" wrapText="1" readingOrder="1"/>
    </xf>
    <xf numFmtId="0" fontId="38" fillId="5" borderId="17" xfId="0" applyFont="1" applyFill="1" applyBorder="1" applyAlignment="1">
      <alignment horizontal="center" vertical="center" wrapText="1" readingOrder="1"/>
    </xf>
    <xf numFmtId="0" fontId="38" fillId="5" borderId="18" xfId="0" applyFont="1" applyFill="1" applyBorder="1" applyAlignment="1">
      <alignment horizontal="center" vertical="center" wrapText="1" readingOrder="1"/>
    </xf>
    <xf numFmtId="0" fontId="38" fillId="5" borderId="19" xfId="0" applyFont="1" applyFill="1" applyBorder="1" applyAlignment="1">
      <alignment horizontal="center" vertical="center" wrapText="1" readingOrder="1"/>
    </xf>
    <xf numFmtId="0" fontId="38" fillId="5" borderId="20" xfId="0" applyFont="1" applyFill="1" applyBorder="1" applyAlignment="1">
      <alignment horizontal="center" vertical="center" wrapText="1" readingOrder="1"/>
    </xf>
    <xf numFmtId="0" fontId="38" fillId="13" borderId="13" xfId="0" applyFont="1" applyFill="1" applyBorder="1" applyAlignment="1">
      <alignment horizontal="center" vertical="center" wrapText="1" readingOrder="1"/>
    </xf>
    <xf numFmtId="0" fontId="38" fillId="13" borderId="14" xfId="0" applyFont="1" applyFill="1" applyBorder="1" applyAlignment="1">
      <alignment horizontal="center" vertical="center" wrapText="1" readingOrder="1"/>
    </xf>
    <xf numFmtId="0" fontId="38" fillId="13" borderId="15" xfId="0" applyFont="1" applyFill="1" applyBorder="1" applyAlignment="1">
      <alignment horizontal="center" vertical="center" wrapText="1" readingOrder="1"/>
    </xf>
    <xf numFmtId="0" fontId="38" fillId="13" borderId="16" xfId="0" applyFont="1" applyFill="1" applyBorder="1" applyAlignment="1">
      <alignment horizontal="center" vertical="center" wrapText="1" readingOrder="1"/>
    </xf>
    <xf numFmtId="0" fontId="38" fillId="13" borderId="0" xfId="0" applyFont="1" applyFill="1" applyAlignment="1">
      <alignment horizontal="center" vertical="center" wrapText="1" readingOrder="1"/>
    </xf>
    <xf numFmtId="0" fontId="38" fillId="13" borderId="17" xfId="0" applyFont="1" applyFill="1" applyBorder="1" applyAlignment="1">
      <alignment horizontal="center" vertical="center" wrapText="1" readingOrder="1"/>
    </xf>
    <xf numFmtId="0" fontId="38" fillId="13" borderId="18" xfId="0" applyFont="1" applyFill="1" applyBorder="1" applyAlignment="1">
      <alignment horizontal="center" vertical="center" wrapText="1" readingOrder="1"/>
    </xf>
    <xf numFmtId="0" fontId="38" fillId="13" borderId="19" xfId="0" applyFont="1" applyFill="1" applyBorder="1" applyAlignment="1">
      <alignment horizontal="center" vertical="center" wrapText="1" readingOrder="1"/>
    </xf>
    <xf numFmtId="0" fontId="38" fillId="13" borderId="20" xfId="0" applyFont="1" applyFill="1" applyBorder="1" applyAlignment="1">
      <alignment horizontal="center" vertical="center" wrapText="1" readingOrder="1"/>
    </xf>
    <xf numFmtId="0" fontId="61" fillId="0" borderId="0" xfId="0" applyFont="1" applyAlignment="1">
      <alignment horizontal="center"/>
    </xf>
    <xf numFmtId="0" fontId="39" fillId="0" borderId="12" xfId="0" applyFont="1" applyBorder="1" applyAlignment="1">
      <alignment horizontal="center" vertical="center" wrapText="1"/>
    </xf>
    <xf numFmtId="0" fontId="62" fillId="0" borderId="95" xfId="0" applyFont="1" applyBorder="1" applyAlignment="1">
      <alignment horizontal="center" wrapText="1"/>
    </xf>
    <xf numFmtId="0" fontId="66" fillId="0" borderId="86" xfId="0" applyFont="1" applyBorder="1" applyAlignment="1">
      <alignment horizontal="center" wrapText="1"/>
    </xf>
    <xf numFmtId="0" fontId="66" fillId="0" borderId="97" xfId="0" applyFont="1" applyBorder="1" applyAlignment="1">
      <alignment horizontal="center" wrapText="1"/>
    </xf>
    <xf numFmtId="0" fontId="64" fillId="0" borderId="5" xfId="0" applyFont="1" applyBorder="1" applyAlignment="1">
      <alignment horizontal="center" vertical="center" wrapText="1"/>
    </xf>
    <xf numFmtId="0" fontId="64" fillId="0" borderId="7" xfId="0" applyFont="1" applyBorder="1" applyAlignment="1">
      <alignment horizontal="center" vertical="center" wrapText="1"/>
    </xf>
    <xf numFmtId="0" fontId="64" fillId="0" borderId="9" xfId="0" applyFont="1" applyBorder="1" applyAlignment="1">
      <alignment horizontal="center" vertical="center" wrapText="1"/>
    </xf>
    <xf numFmtId="0" fontId="76" fillId="17" borderId="87" xfId="0" applyFont="1" applyFill="1" applyBorder="1" applyAlignment="1">
      <alignment horizontal="center" vertical="center" textRotation="90"/>
    </xf>
    <xf numFmtId="0" fontId="51" fillId="3" borderId="52" xfId="2" applyFont="1" applyFill="1" applyBorder="1" applyAlignment="1">
      <alignment horizontal="justify" vertical="center" wrapText="1"/>
    </xf>
    <xf numFmtId="0" fontId="51" fillId="3" borderId="53" xfId="2" applyFont="1" applyFill="1" applyBorder="1" applyAlignment="1">
      <alignment horizontal="justify" vertical="center" wrapText="1"/>
    </xf>
    <xf numFmtId="0" fontId="50" fillId="3" borderId="59" xfId="0" applyFont="1" applyFill="1" applyBorder="1" applyAlignment="1">
      <alignment horizontal="left" vertical="center" wrapText="1"/>
    </xf>
    <xf numFmtId="0" fontId="50" fillId="3" borderId="60" xfId="0" applyFont="1" applyFill="1" applyBorder="1" applyAlignment="1">
      <alignment horizontal="left" vertical="center" wrapText="1"/>
    </xf>
    <xf numFmtId="0" fontId="50" fillId="3" borderId="46" xfId="3" applyFont="1" applyFill="1" applyBorder="1" applyAlignment="1">
      <alignment horizontal="left" vertical="top" wrapText="1" readingOrder="1"/>
    </xf>
    <xf numFmtId="0" fontId="50" fillId="3" borderId="47" xfId="3" applyFont="1" applyFill="1" applyBorder="1" applyAlignment="1">
      <alignment horizontal="left" vertical="top" wrapText="1" readingOrder="1"/>
    </xf>
    <xf numFmtId="0" fontId="51" fillId="3" borderId="48" xfId="2" applyFont="1" applyFill="1" applyBorder="1" applyAlignment="1">
      <alignment horizontal="justify" vertical="center" wrapText="1"/>
    </xf>
    <xf numFmtId="0" fontId="51" fillId="3" borderId="49" xfId="2" applyFont="1" applyFill="1" applyBorder="1" applyAlignment="1">
      <alignment horizontal="justify" vertical="center" wrapText="1"/>
    </xf>
    <xf numFmtId="0" fontId="50" fillId="3" borderId="50" xfId="0" applyFont="1" applyFill="1" applyBorder="1" applyAlignment="1">
      <alignment horizontal="left" vertical="center" wrapText="1"/>
    </xf>
    <xf numFmtId="0" fontId="50" fillId="3" borderId="51" xfId="0" applyFont="1" applyFill="1" applyBorder="1" applyAlignment="1">
      <alignment horizontal="left" vertical="center" wrapText="1"/>
    </xf>
    <xf numFmtId="0" fontId="45" fillId="3" borderId="7" xfId="2" applyFont="1" applyFill="1" applyBorder="1" applyAlignment="1">
      <alignment horizontal="left" vertical="top" wrapText="1"/>
    </xf>
    <xf numFmtId="0" fontId="45" fillId="3" borderId="0" xfId="2" applyFont="1" applyFill="1" applyAlignment="1">
      <alignment horizontal="left" vertical="top" wrapText="1"/>
    </xf>
    <xf numFmtId="0" fontId="45" fillId="3" borderId="8" xfId="2" applyFont="1" applyFill="1" applyBorder="1" applyAlignment="1">
      <alignment horizontal="left" vertical="top" wrapText="1"/>
    </xf>
    <xf numFmtId="0" fontId="50" fillId="3" borderId="61" xfId="0" applyFont="1" applyFill="1" applyBorder="1" applyAlignment="1">
      <alignment horizontal="left" vertical="center" wrapText="1"/>
    </xf>
    <xf numFmtId="0" fontId="50" fillId="3" borderId="62" xfId="0" applyFont="1" applyFill="1" applyBorder="1" applyAlignment="1">
      <alignment horizontal="left" vertical="center" wrapText="1"/>
    </xf>
    <xf numFmtId="0" fontId="51" fillId="3" borderId="54" xfId="0" applyFont="1" applyFill="1" applyBorder="1" applyAlignment="1">
      <alignment horizontal="justify" vertical="center" wrapText="1"/>
    </xf>
    <xf numFmtId="0" fontId="51" fillId="3" borderId="55" xfId="0" applyFont="1" applyFill="1" applyBorder="1" applyAlignment="1">
      <alignment horizontal="justify" vertical="center" wrapText="1"/>
    </xf>
    <xf numFmtId="0" fontId="46" fillId="14" borderId="36" xfId="2" applyFont="1" applyFill="1" applyBorder="1" applyAlignment="1">
      <alignment horizontal="center" vertical="center" wrapText="1"/>
    </xf>
    <xf numFmtId="0" fontId="46" fillId="14" borderId="37" xfId="2" applyFont="1" applyFill="1" applyBorder="1" applyAlignment="1">
      <alignment horizontal="center" vertical="center" wrapText="1"/>
    </xf>
    <xf numFmtId="0" fontId="46" fillId="14" borderId="38" xfId="2" applyFont="1" applyFill="1" applyBorder="1" applyAlignment="1">
      <alignment horizontal="center" vertical="center" wrapText="1"/>
    </xf>
    <xf numFmtId="0" fontId="45" fillId="0" borderId="7" xfId="2" quotePrefix="1" applyFont="1" applyBorder="1" applyAlignment="1">
      <alignment horizontal="left" vertical="center" wrapText="1"/>
    </xf>
    <xf numFmtId="0" fontId="45" fillId="0" borderId="0" xfId="2" quotePrefix="1" applyFont="1" applyAlignment="1">
      <alignment horizontal="left" vertical="center" wrapText="1"/>
    </xf>
    <xf numFmtId="0" fontId="45" fillId="0" borderId="8" xfId="2" quotePrefix="1" applyFont="1" applyBorder="1" applyAlignment="1">
      <alignment horizontal="left" vertical="center" wrapText="1"/>
    </xf>
    <xf numFmtId="0" fontId="45" fillId="0" borderId="56" xfId="2" quotePrefix="1" applyFont="1" applyBorder="1" applyAlignment="1">
      <alignment horizontal="left" vertical="center" wrapText="1"/>
    </xf>
    <xf numFmtId="0" fontId="45" fillId="0" borderId="57" xfId="2" quotePrefix="1" applyFont="1" applyBorder="1" applyAlignment="1">
      <alignment horizontal="left" vertical="center" wrapText="1"/>
    </xf>
    <xf numFmtId="0" fontId="45" fillId="0" borderId="58" xfId="2" quotePrefix="1" applyFont="1" applyBorder="1" applyAlignment="1">
      <alignment horizontal="left" vertical="center" wrapText="1"/>
    </xf>
    <xf numFmtId="0" fontId="47" fillId="3" borderId="39" xfId="2" quotePrefix="1" applyFont="1" applyFill="1" applyBorder="1" applyAlignment="1">
      <alignment horizontal="left" vertical="top" wrapText="1"/>
    </xf>
    <xf numFmtId="0" fontId="48" fillId="3" borderId="40" xfId="2" quotePrefix="1" applyFont="1" applyFill="1" applyBorder="1" applyAlignment="1">
      <alignment horizontal="left" vertical="top" wrapText="1"/>
    </xf>
    <xf numFmtId="0" fontId="48" fillId="3" borderId="41" xfId="2" quotePrefix="1" applyFont="1" applyFill="1" applyBorder="1" applyAlignment="1">
      <alignment horizontal="left" vertical="top" wrapText="1"/>
    </xf>
    <xf numFmtId="0" fontId="45" fillId="0" borderId="7" xfId="2" quotePrefix="1" applyFont="1" applyBorder="1" applyAlignment="1">
      <alignment horizontal="left" vertical="top" wrapText="1"/>
    </xf>
    <xf numFmtId="0" fontId="45" fillId="0" borderId="0" xfId="2" quotePrefix="1" applyFont="1" applyAlignment="1">
      <alignment horizontal="left" vertical="top" wrapText="1"/>
    </xf>
    <xf numFmtId="0" fontId="45" fillId="0" borderId="8" xfId="2" quotePrefix="1" applyFont="1" applyBorder="1" applyAlignment="1">
      <alignment horizontal="left" vertical="top" wrapText="1"/>
    </xf>
    <xf numFmtId="0" fontId="50" fillId="14" borderId="42" xfId="3" applyFont="1" applyFill="1" applyBorder="1" applyAlignment="1">
      <alignment horizontal="center" vertical="center" wrapText="1"/>
    </xf>
    <xf numFmtId="0" fontId="50" fillId="14" borderId="43" xfId="3" applyFont="1" applyFill="1" applyBorder="1" applyAlignment="1">
      <alignment horizontal="center" vertical="center" wrapText="1"/>
    </xf>
    <xf numFmtId="0" fontId="50" fillId="14" borderId="44" xfId="2" applyFont="1" applyFill="1" applyBorder="1" applyAlignment="1">
      <alignment horizontal="center" vertical="center"/>
    </xf>
    <xf numFmtId="0" fontId="50" fillId="14" borderId="45" xfId="2" applyFont="1" applyFill="1" applyBorder="1" applyAlignment="1">
      <alignment horizontal="center" vertical="center"/>
    </xf>
    <xf numFmtId="0" fontId="1" fillId="3" borderId="56" xfId="2" quotePrefix="1" applyFont="1" applyFill="1" applyBorder="1" applyAlignment="1">
      <alignment horizontal="justify" vertical="center" wrapText="1"/>
    </xf>
    <xf numFmtId="0" fontId="1" fillId="3" borderId="57" xfId="2" quotePrefix="1" applyFont="1" applyFill="1" applyBorder="1" applyAlignment="1">
      <alignment horizontal="justify" vertical="center" wrapText="1"/>
    </xf>
    <xf numFmtId="0" fontId="1" fillId="3" borderId="58" xfId="2" quotePrefix="1" applyFont="1" applyFill="1" applyBorder="1" applyAlignment="1">
      <alignment horizontal="justify" vertical="center" wrapText="1"/>
    </xf>
    <xf numFmtId="164" fontId="65" fillId="0" borderId="23" xfId="0" applyNumberFormat="1" applyFont="1" applyBorder="1" applyAlignment="1">
      <alignment horizontal="center" vertical="center"/>
    </xf>
    <xf numFmtId="164" fontId="65" fillId="0" borderId="35" xfId="0" applyNumberFormat="1" applyFont="1" applyBorder="1" applyAlignment="1">
      <alignment horizontal="center" vertical="center"/>
    </xf>
    <xf numFmtId="0" fontId="65" fillId="0" borderId="81" xfId="0" applyFont="1" applyBorder="1" applyAlignment="1">
      <alignment horizontal="center" vertical="center" wrapText="1"/>
    </xf>
    <xf numFmtId="0" fontId="65" fillId="0" borderId="33" xfId="0" applyFont="1" applyBorder="1" applyAlignment="1">
      <alignment horizontal="center" vertical="center" wrapText="1"/>
    </xf>
    <xf numFmtId="0" fontId="65" fillId="0" borderId="33" xfId="0" applyFont="1" applyBorder="1" applyAlignment="1">
      <alignment horizontal="left" vertical="center" wrapText="1"/>
    </xf>
    <xf numFmtId="0" fontId="65" fillId="0" borderId="34" xfId="0" applyFont="1" applyBorder="1" applyAlignment="1">
      <alignment horizontal="left" vertical="center" wrapText="1"/>
    </xf>
    <xf numFmtId="0" fontId="75" fillId="0" borderId="0" xfId="0" applyFont="1" applyAlignment="1">
      <alignment horizontal="left" wrapText="1"/>
    </xf>
    <xf numFmtId="0" fontId="73" fillId="0" borderId="7" xfId="0" applyFont="1" applyBorder="1" applyAlignment="1">
      <alignment horizontal="center" vertical="center" wrapText="1"/>
    </xf>
    <xf numFmtId="0" fontId="74" fillId="0" borderId="0" xfId="0" applyFont="1" applyAlignment="1">
      <alignment horizontal="center" vertical="center" wrapText="1"/>
    </xf>
    <xf numFmtId="0" fontId="73" fillId="0" borderId="0" xfId="0" applyFont="1" applyAlignment="1">
      <alignment horizontal="center" vertical="center" wrapText="1"/>
    </xf>
    <xf numFmtId="0" fontId="73" fillId="0" borderId="8" xfId="0" applyFont="1" applyBorder="1" applyAlignment="1">
      <alignment horizontal="center" vertical="center" wrapText="1"/>
    </xf>
    <xf numFmtId="0" fontId="65" fillId="0" borderId="9" xfId="0" applyFont="1" applyBorder="1" applyAlignment="1">
      <alignment horizontal="center" vertical="center" wrapText="1"/>
    </xf>
    <xf numFmtId="0" fontId="65" fillId="0" borderId="11"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11" xfId="0" applyFont="1" applyBorder="1" applyAlignment="1">
      <alignment horizontal="center"/>
    </xf>
    <xf numFmtId="0" fontId="66" fillId="0" borderId="23"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71" fillId="0" borderId="0" xfId="0" applyFont="1" applyAlignment="1">
      <alignment horizontal="center" vertical="center"/>
    </xf>
    <xf numFmtId="0" fontId="72" fillId="16" borderId="82" xfId="0" applyFont="1" applyFill="1" applyBorder="1" applyAlignment="1">
      <alignment horizontal="center" vertical="center" wrapText="1"/>
    </xf>
    <xf numFmtId="0" fontId="72" fillId="16" borderId="83" xfId="0" applyFont="1" applyFill="1" applyBorder="1" applyAlignment="1">
      <alignment horizontal="center" vertical="center" wrapText="1"/>
    </xf>
    <xf numFmtId="0" fontId="72" fillId="16" borderId="84" xfId="0" applyFont="1" applyFill="1" applyBorder="1" applyAlignment="1">
      <alignment horizontal="center" vertical="center" wrapText="1"/>
    </xf>
    <xf numFmtId="0" fontId="72" fillId="16" borderId="5" xfId="0" applyFont="1" applyFill="1" applyBorder="1" applyAlignment="1">
      <alignment horizontal="center" vertical="center" wrapText="1"/>
    </xf>
    <xf numFmtId="0" fontId="72" fillId="16" borderId="12" xfId="0" applyFont="1" applyFill="1" applyBorder="1" applyAlignment="1">
      <alignment horizontal="center" vertical="center" wrapText="1"/>
    </xf>
    <xf numFmtId="0" fontId="72" fillId="16" borderId="6" xfId="0" applyFont="1" applyFill="1" applyBorder="1" applyAlignment="1">
      <alignment horizontal="center" vertical="center" wrapText="1"/>
    </xf>
    <xf numFmtId="0" fontId="72" fillId="16" borderId="75" xfId="0" applyFont="1" applyFill="1" applyBorder="1" applyAlignment="1">
      <alignment horizontal="center" vertical="center" wrapText="1"/>
    </xf>
    <xf numFmtId="0" fontId="72" fillId="16" borderId="76" xfId="0"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12" xfId="0" applyFont="1" applyBorder="1" applyAlignment="1">
      <alignment horizontal="center" vertical="center" wrapText="1"/>
    </xf>
    <xf numFmtId="0" fontId="65" fillId="0" borderId="12" xfId="0" applyFont="1" applyBorder="1" applyAlignment="1">
      <alignment horizontal="center"/>
    </xf>
    <xf numFmtId="0" fontId="65" fillId="0" borderId="6" xfId="0" applyFont="1" applyBorder="1" applyAlignment="1">
      <alignment horizontal="center"/>
    </xf>
    <xf numFmtId="0" fontId="70" fillId="16" borderId="32" xfId="0" applyFont="1" applyFill="1" applyBorder="1" applyAlignment="1">
      <alignment horizontal="center" vertical="center" wrapText="1"/>
    </xf>
    <xf numFmtId="0" fontId="70" fillId="16" borderId="33" xfId="0" applyFont="1" applyFill="1" applyBorder="1" applyAlignment="1">
      <alignment horizontal="center" vertical="center" wrapText="1"/>
    </xf>
    <xf numFmtId="0" fontId="70" fillId="16" borderId="80" xfId="0" applyFont="1" applyFill="1" applyBorder="1" applyAlignment="1">
      <alignment horizontal="center" vertical="center" wrapText="1"/>
    </xf>
    <xf numFmtId="0" fontId="70" fillId="16" borderId="81" xfId="0" applyFont="1" applyFill="1" applyBorder="1" applyAlignment="1">
      <alignment horizontal="center" vertical="center" wrapText="1"/>
    </xf>
    <xf numFmtId="0" fontId="70" fillId="16" borderId="24" xfId="0" applyFont="1" applyFill="1" applyBorder="1" applyAlignment="1">
      <alignment horizontal="center" vertical="center" wrapText="1"/>
    </xf>
    <xf numFmtId="0" fontId="70" fillId="16" borderId="35" xfId="0" applyFont="1" applyFill="1" applyBorder="1" applyAlignment="1">
      <alignment horizontal="center" vertical="center" wrapText="1"/>
    </xf>
    <xf numFmtId="0" fontId="67" fillId="0" borderId="69" xfId="0" applyFont="1" applyBorder="1" applyAlignment="1">
      <alignment horizontal="center" wrapText="1"/>
    </xf>
    <xf numFmtId="0" fontId="66" fillId="0" borderId="70" xfId="0" applyFont="1" applyBorder="1" applyAlignment="1">
      <alignment horizontal="center" wrapText="1"/>
    </xf>
    <xf numFmtId="0" fontId="66" fillId="0" borderId="73" xfId="0" applyFont="1" applyBorder="1" applyAlignment="1">
      <alignment horizontal="center" wrapText="1"/>
    </xf>
    <xf numFmtId="0" fontId="69" fillId="0" borderId="5" xfId="0" applyFont="1" applyBorder="1" applyAlignment="1">
      <alignment horizontal="center" vertical="center" wrapText="1"/>
    </xf>
    <xf numFmtId="0" fontId="69" fillId="0" borderId="12" xfId="0" applyFont="1" applyBorder="1" applyAlignment="1">
      <alignment horizontal="center" vertical="center" wrapText="1"/>
    </xf>
    <xf numFmtId="0" fontId="69" fillId="0" borderId="7" xfId="0" applyFont="1" applyBorder="1" applyAlignment="1">
      <alignment horizontal="center" vertical="center" wrapText="1"/>
    </xf>
    <xf numFmtId="0" fontId="69" fillId="0" borderId="0" xfId="0" applyFont="1" applyAlignment="1">
      <alignment horizontal="center" vertical="center" wrapText="1"/>
    </xf>
    <xf numFmtId="0" fontId="69" fillId="0" borderId="9" xfId="0" applyFont="1" applyBorder="1" applyAlignment="1">
      <alignment horizontal="center" vertical="center" wrapText="1"/>
    </xf>
    <xf numFmtId="0" fontId="69" fillId="0" borderId="11" xfId="0" applyFont="1" applyBorder="1" applyAlignment="1">
      <alignment horizontal="center" vertical="center" wrapText="1"/>
    </xf>
    <xf numFmtId="0" fontId="21" fillId="0" borderId="0" xfId="0" applyFont="1" applyAlignment="1">
      <alignment horizontal="center" vertical="center"/>
    </xf>
    <xf numFmtId="0" fontId="41" fillId="0" borderId="0" xfId="0" applyFont="1" applyAlignment="1">
      <alignment horizontal="center" vertical="center"/>
    </xf>
    <xf numFmtId="0" fontId="36" fillId="15" borderId="23" xfId="0" applyFont="1" applyFill="1" applyBorder="1" applyAlignment="1">
      <alignment horizontal="center" vertical="center" wrapText="1" readingOrder="1"/>
    </xf>
    <xf numFmtId="0" fontId="36" fillId="15" borderId="24" xfId="0" applyFont="1" applyFill="1" applyBorder="1" applyAlignment="1">
      <alignment horizontal="center" vertical="center" wrapText="1" readingOrder="1"/>
    </xf>
    <xf numFmtId="0" fontId="36" fillId="15" borderId="35" xfId="0" applyFont="1" applyFill="1" applyBorder="1" applyAlignment="1">
      <alignment horizontal="center" vertical="center" wrapText="1" readingOrder="1"/>
    </xf>
    <xf numFmtId="0" fontId="31" fillId="3" borderId="0" xfId="0" applyFont="1" applyFill="1" applyAlignment="1">
      <alignment horizontal="justify" vertical="center" wrapText="1"/>
    </xf>
    <xf numFmtId="0" fontId="33" fillId="15" borderId="32" xfId="0" applyFont="1" applyFill="1" applyBorder="1" applyAlignment="1">
      <alignment horizontal="center" vertical="center" wrapText="1" readingOrder="1"/>
    </xf>
    <xf numFmtId="0" fontId="33" fillId="15" borderId="33" xfId="0" applyFont="1" applyFill="1" applyBorder="1" applyAlignment="1">
      <alignment horizontal="center" vertical="center" wrapText="1" readingOrder="1"/>
    </xf>
    <xf numFmtId="0" fontId="33" fillId="3" borderId="30" xfId="0" applyFont="1" applyFill="1" applyBorder="1" applyAlignment="1">
      <alignment horizontal="center" vertical="center" wrapText="1" readingOrder="1"/>
    </xf>
    <xf numFmtId="0" fontId="33" fillId="3" borderId="25"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7"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cellXfs>
  <cellStyles count="6">
    <cellStyle name="Hipervínculo" xfId="5" builtinId="8"/>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6">
    <dxf>
      <font>
        <color theme="1"/>
      </font>
      <fill>
        <patternFill>
          <bgColor rgb="FF92D050"/>
        </patternFill>
      </fill>
    </dxf>
    <dxf>
      <font>
        <color auto="1"/>
      </font>
      <fill>
        <patternFill>
          <bgColor rgb="FFFFFF0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FF00"/>
        </patternFill>
      </fill>
    </dxf>
    <dxf>
      <fill>
        <patternFill>
          <bgColor rgb="FF00B050"/>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00CC66"/>
      <color rgb="FFB4B3B6"/>
      <color rgb="FF287840"/>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Mapa final'!A1"/><Relationship Id="rId7" Type="http://schemas.openxmlformats.org/officeDocument/2006/relationships/image" Target="../media/image2.svg"/><Relationship Id="rId2" Type="http://schemas.openxmlformats.org/officeDocument/2006/relationships/hyperlink" Target="#'Matriz Calor Residual'!A1"/><Relationship Id="rId1" Type="http://schemas.openxmlformats.org/officeDocument/2006/relationships/hyperlink" Target="#'CAMBIOS REGISTRO'!A1"/><Relationship Id="rId6" Type="http://schemas.openxmlformats.org/officeDocument/2006/relationships/image" Target="../media/image1.png"/><Relationship Id="rId5" Type="http://schemas.openxmlformats.org/officeDocument/2006/relationships/hyperlink" Target="#'CRITERIOS R CORRUPCION'!A1"/><Relationship Id="rId4" Type="http://schemas.openxmlformats.org/officeDocument/2006/relationships/hyperlink" Target="#'Matriz Calor Inherente'!A1"/></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ORTADA '!A1"/></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80211</xdr:colOff>
      <xdr:row>31</xdr:row>
      <xdr:rowOff>50132</xdr:rowOff>
    </xdr:from>
    <xdr:to>
      <xdr:col>13</xdr:col>
      <xdr:colOff>604086</xdr:colOff>
      <xdr:row>37</xdr:row>
      <xdr:rowOff>50132</xdr:rowOff>
    </xdr:to>
    <xdr:sp macro="" textlink="">
      <xdr:nvSpPr>
        <xdr:cNvPr id="3" name="Diagrama de flujo: multidocumento 2">
          <a:hlinkClick xmlns:r="http://schemas.openxmlformats.org/officeDocument/2006/relationships" r:id="rId1"/>
          <a:extLst>
            <a:ext uri="{FF2B5EF4-FFF2-40B4-BE49-F238E27FC236}">
              <a16:creationId xmlns:a16="http://schemas.microsoft.com/office/drawing/2014/main" id="{561EEA2B-EE45-474B-B261-C2F77FE53BED}"/>
            </a:ext>
            <a:ext uri="{147F2762-F138-4A5C-976F-8EAC2B608ADB}">
              <a16:predDERef xmlns:a16="http://schemas.microsoft.com/office/drawing/2014/main" pred="{A0CA84D1-D22B-4210-8FA4-F089CFE3202B}"/>
            </a:ext>
          </a:extLst>
        </xdr:cNvPr>
        <xdr:cNvSpPr/>
      </xdr:nvSpPr>
      <xdr:spPr>
        <a:xfrm>
          <a:off x="9314448" y="6035843"/>
          <a:ext cx="1285875" cy="1143000"/>
        </a:xfrm>
        <a:prstGeom prst="flowChartMultidocument">
          <a:avLst/>
        </a:prstGeom>
        <a:solidFill>
          <a:srgbClr val="28784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ctr"/>
          <a:r>
            <a:rPr lang="en-US" sz="1100" b="1" i="0" u="none" strike="noStrike">
              <a:solidFill>
                <a:schemeClr val="lt1"/>
              </a:solidFill>
              <a:latin typeface="Calibri" panose="020F0502020204030204" pitchFamily="34" charset="0"/>
              <a:cs typeface="Calibri" panose="020F0502020204030204" pitchFamily="34" charset="0"/>
            </a:rPr>
            <a:t>CONTROL DE CAMBIOS </a:t>
          </a:r>
        </a:p>
      </xdr:txBody>
    </xdr:sp>
    <xdr:clientData/>
  </xdr:twoCellAnchor>
  <xdr:twoCellAnchor>
    <xdr:from>
      <xdr:col>2</xdr:col>
      <xdr:colOff>280736</xdr:colOff>
      <xdr:row>8</xdr:row>
      <xdr:rowOff>130342</xdr:rowOff>
    </xdr:from>
    <xdr:to>
      <xdr:col>12</xdr:col>
      <xdr:colOff>601579</xdr:colOff>
      <xdr:row>28</xdr:row>
      <xdr:rowOff>40105</xdr:rowOff>
    </xdr:to>
    <xdr:grpSp>
      <xdr:nvGrpSpPr>
        <xdr:cNvPr id="4" name="Google Shape;6040;p62">
          <a:extLst>
            <a:ext uri="{FF2B5EF4-FFF2-40B4-BE49-F238E27FC236}">
              <a16:creationId xmlns:a16="http://schemas.microsoft.com/office/drawing/2014/main" id="{B3F5F72E-E959-4301-B587-7E1224BDEF5E}"/>
            </a:ext>
          </a:extLst>
        </xdr:cNvPr>
        <xdr:cNvGrpSpPr/>
      </xdr:nvGrpSpPr>
      <xdr:grpSpPr>
        <a:xfrm>
          <a:off x="1831473" y="1761289"/>
          <a:ext cx="9571790" cy="3920290"/>
          <a:chOff x="238125" y="1188750"/>
          <a:chExt cx="7140450" cy="3335550"/>
        </a:xfrm>
      </xdr:grpSpPr>
      <xdr:sp macro="" textlink="">
        <xdr:nvSpPr>
          <xdr:cNvPr id="5" name="Google Shape;6041;p62">
            <a:extLst>
              <a:ext uri="{FF2B5EF4-FFF2-40B4-BE49-F238E27FC236}">
                <a16:creationId xmlns:a16="http://schemas.microsoft.com/office/drawing/2014/main" id="{18AB30EA-3692-4E95-AC57-A61DDC3B62D6}"/>
              </a:ext>
            </a:extLst>
          </xdr:cNvPr>
          <xdr:cNvSpPr/>
        </xdr:nvSpPr>
        <xdr:spPr>
          <a:xfrm>
            <a:off x="238125" y="1188750"/>
            <a:ext cx="3507025" cy="1584000"/>
          </a:xfrm>
          <a:custGeom>
            <a:avLst/>
            <a:gdLst/>
            <a:ahLst/>
            <a:cxnLst/>
            <a:rect l="l" t="t" r="r" b="b"/>
            <a:pathLst>
              <a:path w="140281" h="63360" extrusionOk="0">
                <a:moveTo>
                  <a:pt x="4021" y="0"/>
                </a:moveTo>
                <a:cubicBezTo>
                  <a:pt x="1801" y="6"/>
                  <a:pt x="6" y="1801"/>
                  <a:pt x="0" y="4021"/>
                </a:cubicBezTo>
                <a:lnTo>
                  <a:pt x="0" y="59338"/>
                </a:lnTo>
                <a:cubicBezTo>
                  <a:pt x="6" y="61552"/>
                  <a:pt x="1801" y="63354"/>
                  <a:pt x="4021" y="63359"/>
                </a:cubicBezTo>
                <a:lnTo>
                  <a:pt x="98272" y="63359"/>
                </a:lnTo>
                <a:cubicBezTo>
                  <a:pt x="99963" y="41512"/>
                  <a:pt x="118098" y="24204"/>
                  <a:pt x="140280" y="23813"/>
                </a:cubicBezTo>
                <a:lnTo>
                  <a:pt x="140280" y="4021"/>
                </a:lnTo>
                <a:cubicBezTo>
                  <a:pt x="140275" y="1801"/>
                  <a:pt x="138474" y="6"/>
                  <a:pt x="136259"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CONTEXTO -</a:t>
            </a:r>
            <a:r>
              <a:rPr lang="es-MX" b="1" baseline="0">
                <a:solidFill>
                  <a:schemeClr val="bg1"/>
                </a:solidFill>
              </a:rPr>
              <a:t> DOFA</a:t>
            </a:r>
          </a:p>
          <a:p>
            <a:pPr marL="0" lvl="0" indent="0" algn="ctr" rtl="0">
              <a:spcBef>
                <a:spcPts val="0"/>
              </a:spcBef>
              <a:spcAft>
                <a:spcPts val="0"/>
              </a:spcAft>
              <a:buNone/>
            </a:pPr>
            <a:r>
              <a:rPr lang="es-MX" b="1" baseline="0">
                <a:solidFill>
                  <a:schemeClr val="bg1"/>
                </a:solidFill>
              </a:rPr>
              <a:t>(KAWAK)</a:t>
            </a:r>
            <a:endParaRPr b="1">
              <a:solidFill>
                <a:schemeClr val="bg1"/>
              </a:solidFill>
            </a:endParaRPr>
          </a:p>
        </xdr:txBody>
      </xdr:sp>
      <xdr:sp macro="" textlink="">
        <xdr:nvSpPr>
          <xdr:cNvPr id="6" name="Google Shape;6042;p62">
            <a:hlinkClick xmlns:r="http://schemas.openxmlformats.org/officeDocument/2006/relationships" r:id="rId2"/>
            <a:extLst>
              <a:ext uri="{FF2B5EF4-FFF2-40B4-BE49-F238E27FC236}">
                <a16:creationId xmlns:a16="http://schemas.microsoft.com/office/drawing/2014/main" id="{BD507546-1AC8-44E1-93E6-7187A5D8A960}"/>
              </a:ext>
            </a:extLst>
          </xdr:cNvPr>
          <xdr:cNvSpPr/>
        </xdr:nvSpPr>
        <xdr:spPr>
          <a:xfrm>
            <a:off x="238125" y="2940300"/>
            <a:ext cx="3507025" cy="1584000"/>
          </a:xfrm>
          <a:custGeom>
            <a:avLst/>
            <a:gdLst/>
            <a:ahLst/>
            <a:cxnLst/>
            <a:rect l="l" t="t" r="r" b="b"/>
            <a:pathLst>
              <a:path w="140281" h="63360" extrusionOk="0">
                <a:moveTo>
                  <a:pt x="4021" y="1"/>
                </a:moveTo>
                <a:cubicBezTo>
                  <a:pt x="1801" y="6"/>
                  <a:pt x="6" y="1808"/>
                  <a:pt x="0" y="4022"/>
                </a:cubicBezTo>
                <a:lnTo>
                  <a:pt x="0" y="59339"/>
                </a:lnTo>
                <a:cubicBezTo>
                  <a:pt x="6" y="61559"/>
                  <a:pt x="1801" y="63354"/>
                  <a:pt x="4021" y="63360"/>
                </a:cubicBezTo>
                <a:lnTo>
                  <a:pt x="136259" y="63360"/>
                </a:lnTo>
                <a:cubicBezTo>
                  <a:pt x="138474" y="63354"/>
                  <a:pt x="140275" y="61559"/>
                  <a:pt x="140280" y="59339"/>
                </a:cubicBezTo>
                <a:lnTo>
                  <a:pt x="140280" y="39547"/>
                </a:lnTo>
                <a:cubicBezTo>
                  <a:pt x="118098" y="39155"/>
                  <a:pt x="99963" y="21848"/>
                  <a:pt x="98272" y="1"/>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a:t>
            </a:r>
          </a:p>
          <a:p>
            <a:pPr algn="ctr"/>
            <a:r>
              <a:rPr lang="es-CO" sz="1400" b="1" i="0" u="none" strike="noStrike" cap="none">
                <a:solidFill>
                  <a:schemeClr val="bg1"/>
                </a:solidFill>
                <a:effectLst/>
                <a:latin typeface="Arial"/>
                <a:ea typeface="Arial"/>
                <a:cs typeface="Arial"/>
                <a:sym typeface="Arial"/>
              </a:rPr>
              <a:t> RESIDUAL</a:t>
            </a:r>
          </a:p>
          <a:p>
            <a:pPr marL="0" lvl="0" indent="0" algn="ctr" rtl="0">
              <a:spcBef>
                <a:spcPts val="0"/>
              </a:spcBef>
              <a:spcAft>
                <a:spcPts val="0"/>
              </a:spcAft>
              <a:buNone/>
            </a:pPr>
            <a:endParaRPr/>
          </a:p>
        </xdr:txBody>
      </xdr:sp>
      <xdr:sp macro="" textlink="">
        <xdr:nvSpPr>
          <xdr:cNvPr id="7" name="Google Shape;6043;p62">
            <a:hlinkClick xmlns:r="http://schemas.openxmlformats.org/officeDocument/2006/relationships" r:id="rId3"/>
            <a:extLst>
              <a:ext uri="{FF2B5EF4-FFF2-40B4-BE49-F238E27FC236}">
                <a16:creationId xmlns:a16="http://schemas.microsoft.com/office/drawing/2014/main" id="{B42689E8-C2D2-49B1-8850-0208BA377BE1}"/>
              </a:ext>
            </a:extLst>
          </xdr:cNvPr>
          <xdr:cNvSpPr/>
        </xdr:nvSpPr>
        <xdr:spPr>
          <a:xfrm>
            <a:off x="3871550" y="1188750"/>
            <a:ext cx="3507025" cy="1584000"/>
          </a:xfrm>
          <a:custGeom>
            <a:avLst/>
            <a:gdLst/>
            <a:ahLst/>
            <a:cxnLst/>
            <a:rect l="l" t="t" r="r" b="b"/>
            <a:pathLst>
              <a:path w="140281" h="63360" extrusionOk="0">
                <a:moveTo>
                  <a:pt x="4022" y="0"/>
                </a:moveTo>
                <a:cubicBezTo>
                  <a:pt x="1807" y="6"/>
                  <a:pt x="6" y="1801"/>
                  <a:pt x="0" y="4021"/>
                </a:cubicBezTo>
                <a:lnTo>
                  <a:pt x="0" y="24017"/>
                </a:lnTo>
                <a:cubicBezTo>
                  <a:pt x="20553" y="26066"/>
                  <a:pt x="36886" y="42675"/>
                  <a:pt x="38494" y="63359"/>
                </a:cubicBezTo>
                <a:lnTo>
                  <a:pt x="136260" y="63359"/>
                </a:lnTo>
                <a:cubicBezTo>
                  <a:pt x="138480" y="63354"/>
                  <a:pt x="140275" y="61552"/>
                  <a:pt x="140281" y="59338"/>
                </a:cubicBezTo>
                <a:lnTo>
                  <a:pt x="140281" y="4021"/>
                </a:lnTo>
                <a:cubicBezTo>
                  <a:pt x="140275" y="1801"/>
                  <a:pt x="138480" y="6"/>
                  <a:pt x="136260" y="0"/>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MAPA DE</a:t>
            </a:r>
            <a:r>
              <a:rPr lang="es-MX" b="1" baseline="0">
                <a:solidFill>
                  <a:schemeClr val="bg1"/>
                </a:solidFill>
              </a:rPr>
              <a:t> </a:t>
            </a:r>
            <a:r>
              <a:rPr lang="es-MX" b="1">
                <a:solidFill>
                  <a:schemeClr val="bg1"/>
                </a:solidFill>
              </a:rPr>
              <a:t>RIESGOS</a:t>
            </a:r>
            <a:r>
              <a:rPr lang="es-MX" b="1" baseline="0">
                <a:solidFill>
                  <a:schemeClr val="bg1"/>
                </a:solidFill>
              </a:rPr>
              <a:t>  </a:t>
            </a:r>
          </a:p>
          <a:p>
            <a:pPr marL="0" lvl="0" indent="0" algn="ctr" rtl="0">
              <a:spcBef>
                <a:spcPts val="0"/>
              </a:spcBef>
              <a:spcAft>
                <a:spcPts val="0"/>
              </a:spcAft>
              <a:buNone/>
            </a:pPr>
            <a:r>
              <a:rPr lang="es-MX" b="1" baseline="0">
                <a:solidFill>
                  <a:schemeClr val="bg1"/>
                </a:solidFill>
              </a:rPr>
              <a:t>DE PROCESO</a:t>
            </a:r>
            <a:endParaRPr b="1">
              <a:solidFill>
                <a:schemeClr val="bg1"/>
              </a:solidFill>
            </a:endParaRPr>
          </a:p>
        </xdr:txBody>
      </xdr:sp>
      <xdr:sp macro="" textlink="">
        <xdr:nvSpPr>
          <xdr:cNvPr id="8" name="Google Shape;6044;p62">
            <a:hlinkClick xmlns:r="http://schemas.openxmlformats.org/officeDocument/2006/relationships" r:id="rId4"/>
            <a:extLst>
              <a:ext uri="{FF2B5EF4-FFF2-40B4-BE49-F238E27FC236}">
                <a16:creationId xmlns:a16="http://schemas.microsoft.com/office/drawing/2014/main" id="{CDE12DC8-5FFF-4D49-BD61-EB6409C00729}"/>
              </a:ext>
            </a:extLst>
          </xdr:cNvPr>
          <xdr:cNvSpPr/>
        </xdr:nvSpPr>
        <xdr:spPr>
          <a:xfrm>
            <a:off x="3871550" y="2940300"/>
            <a:ext cx="3507025" cy="1584000"/>
          </a:xfrm>
          <a:custGeom>
            <a:avLst/>
            <a:gdLst/>
            <a:ahLst/>
            <a:cxnLst/>
            <a:rect l="l" t="t" r="r" b="b"/>
            <a:pathLst>
              <a:path w="140281" h="63360" extrusionOk="0">
                <a:moveTo>
                  <a:pt x="38494" y="1"/>
                </a:moveTo>
                <a:cubicBezTo>
                  <a:pt x="36886" y="20680"/>
                  <a:pt x="20553" y="37294"/>
                  <a:pt x="0" y="39343"/>
                </a:cubicBezTo>
                <a:lnTo>
                  <a:pt x="0" y="59339"/>
                </a:lnTo>
                <a:cubicBezTo>
                  <a:pt x="6" y="61559"/>
                  <a:pt x="1807" y="63354"/>
                  <a:pt x="4022" y="63360"/>
                </a:cubicBezTo>
                <a:lnTo>
                  <a:pt x="136260" y="63360"/>
                </a:lnTo>
                <a:cubicBezTo>
                  <a:pt x="138480" y="63354"/>
                  <a:pt x="140275" y="61559"/>
                  <a:pt x="140281" y="59339"/>
                </a:cubicBezTo>
                <a:lnTo>
                  <a:pt x="140281" y="4022"/>
                </a:lnTo>
                <a:cubicBezTo>
                  <a:pt x="140275" y="1808"/>
                  <a:pt x="138480" y="6"/>
                  <a:pt x="136260" y="1"/>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 </a:t>
            </a:r>
          </a:p>
          <a:p>
            <a:pPr algn="ctr"/>
            <a:r>
              <a:rPr lang="es-CO" sz="1400" b="1" i="0" u="none" strike="noStrike" cap="none">
                <a:solidFill>
                  <a:schemeClr val="bg1"/>
                </a:solidFill>
                <a:effectLst/>
                <a:latin typeface="Arial"/>
                <a:ea typeface="Arial"/>
                <a:cs typeface="Arial"/>
                <a:sym typeface="Arial"/>
              </a:rPr>
              <a:t>INHERENTE</a:t>
            </a:r>
          </a:p>
        </xdr:txBody>
      </xdr:sp>
      <xdr:sp macro="" textlink="">
        <xdr:nvSpPr>
          <xdr:cNvPr id="9" name="Google Shape;6045;p62">
            <a:extLst>
              <a:ext uri="{FF2B5EF4-FFF2-40B4-BE49-F238E27FC236}">
                <a16:creationId xmlns:a16="http://schemas.microsoft.com/office/drawing/2014/main" id="{4F08F53C-068E-4448-BD7A-AC4DC9C52EAA}"/>
              </a:ext>
            </a:extLst>
          </xdr:cNvPr>
          <xdr:cNvSpPr/>
        </xdr:nvSpPr>
        <xdr:spPr>
          <a:xfrm>
            <a:off x="2842425" y="1934600"/>
            <a:ext cx="1843850" cy="1843850"/>
          </a:xfrm>
          <a:custGeom>
            <a:avLst/>
            <a:gdLst/>
            <a:ahLst/>
            <a:cxnLst/>
            <a:rect l="l" t="t" r="r" b="b"/>
            <a:pathLst>
              <a:path w="73754" h="73754" extrusionOk="0">
                <a:moveTo>
                  <a:pt x="36880" y="0"/>
                </a:moveTo>
                <a:cubicBezTo>
                  <a:pt x="36621" y="0"/>
                  <a:pt x="36362" y="6"/>
                  <a:pt x="36108" y="11"/>
                </a:cubicBezTo>
                <a:cubicBezTo>
                  <a:pt x="17253" y="397"/>
                  <a:pt x="1834" y="15011"/>
                  <a:pt x="154" y="33525"/>
                </a:cubicBezTo>
                <a:cubicBezTo>
                  <a:pt x="55" y="34627"/>
                  <a:pt x="0" y="35745"/>
                  <a:pt x="0" y="36874"/>
                </a:cubicBezTo>
                <a:cubicBezTo>
                  <a:pt x="0" y="38009"/>
                  <a:pt x="55" y="39122"/>
                  <a:pt x="154" y="40229"/>
                </a:cubicBezTo>
                <a:cubicBezTo>
                  <a:pt x="1834" y="58749"/>
                  <a:pt x="17253" y="73357"/>
                  <a:pt x="36108" y="73743"/>
                </a:cubicBezTo>
                <a:cubicBezTo>
                  <a:pt x="36362" y="73748"/>
                  <a:pt x="36621" y="73754"/>
                  <a:pt x="36880" y="73754"/>
                </a:cubicBezTo>
                <a:cubicBezTo>
                  <a:pt x="38312" y="73754"/>
                  <a:pt x="39744" y="73666"/>
                  <a:pt x="41165" y="73500"/>
                </a:cubicBezTo>
                <a:cubicBezTo>
                  <a:pt x="58391" y="71495"/>
                  <a:pt x="72030" y="57581"/>
                  <a:pt x="73600" y="40229"/>
                </a:cubicBezTo>
                <a:cubicBezTo>
                  <a:pt x="73699" y="39127"/>
                  <a:pt x="73754" y="38009"/>
                  <a:pt x="73754" y="36874"/>
                </a:cubicBezTo>
                <a:cubicBezTo>
                  <a:pt x="73754" y="35745"/>
                  <a:pt x="73699" y="34632"/>
                  <a:pt x="73600" y="33525"/>
                </a:cubicBezTo>
                <a:cubicBezTo>
                  <a:pt x="72024" y="16173"/>
                  <a:pt x="58391" y="2259"/>
                  <a:pt x="41165" y="254"/>
                </a:cubicBezTo>
                <a:cubicBezTo>
                  <a:pt x="39744" y="88"/>
                  <a:pt x="38312" y="0"/>
                  <a:pt x="36880"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SISTEMA DE GESTION INTEGRADO</a:t>
            </a:r>
            <a:r>
              <a:rPr lang="es-MX" b="1" baseline="0">
                <a:solidFill>
                  <a:schemeClr val="bg1"/>
                </a:solidFill>
              </a:rPr>
              <a:t> ETITC</a:t>
            </a:r>
            <a:endParaRPr b="1">
              <a:solidFill>
                <a:schemeClr val="bg1"/>
              </a:solidFill>
            </a:endParaRPr>
          </a:p>
        </xdr:txBody>
      </xdr:sp>
    </xdr:grpSp>
    <xdr:clientData/>
  </xdr:twoCellAnchor>
  <xdr:twoCellAnchor editAs="oneCell">
    <xdr:from>
      <xdr:col>3</xdr:col>
      <xdr:colOff>180473</xdr:colOff>
      <xdr:row>31</xdr:row>
      <xdr:rowOff>82217</xdr:rowOff>
    </xdr:from>
    <xdr:to>
      <xdr:col>5</xdr:col>
      <xdr:colOff>10027</xdr:colOff>
      <xdr:row>38</xdr:row>
      <xdr:rowOff>92244</xdr:rowOff>
    </xdr:to>
    <xdr:pic>
      <xdr:nvPicPr>
        <xdr:cNvPr id="11" name="Gráfico 10" descr="Lista de comprobación">
          <a:hlinkClick xmlns:r="http://schemas.openxmlformats.org/officeDocument/2006/relationships" r:id="rId5"/>
          <a:extLst>
            <a:ext uri="{FF2B5EF4-FFF2-40B4-BE49-F238E27FC236}">
              <a16:creationId xmlns:a16="http://schemas.microsoft.com/office/drawing/2014/main" id="{B2681AEC-BB6E-40BC-9B5F-2C3C98ED353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168315" y="6458954"/>
          <a:ext cx="1353553" cy="1353553"/>
        </a:xfrm>
        <a:prstGeom prst="rect">
          <a:avLst/>
        </a:prstGeom>
      </xdr:spPr>
    </xdr:pic>
    <xdr:clientData/>
  </xdr:twoCellAnchor>
  <xdr:twoCellAnchor editAs="oneCell">
    <xdr:from>
      <xdr:col>1</xdr:col>
      <xdr:colOff>1112920</xdr:colOff>
      <xdr:row>1</xdr:row>
      <xdr:rowOff>120316</xdr:rowOff>
    </xdr:from>
    <xdr:to>
      <xdr:col>2</xdr:col>
      <xdr:colOff>533399</xdr:colOff>
      <xdr:row>4</xdr:row>
      <xdr:rowOff>391</xdr:rowOff>
    </xdr:to>
    <xdr:pic>
      <xdr:nvPicPr>
        <xdr:cNvPr id="2" name="Imagen 4">
          <a:extLst>
            <a:ext uri="{FF2B5EF4-FFF2-40B4-BE49-F238E27FC236}">
              <a16:creationId xmlns:a16="http://schemas.microsoft.com/office/drawing/2014/main" id="{57AE46B9-8CF0-4183-B042-FA91EA9C8AC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63578" y="280737"/>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458788</xdr:colOff>
      <xdr:row>1</xdr:row>
      <xdr:rowOff>38100</xdr:rowOff>
    </xdr:from>
    <xdr:to>
      <xdr:col>2</xdr:col>
      <xdr:colOff>342899</xdr:colOff>
      <xdr:row>3</xdr:row>
      <xdr:rowOff>87829</xdr:rowOff>
    </xdr:to>
    <xdr:pic>
      <xdr:nvPicPr>
        <xdr:cNvPr id="2" name="Imagen 4">
          <a:extLst>
            <a:ext uri="{FF2B5EF4-FFF2-40B4-BE49-F238E27FC236}">
              <a16:creationId xmlns:a16="http://schemas.microsoft.com/office/drawing/2014/main" id="{3C1CD76F-FE75-4CE9-BCB2-B45BD421A5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788" y="238125"/>
          <a:ext cx="531811" cy="545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952500</xdr:colOff>
      <xdr:row>4</xdr:row>
      <xdr:rowOff>85725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2EC4FEF1-A890-48AB-8460-EBD7D26D13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8100" y="114300"/>
          <a:ext cx="9144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62593</xdr:colOff>
      <xdr:row>7</xdr:row>
      <xdr:rowOff>21771</xdr:rowOff>
    </xdr:from>
    <xdr:to>
      <xdr:col>3</xdr:col>
      <xdr:colOff>189235</xdr:colOff>
      <xdr:row>9</xdr:row>
      <xdr:rowOff>287110</xdr:rowOff>
    </xdr:to>
    <xdr:pic>
      <xdr:nvPicPr>
        <xdr:cNvPr id="6" name="Gráfico 5" descr="Escena suburbana">
          <a:hlinkClick xmlns:r="http://schemas.openxmlformats.org/officeDocument/2006/relationships" r:id="rId1"/>
          <a:extLst>
            <a:ext uri="{FF2B5EF4-FFF2-40B4-BE49-F238E27FC236}">
              <a16:creationId xmlns:a16="http://schemas.microsoft.com/office/drawing/2014/main" id="{2A21950B-AED9-4C7D-A227-4B209EC561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93" y="2174421"/>
          <a:ext cx="923925" cy="930728"/>
        </a:xfrm>
        <a:prstGeom prst="rect">
          <a:avLst/>
        </a:prstGeom>
      </xdr:spPr>
    </xdr:pic>
    <xdr:clientData/>
  </xdr:twoCellAnchor>
  <xdr:twoCellAnchor editAs="oneCell">
    <xdr:from>
      <xdr:col>5</xdr:col>
      <xdr:colOff>372071</xdr:colOff>
      <xdr:row>1</xdr:row>
      <xdr:rowOff>193477</xdr:rowOff>
    </xdr:from>
    <xdr:to>
      <xdr:col>5</xdr:col>
      <xdr:colOff>1145977</xdr:colOff>
      <xdr:row>3</xdr:row>
      <xdr:rowOff>286860</xdr:rowOff>
    </xdr:to>
    <xdr:pic>
      <xdr:nvPicPr>
        <xdr:cNvPr id="2" name="Imagen 4">
          <a:extLst>
            <a:ext uri="{FF2B5EF4-FFF2-40B4-BE49-F238E27FC236}">
              <a16:creationId xmlns:a16="http://schemas.microsoft.com/office/drawing/2014/main" id="{982481E6-8388-4A39-BA8D-5F1279B28E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7969" y="386954"/>
          <a:ext cx="773906" cy="811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44450</xdr:colOff>
      <xdr:row>0</xdr:row>
      <xdr:rowOff>0</xdr:rowOff>
    </xdr:from>
    <xdr:to>
      <xdr:col>11</xdr:col>
      <xdr:colOff>495300</xdr:colOff>
      <xdr:row>26</xdr:row>
      <xdr:rowOff>155042</xdr:rowOff>
    </xdr:to>
    <xdr:pic>
      <xdr:nvPicPr>
        <xdr:cNvPr id="2" name="Imagen 1">
          <a:extLst>
            <a:ext uri="{FF2B5EF4-FFF2-40B4-BE49-F238E27FC236}">
              <a16:creationId xmlns:a16="http://schemas.microsoft.com/office/drawing/2014/main" id="{05936C09-E2DB-C52B-4972-F52956DF6CB7}"/>
            </a:ext>
          </a:extLst>
        </xdr:cNvPr>
        <xdr:cNvPicPr>
          <a:picLocks noChangeAspect="1"/>
        </xdr:cNvPicPr>
      </xdr:nvPicPr>
      <xdr:blipFill>
        <a:blip xmlns:r="http://schemas.openxmlformats.org/officeDocument/2006/relationships" r:embed="rId1"/>
        <a:stretch>
          <a:fillRect/>
        </a:stretch>
      </xdr:blipFill>
      <xdr:spPr>
        <a:xfrm>
          <a:off x="3092450" y="0"/>
          <a:ext cx="5784850" cy="5108042"/>
        </a:xfrm>
        <a:prstGeom prst="rect">
          <a:avLst/>
        </a:prstGeom>
      </xdr:spPr>
    </xdr:pic>
    <xdr:clientData/>
  </xdr:twoCellAnchor>
  <xdr:twoCellAnchor editAs="oneCell">
    <xdr:from>
      <xdr:col>4</xdr:col>
      <xdr:colOff>76200</xdr:colOff>
      <xdr:row>27</xdr:row>
      <xdr:rowOff>47624</xdr:rowOff>
    </xdr:from>
    <xdr:to>
      <xdr:col>11</xdr:col>
      <xdr:colOff>485775</xdr:colOff>
      <xdr:row>42</xdr:row>
      <xdr:rowOff>180975</xdr:rowOff>
    </xdr:to>
    <xdr:pic>
      <xdr:nvPicPr>
        <xdr:cNvPr id="3" name="Imagen 2">
          <a:extLst>
            <a:ext uri="{FF2B5EF4-FFF2-40B4-BE49-F238E27FC236}">
              <a16:creationId xmlns:a16="http://schemas.microsoft.com/office/drawing/2014/main" id="{C26438EB-DE44-1D10-37E8-2751E58C62E8}"/>
            </a:ext>
          </a:extLst>
        </xdr:cNvPr>
        <xdr:cNvPicPr>
          <a:picLocks noChangeAspect="1"/>
        </xdr:cNvPicPr>
      </xdr:nvPicPr>
      <xdr:blipFill>
        <a:blip xmlns:r="http://schemas.openxmlformats.org/officeDocument/2006/relationships" r:embed="rId2"/>
        <a:stretch>
          <a:fillRect/>
        </a:stretch>
      </xdr:blipFill>
      <xdr:spPr>
        <a:xfrm>
          <a:off x="3124200" y="5191124"/>
          <a:ext cx="5743575" cy="29908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87313</xdr:colOff>
      <xdr:row>1</xdr:row>
      <xdr:rowOff>19050</xdr:rowOff>
    </xdr:from>
    <xdr:to>
      <xdr:col>7</xdr:col>
      <xdr:colOff>239713</xdr:colOff>
      <xdr:row>4</xdr:row>
      <xdr:rowOff>6908</xdr:rowOff>
    </xdr:to>
    <xdr:pic>
      <xdr:nvPicPr>
        <xdr:cNvPr id="2" name="Imagen 4">
          <a:extLst>
            <a:ext uri="{FF2B5EF4-FFF2-40B4-BE49-F238E27FC236}">
              <a16:creationId xmlns:a16="http://schemas.microsoft.com/office/drawing/2014/main" id="{C9EC256A-DB6F-4832-A5C7-920A72533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6313" y="22542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2</xdr:row>
      <xdr:rowOff>31750</xdr:rowOff>
    </xdr:from>
    <xdr:to>
      <xdr:col>2</xdr:col>
      <xdr:colOff>330200</xdr:colOff>
      <xdr:row>6</xdr:row>
      <xdr:rowOff>168275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AC2E177A-875D-4A57-A129-BCFB879CD9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76250" y="428625"/>
          <a:ext cx="914400" cy="91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100013</xdr:colOff>
      <xdr:row>1</xdr:row>
      <xdr:rowOff>19050</xdr:rowOff>
    </xdr:from>
    <xdr:to>
      <xdr:col>6</xdr:col>
      <xdr:colOff>252413</xdr:colOff>
      <xdr:row>4</xdr:row>
      <xdr:rowOff>6908</xdr:rowOff>
    </xdr:to>
    <xdr:pic>
      <xdr:nvPicPr>
        <xdr:cNvPr id="2" name="Imagen 4">
          <a:extLst>
            <a:ext uri="{FF2B5EF4-FFF2-40B4-BE49-F238E27FC236}">
              <a16:creationId xmlns:a16="http://schemas.microsoft.com/office/drawing/2014/main" id="{7FBAA5E0-89AF-4E19-B8BD-77A8F16D9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7013" y="228600"/>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269875</xdr:colOff>
      <xdr:row>1</xdr:row>
      <xdr:rowOff>127000</xdr:rowOff>
    </xdr:from>
    <xdr:to>
      <xdr:col>1</xdr:col>
      <xdr:colOff>422275</xdr:colOff>
      <xdr:row>6</xdr:row>
      <xdr:rowOff>66675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B215EECA-2602-46E7-BD53-16D06B6CA5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69875" y="333375"/>
          <a:ext cx="914400" cy="908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95250</xdr:rowOff>
    </xdr:from>
    <xdr:to>
      <xdr:col>0</xdr:col>
      <xdr:colOff>676275</xdr:colOff>
      <xdr:row>5</xdr:row>
      <xdr:rowOff>66675</xdr:rowOff>
    </xdr:to>
    <xdr:grpSp>
      <xdr:nvGrpSpPr>
        <xdr:cNvPr id="3" name="Google Shape;6703;p64">
          <a:hlinkClick xmlns:r="http://schemas.openxmlformats.org/officeDocument/2006/relationships" r:id="rId1"/>
          <a:extLst>
            <a:ext uri="{FF2B5EF4-FFF2-40B4-BE49-F238E27FC236}">
              <a16:creationId xmlns:a16="http://schemas.microsoft.com/office/drawing/2014/main" id="{A9FAA5E6-A202-4E28-876A-E71E3D293F7D}"/>
            </a:ext>
          </a:extLst>
        </xdr:cNvPr>
        <xdr:cNvGrpSpPr/>
      </xdr:nvGrpSpPr>
      <xdr:grpSpPr>
        <a:xfrm>
          <a:off x="0" y="196850"/>
          <a:ext cx="676275" cy="746125"/>
          <a:chOff x="2508373" y="2779889"/>
          <a:chExt cx="337523" cy="337680"/>
        </a:xfrm>
      </xdr:grpSpPr>
      <xdr:sp macro="" textlink="">
        <xdr:nvSpPr>
          <xdr:cNvPr id="4" name="Google Shape;6704;p64">
            <a:extLst>
              <a:ext uri="{FF2B5EF4-FFF2-40B4-BE49-F238E27FC236}">
                <a16:creationId xmlns:a16="http://schemas.microsoft.com/office/drawing/2014/main" id="{38E993DD-8DD4-4BB8-BFD1-6897219496B3}"/>
              </a:ext>
            </a:extLst>
          </xdr:cNvPr>
          <xdr:cNvSpPr/>
        </xdr:nvSpPr>
        <xdr:spPr>
          <a:xfrm>
            <a:off x="2508373" y="2779889"/>
            <a:ext cx="256971" cy="256971"/>
          </a:xfrm>
          <a:custGeom>
            <a:avLst/>
            <a:gdLst/>
            <a:ahLst/>
            <a:cxnLst/>
            <a:rect l="l" t="t" r="r" b="b"/>
            <a:pathLst>
              <a:path w="9781" h="9781" extrusionOk="0">
                <a:moveTo>
                  <a:pt x="4585" y="0"/>
                </a:moveTo>
                <a:cubicBezTo>
                  <a:pt x="4377" y="0"/>
                  <a:pt x="4190" y="153"/>
                  <a:pt x="4155" y="354"/>
                </a:cubicBezTo>
                <a:lnTo>
                  <a:pt x="3933" y="1464"/>
                </a:lnTo>
                <a:cubicBezTo>
                  <a:pt x="3656" y="1540"/>
                  <a:pt x="3392" y="1651"/>
                  <a:pt x="3149" y="1790"/>
                </a:cubicBezTo>
                <a:lnTo>
                  <a:pt x="2213" y="1165"/>
                </a:lnTo>
                <a:cubicBezTo>
                  <a:pt x="2138" y="1116"/>
                  <a:pt x="2053" y="1092"/>
                  <a:pt x="1969" y="1092"/>
                </a:cubicBezTo>
                <a:cubicBezTo>
                  <a:pt x="1852" y="1092"/>
                  <a:pt x="1736" y="1139"/>
                  <a:pt x="1651" y="1228"/>
                </a:cubicBezTo>
                <a:lnTo>
                  <a:pt x="1221" y="1658"/>
                </a:lnTo>
                <a:cubicBezTo>
                  <a:pt x="1068" y="1803"/>
                  <a:pt x="1048" y="2039"/>
                  <a:pt x="1166" y="2220"/>
                </a:cubicBezTo>
                <a:lnTo>
                  <a:pt x="1790" y="3156"/>
                </a:lnTo>
                <a:cubicBezTo>
                  <a:pt x="1651" y="3399"/>
                  <a:pt x="1547" y="3662"/>
                  <a:pt x="1471" y="3940"/>
                </a:cubicBezTo>
                <a:lnTo>
                  <a:pt x="361" y="4162"/>
                </a:lnTo>
                <a:cubicBezTo>
                  <a:pt x="153" y="4196"/>
                  <a:pt x="7" y="4384"/>
                  <a:pt x="0" y="4592"/>
                </a:cubicBezTo>
                <a:lnTo>
                  <a:pt x="0" y="5202"/>
                </a:lnTo>
                <a:cubicBezTo>
                  <a:pt x="7" y="5410"/>
                  <a:pt x="153" y="5591"/>
                  <a:pt x="361" y="5632"/>
                </a:cubicBezTo>
                <a:lnTo>
                  <a:pt x="1471" y="5854"/>
                </a:lnTo>
                <a:cubicBezTo>
                  <a:pt x="1547" y="6125"/>
                  <a:pt x="1651" y="6388"/>
                  <a:pt x="1790" y="6638"/>
                </a:cubicBezTo>
                <a:lnTo>
                  <a:pt x="1166" y="7574"/>
                </a:lnTo>
                <a:cubicBezTo>
                  <a:pt x="1048" y="7748"/>
                  <a:pt x="1068" y="7984"/>
                  <a:pt x="1221" y="8136"/>
                </a:cubicBezTo>
                <a:lnTo>
                  <a:pt x="1651" y="8566"/>
                </a:lnTo>
                <a:cubicBezTo>
                  <a:pt x="1735" y="8650"/>
                  <a:pt x="1848" y="8692"/>
                  <a:pt x="1964" y="8692"/>
                </a:cubicBezTo>
                <a:cubicBezTo>
                  <a:pt x="2049" y="8692"/>
                  <a:pt x="2136" y="8669"/>
                  <a:pt x="2213" y="8622"/>
                </a:cubicBezTo>
                <a:lnTo>
                  <a:pt x="3156" y="7990"/>
                </a:lnTo>
                <a:cubicBezTo>
                  <a:pt x="3399" y="8129"/>
                  <a:pt x="3663" y="8233"/>
                  <a:pt x="3933" y="8310"/>
                </a:cubicBezTo>
                <a:lnTo>
                  <a:pt x="4155" y="9419"/>
                </a:lnTo>
                <a:cubicBezTo>
                  <a:pt x="4197" y="9627"/>
                  <a:pt x="4377" y="9773"/>
                  <a:pt x="4592" y="9780"/>
                </a:cubicBezTo>
                <a:lnTo>
                  <a:pt x="5195" y="9780"/>
                </a:lnTo>
                <a:cubicBezTo>
                  <a:pt x="5404" y="9773"/>
                  <a:pt x="5591" y="9627"/>
                  <a:pt x="5632" y="9419"/>
                </a:cubicBezTo>
                <a:lnTo>
                  <a:pt x="5854" y="8310"/>
                </a:lnTo>
                <a:cubicBezTo>
                  <a:pt x="6125" y="8233"/>
                  <a:pt x="6389" y="8129"/>
                  <a:pt x="6631" y="7990"/>
                </a:cubicBezTo>
                <a:lnTo>
                  <a:pt x="7568" y="8615"/>
                </a:lnTo>
                <a:cubicBezTo>
                  <a:pt x="7644" y="8664"/>
                  <a:pt x="7730" y="8688"/>
                  <a:pt x="7814" y="8688"/>
                </a:cubicBezTo>
                <a:cubicBezTo>
                  <a:pt x="7931" y="8688"/>
                  <a:pt x="8045" y="8643"/>
                  <a:pt x="8129" y="8559"/>
                </a:cubicBezTo>
                <a:lnTo>
                  <a:pt x="8560" y="8129"/>
                </a:lnTo>
                <a:cubicBezTo>
                  <a:pt x="8712" y="7984"/>
                  <a:pt x="8733" y="7748"/>
                  <a:pt x="8615" y="7567"/>
                </a:cubicBezTo>
                <a:lnTo>
                  <a:pt x="7991" y="6631"/>
                </a:lnTo>
                <a:cubicBezTo>
                  <a:pt x="8129" y="6381"/>
                  <a:pt x="8234" y="6118"/>
                  <a:pt x="8310" y="5847"/>
                </a:cubicBezTo>
                <a:lnTo>
                  <a:pt x="9420" y="5625"/>
                </a:lnTo>
                <a:cubicBezTo>
                  <a:pt x="9628" y="5584"/>
                  <a:pt x="9773" y="5403"/>
                  <a:pt x="9780" y="5195"/>
                </a:cubicBezTo>
                <a:lnTo>
                  <a:pt x="9780" y="4585"/>
                </a:lnTo>
                <a:cubicBezTo>
                  <a:pt x="9780" y="4377"/>
                  <a:pt x="9628" y="4189"/>
                  <a:pt x="9420" y="4148"/>
                </a:cubicBezTo>
                <a:lnTo>
                  <a:pt x="8310" y="3926"/>
                </a:lnTo>
                <a:cubicBezTo>
                  <a:pt x="8234" y="3655"/>
                  <a:pt x="8129" y="3392"/>
                  <a:pt x="7991" y="3149"/>
                </a:cubicBezTo>
                <a:lnTo>
                  <a:pt x="8615" y="2206"/>
                </a:lnTo>
                <a:cubicBezTo>
                  <a:pt x="8733" y="2032"/>
                  <a:pt x="8712" y="1796"/>
                  <a:pt x="8560" y="1644"/>
                </a:cubicBezTo>
                <a:lnTo>
                  <a:pt x="8129" y="1221"/>
                </a:lnTo>
                <a:cubicBezTo>
                  <a:pt x="8046" y="1134"/>
                  <a:pt x="7934" y="1090"/>
                  <a:pt x="7821" y="1090"/>
                </a:cubicBezTo>
                <a:cubicBezTo>
                  <a:pt x="7735" y="1090"/>
                  <a:pt x="7649" y="1115"/>
                  <a:pt x="7575" y="1165"/>
                </a:cubicBezTo>
                <a:lnTo>
                  <a:pt x="6631" y="1790"/>
                </a:lnTo>
                <a:cubicBezTo>
                  <a:pt x="6389" y="1651"/>
                  <a:pt x="6125" y="1540"/>
                  <a:pt x="5854" y="1464"/>
                </a:cubicBezTo>
                <a:lnTo>
                  <a:pt x="5626" y="354"/>
                </a:lnTo>
                <a:cubicBezTo>
                  <a:pt x="5584" y="153"/>
                  <a:pt x="5404" y="0"/>
                  <a:pt x="5195" y="0"/>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 name="Google Shape;6705;p64">
            <a:extLst>
              <a:ext uri="{FF2B5EF4-FFF2-40B4-BE49-F238E27FC236}">
                <a16:creationId xmlns:a16="http://schemas.microsoft.com/office/drawing/2014/main" id="{7CE847CD-5FCA-4405-BB52-E6893161F724}"/>
              </a:ext>
            </a:extLst>
          </xdr:cNvPr>
          <xdr:cNvSpPr/>
        </xdr:nvSpPr>
        <xdr:spPr>
          <a:xfrm>
            <a:off x="2561391" y="2852034"/>
            <a:ext cx="131783" cy="112814"/>
          </a:xfrm>
          <a:custGeom>
            <a:avLst/>
            <a:gdLst/>
            <a:ahLst/>
            <a:cxnLst/>
            <a:rect l="l" t="t" r="r" b="b"/>
            <a:pathLst>
              <a:path w="5016" h="4294" extrusionOk="0">
                <a:moveTo>
                  <a:pt x="2872" y="1"/>
                </a:moveTo>
                <a:cubicBezTo>
                  <a:pt x="958" y="1"/>
                  <a:pt x="1" y="2310"/>
                  <a:pt x="1353" y="3663"/>
                </a:cubicBezTo>
                <a:cubicBezTo>
                  <a:pt x="1791" y="4098"/>
                  <a:pt x="2328" y="4293"/>
                  <a:pt x="2855" y="4293"/>
                </a:cubicBezTo>
                <a:cubicBezTo>
                  <a:pt x="3958" y="4293"/>
                  <a:pt x="5016" y="3439"/>
                  <a:pt x="5016" y="2144"/>
                </a:cubicBezTo>
                <a:cubicBezTo>
                  <a:pt x="5016" y="958"/>
                  <a:pt x="4058" y="1"/>
                  <a:pt x="2872" y="1"/>
                </a:cubicBezTo>
                <a:close/>
              </a:path>
            </a:pathLst>
          </a:custGeom>
          <a:solidFill>
            <a:srgbClr val="DEE5EB"/>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6" name="Google Shape;6706;p64">
            <a:extLst>
              <a:ext uri="{FF2B5EF4-FFF2-40B4-BE49-F238E27FC236}">
                <a16:creationId xmlns:a16="http://schemas.microsoft.com/office/drawing/2014/main" id="{1947E24B-2236-4B10-B0A4-19ABD26BF976}"/>
              </a:ext>
            </a:extLst>
          </xdr:cNvPr>
          <xdr:cNvSpPr/>
        </xdr:nvSpPr>
        <xdr:spPr>
          <a:xfrm>
            <a:off x="2599302" y="2880277"/>
            <a:ext cx="65629" cy="56223"/>
          </a:xfrm>
          <a:custGeom>
            <a:avLst/>
            <a:gdLst/>
            <a:ahLst/>
            <a:cxnLst/>
            <a:rect l="l" t="t" r="r" b="b"/>
            <a:pathLst>
              <a:path w="2498" h="2140" extrusionOk="0">
                <a:moveTo>
                  <a:pt x="1429" y="1"/>
                </a:moveTo>
                <a:cubicBezTo>
                  <a:pt x="479" y="1"/>
                  <a:pt x="0" y="1152"/>
                  <a:pt x="673" y="1825"/>
                </a:cubicBezTo>
                <a:cubicBezTo>
                  <a:pt x="891" y="2042"/>
                  <a:pt x="1158" y="2140"/>
                  <a:pt x="1420" y="2140"/>
                </a:cubicBezTo>
                <a:cubicBezTo>
                  <a:pt x="1970" y="2140"/>
                  <a:pt x="2497" y="1712"/>
                  <a:pt x="2497" y="1069"/>
                </a:cubicBezTo>
                <a:cubicBezTo>
                  <a:pt x="2497" y="479"/>
                  <a:pt x="2019" y="1"/>
                  <a:pt x="1429" y="1"/>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 name="Google Shape;6707;p64">
            <a:extLst>
              <a:ext uri="{FF2B5EF4-FFF2-40B4-BE49-F238E27FC236}">
                <a16:creationId xmlns:a16="http://schemas.microsoft.com/office/drawing/2014/main" id="{DD835CD5-BE0C-4FE1-976F-DD597D594F0C}"/>
              </a:ext>
            </a:extLst>
          </xdr:cNvPr>
          <xdr:cNvSpPr/>
        </xdr:nvSpPr>
        <xdr:spPr>
          <a:xfrm>
            <a:off x="2677121" y="2948611"/>
            <a:ext cx="168775" cy="168958"/>
          </a:xfrm>
          <a:custGeom>
            <a:avLst/>
            <a:gdLst/>
            <a:ahLst/>
            <a:cxnLst/>
            <a:rect l="l" t="t" r="r" b="b"/>
            <a:pathLst>
              <a:path w="6424" h="6431" extrusionOk="0">
                <a:moveTo>
                  <a:pt x="3017" y="1"/>
                </a:moveTo>
                <a:cubicBezTo>
                  <a:pt x="2879" y="1"/>
                  <a:pt x="2754" y="98"/>
                  <a:pt x="2733" y="237"/>
                </a:cubicBezTo>
                <a:lnTo>
                  <a:pt x="2587" y="965"/>
                </a:lnTo>
                <a:cubicBezTo>
                  <a:pt x="2407" y="1014"/>
                  <a:pt x="2234" y="1090"/>
                  <a:pt x="2067" y="1180"/>
                </a:cubicBezTo>
                <a:lnTo>
                  <a:pt x="1450" y="764"/>
                </a:lnTo>
                <a:cubicBezTo>
                  <a:pt x="1404" y="733"/>
                  <a:pt x="1350" y="718"/>
                  <a:pt x="1296" y="718"/>
                </a:cubicBezTo>
                <a:cubicBezTo>
                  <a:pt x="1218" y="718"/>
                  <a:pt x="1139" y="748"/>
                  <a:pt x="1082" y="805"/>
                </a:cubicBezTo>
                <a:lnTo>
                  <a:pt x="805" y="1083"/>
                </a:lnTo>
                <a:cubicBezTo>
                  <a:pt x="701" y="1180"/>
                  <a:pt x="687" y="1340"/>
                  <a:pt x="763" y="1451"/>
                </a:cubicBezTo>
                <a:lnTo>
                  <a:pt x="1179" y="2068"/>
                </a:lnTo>
                <a:cubicBezTo>
                  <a:pt x="1089" y="2234"/>
                  <a:pt x="1013" y="2408"/>
                  <a:pt x="964" y="2588"/>
                </a:cubicBezTo>
                <a:lnTo>
                  <a:pt x="236" y="2734"/>
                </a:lnTo>
                <a:cubicBezTo>
                  <a:pt x="97" y="2761"/>
                  <a:pt x="0" y="2879"/>
                  <a:pt x="0" y="3018"/>
                </a:cubicBezTo>
                <a:lnTo>
                  <a:pt x="0" y="3413"/>
                </a:lnTo>
                <a:cubicBezTo>
                  <a:pt x="0" y="3552"/>
                  <a:pt x="97" y="3670"/>
                  <a:pt x="236" y="3698"/>
                </a:cubicBezTo>
                <a:lnTo>
                  <a:pt x="964" y="3844"/>
                </a:lnTo>
                <a:cubicBezTo>
                  <a:pt x="1013" y="4024"/>
                  <a:pt x="1089" y="4197"/>
                  <a:pt x="1179" y="4364"/>
                </a:cubicBezTo>
                <a:lnTo>
                  <a:pt x="763" y="4981"/>
                </a:lnTo>
                <a:cubicBezTo>
                  <a:pt x="687" y="5092"/>
                  <a:pt x="701" y="5252"/>
                  <a:pt x="805" y="5349"/>
                </a:cubicBezTo>
                <a:lnTo>
                  <a:pt x="1082" y="5626"/>
                </a:lnTo>
                <a:cubicBezTo>
                  <a:pt x="1139" y="5683"/>
                  <a:pt x="1218" y="5714"/>
                  <a:pt x="1296" y="5714"/>
                </a:cubicBezTo>
                <a:cubicBezTo>
                  <a:pt x="1350" y="5714"/>
                  <a:pt x="1404" y="5699"/>
                  <a:pt x="1450" y="5668"/>
                </a:cubicBezTo>
                <a:lnTo>
                  <a:pt x="2067" y="5252"/>
                </a:lnTo>
                <a:cubicBezTo>
                  <a:pt x="2234" y="5342"/>
                  <a:pt x="2407" y="5418"/>
                  <a:pt x="2587" y="5467"/>
                </a:cubicBezTo>
                <a:lnTo>
                  <a:pt x="2733" y="6195"/>
                </a:lnTo>
                <a:cubicBezTo>
                  <a:pt x="2754" y="6334"/>
                  <a:pt x="2879" y="6431"/>
                  <a:pt x="3017" y="6431"/>
                </a:cubicBezTo>
                <a:lnTo>
                  <a:pt x="3413" y="6431"/>
                </a:lnTo>
                <a:cubicBezTo>
                  <a:pt x="3552" y="6431"/>
                  <a:pt x="3669" y="6334"/>
                  <a:pt x="3697" y="6195"/>
                </a:cubicBezTo>
                <a:lnTo>
                  <a:pt x="3843" y="5467"/>
                </a:lnTo>
                <a:cubicBezTo>
                  <a:pt x="4023" y="5418"/>
                  <a:pt x="4197" y="5342"/>
                  <a:pt x="4356" y="5252"/>
                </a:cubicBezTo>
                <a:lnTo>
                  <a:pt x="4980" y="5668"/>
                </a:lnTo>
                <a:cubicBezTo>
                  <a:pt x="5027" y="5697"/>
                  <a:pt x="5080" y="5711"/>
                  <a:pt x="5134" y="5711"/>
                </a:cubicBezTo>
                <a:cubicBezTo>
                  <a:pt x="5209" y="5711"/>
                  <a:pt x="5284" y="5683"/>
                  <a:pt x="5341" y="5626"/>
                </a:cubicBezTo>
                <a:lnTo>
                  <a:pt x="5625" y="5342"/>
                </a:lnTo>
                <a:cubicBezTo>
                  <a:pt x="5723" y="5245"/>
                  <a:pt x="5736" y="5092"/>
                  <a:pt x="5660" y="4974"/>
                </a:cubicBezTo>
                <a:lnTo>
                  <a:pt x="5251" y="4357"/>
                </a:lnTo>
                <a:cubicBezTo>
                  <a:pt x="5341" y="4190"/>
                  <a:pt x="5410" y="4024"/>
                  <a:pt x="5466" y="3844"/>
                </a:cubicBezTo>
                <a:lnTo>
                  <a:pt x="6194" y="3698"/>
                </a:lnTo>
                <a:cubicBezTo>
                  <a:pt x="6326" y="3670"/>
                  <a:pt x="6423" y="3552"/>
                  <a:pt x="6423" y="3413"/>
                </a:cubicBezTo>
                <a:lnTo>
                  <a:pt x="6423" y="3018"/>
                </a:lnTo>
                <a:cubicBezTo>
                  <a:pt x="6423" y="2879"/>
                  <a:pt x="6333" y="2761"/>
                  <a:pt x="6194" y="2734"/>
                </a:cubicBezTo>
                <a:lnTo>
                  <a:pt x="5466" y="2588"/>
                </a:lnTo>
                <a:cubicBezTo>
                  <a:pt x="5417" y="2408"/>
                  <a:pt x="5348" y="2234"/>
                  <a:pt x="5251" y="2068"/>
                </a:cubicBezTo>
                <a:lnTo>
                  <a:pt x="5667" y="1451"/>
                </a:lnTo>
                <a:cubicBezTo>
                  <a:pt x="5743" y="1340"/>
                  <a:pt x="5729" y="1180"/>
                  <a:pt x="5632" y="1083"/>
                </a:cubicBezTo>
                <a:lnTo>
                  <a:pt x="5348" y="805"/>
                </a:lnTo>
                <a:cubicBezTo>
                  <a:pt x="5291" y="748"/>
                  <a:pt x="5214" y="718"/>
                  <a:pt x="5137" y="718"/>
                </a:cubicBezTo>
                <a:cubicBezTo>
                  <a:pt x="5083" y="718"/>
                  <a:pt x="5029" y="733"/>
                  <a:pt x="4980" y="764"/>
                </a:cubicBezTo>
                <a:lnTo>
                  <a:pt x="4363" y="1180"/>
                </a:lnTo>
                <a:cubicBezTo>
                  <a:pt x="4197" y="1090"/>
                  <a:pt x="4030" y="1014"/>
                  <a:pt x="3850" y="965"/>
                </a:cubicBezTo>
                <a:lnTo>
                  <a:pt x="3704" y="237"/>
                </a:lnTo>
                <a:cubicBezTo>
                  <a:pt x="3676" y="98"/>
                  <a:pt x="3558" y="1"/>
                  <a:pt x="3420" y="1"/>
                </a:cubicBezTo>
                <a:close/>
              </a:path>
            </a:pathLst>
          </a:custGeom>
          <a:solidFill>
            <a:srgbClr val="445D73"/>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 name="Google Shape;6708;p64">
            <a:extLst>
              <a:ext uri="{FF2B5EF4-FFF2-40B4-BE49-F238E27FC236}">
                <a16:creationId xmlns:a16="http://schemas.microsoft.com/office/drawing/2014/main" id="{E6B00809-D949-41E4-9F22-19E36042DF88}"/>
              </a:ext>
            </a:extLst>
          </xdr:cNvPr>
          <xdr:cNvSpPr/>
        </xdr:nvSpPr>
        <xdr:spPr>
          <a:xfrm>
            <a:off x="2705180" y="2990910"/>
            <a:ext cx="98601" cy="84466"/>
          </a:xfrm>
          <a:custGeom>
            <a:avLst/>
            <a:gdLst/>
            <a:ahLst/>
            <a:cxnLst/>
            <a:rect l="l" t="t" r="r" b="b"/>
            <a:pathLst>
              <a:path w="3753" h="3215" extrusionOk="0">
                <a:moveTo>
                  <a:pt x="2144" y="0"/>
                </a:moveTo>
                <a:cubicBezTo>
                  <a:pt x="715" y="0"/>
                  <a:pt x="0" y="1727"/>
                  <a:pt x="1013" y="2740"/>
                </a:cubicBezTo>
                <a:cubicBezTo>
                  <a:pt x="1341" y="3068"/>
                  <a:pt x="1743" y="3215"/>
                  <a:pt x="2138" y="3215"/>
                </a:cubicBezTo>
                <a:cubicBezTo>
                  <a:pt x="2963" y="3215"/>
                  <a:pt x="3753" y="2573"/>
                  <a:pt x="3753" y="1602"/>
                </a:cubicBezTo>
                <a:cubicBezTo>
                  <a:pt x="3753" y="721"/>
                  <a:pt x="3031" y="0"/>
                  <a:pt x="2144" y="0"/>
                </a:cubicBezTo>
                <a:close/>
              </a:path>
            </a:pathLst>
          </a:custGeom>
          <a:solidFill>
            <a:srgbClr val="BAC2CA"/>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 name="Google Shape;6709;p64">
            <a:extLst>
              <a:ext uri="{FF2B5EF4-FFF2-40B4-BE49-F238E27FC236}">
                <a16:creationId xmlns:a16="http://schemas.microsoft.com/office/drawing/2014/main" id="{FE1B5E96-0894-4403-A969-355EA50B80B2}"/>
              </a:ext>
            </a:extLst>
          </xdr:cNvPr>
          <xdr:cNvSpPr/>
        </xdr:nvSpPr>
        <xdr:spPr>
          <a:xfrm>
            <a:off x="2727774" y="3007856"/>
            <a:ext cx="59061" cy="50601"/>
          </a:xfrm>
          <a:custGeom>
            <a:avLst/>
            <a:gdLst/>
            <a:ahLst/>
            <a:cxnLst/>
            <a:rect l="l" t="t" r="r" b="b"/>
            <a:pathLst>
              <a:path w="2248" h="1926" extrusionOk="0">
                <a:moveTo>
                  <a:pt x="1284" y="0"/>
                </a:moveTo>
                <a:cubicBezTo>
                  <a:pt x="430" y="0"/>
                  <a:pt x="0" y="1034"/>
                  <a:pt x="604" y="1644"/>
                </a:cubicBezTo>
                <a:cubicBezTo>
                  <a:pt x="801" y="1839"/>
                  <a:pt x="1041" y="1926"/>
                  <a:pt x="1277" y="1926"/>
                </a:cubicBezTo>
                <a:cubicBezTo>
                  <a:pt x="1773" y="1926"/>
                  <a:pt x="2248" y="1540"/>
                  <a:pt x="2248" y="957"/>
                </a:cubicBezTo>
                <a:cubicBezTo>
                  <a:pt x="2248" y="430"/>
                  <a:pt x="1818" y="0"/>
                  <a:pt x="1284" y="0"/>
                </a:cubicBezTo>
                <a:close/>
              </a:path>
            </a:pathLst>
          </a:custGeom>
          <a:solidFill>
            <a:schemeClr val="bg1">
              <a:lumMod val="50000"/>
            </a:schemeClr>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editAs="oneCell">
    <xdr:from>
      <xdr:col>1</xdr:col>
      <xdr:colOff>657225</xdr:colOff>
      <xdr:row>1</xdr:row>
      <xdr:rowOff>0</xdr:rowOff>
    </xdr:from>
    <xdr:to>
      <xdr:col>1</xdr:col>
      <xdr:colOff>1190625</xdr:colOff>
      <xdr:row>3</xdr:row>
      <xdr:rowOff>159308</xdr:rowOff>
    </xdr:to>
    <xdr:pic>
      <xdr:nvPicPr>
        <xdr:cNvPr id="2" name="Imagen 4">
          <a:extLst>
            <a:ext uri="{FF2B5EF4-FFF2-40B4-BE49-F238E27FC236}">
              <a16:creationId xmlns:a16="http://schemas.microsoft.com/office/drawing/2014/main" id="{A717D3CA-0607-4F20-B71A-3AE6DB9E2F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3025" y="95250"/>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866775</xdr:colOff>
      <xdr:row>0</xdr:row>
      <xdr:rowOff>66675</xdr:rowOff>
    </xdr:from>
    <xdr:to>
      <xdr:col>1</xdr:col>
      <xdr:colOff>1400175</xdr:colOff>
      <xdr:row>3</xdr:row>
      <xdr:rowOff>156133</xdr:rowOff>
    </xdr:to>
    <xdr:pic>
      <xdr:nvPicPr>
        <xdr:cNvPr id="2" name="Imagen 4">
          <a:extLst>
            <a:ext uri="{FF2B5EF4-FFF2-40B4-BE49-F238E27FC236}">
              <a16:creationId xmlns:a16="http://schemas.microsoft.com/office/drawing/2014/main" id="{D0C39065-34D1-428B-8040-82A4986F52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 y="6667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alidad ETITC" id="{0CC1AFD7-F2B4-4C19-A5FE-A0839748E464}" userId="S::calidad@itc.edu.co::5f6678ce-6f95-4cba-9a3f-7a65f87216f7"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TablaDinámica1" cacheId="5"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AF4852-25AA-4EC0-BA9A-D8EC1A651492}" name="Criterios" displayName="Criterios" ref="A1:B14" totalsRowShown="0">
  <autoFilter ref="A1:B14" xr:uid="{B2AF4852-25AA-4EC0-BA9A-D8EC1A651492}"/>
  <tableColumns count="2">
    <tableColumn id="1" xr3:uid="{DD89DC2E-2661-45C2-B689-DCF22974CBDC}" name="Criterios_Impacto"/>
    <tableColumn id="2" xr3:uid="{43AE9E82-3F6B-4945-A788-0E0C2F144D59}" name="Calificació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25" dataDxfId="24">
  <autoFilter ref="B209:C219" xr:uid="{00000000-0009-0000-0100-000001000000}"/>
  <tableColumns count="2">
    <tableColumn id="1" xr3:uid="{00000000-0010-0000-0000-000001000000}" name="Criterios" dataDxfId="23"/>
    <tableColumn id="2" xr3:uid="{00000000-0010-0000-0000-000002000000}" name="Subcriterios" dataDxfId="22"/>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3" dT="2026-05-05T18:23:33.08" personId="{0CC1AFD7-F2B4-4C19-A5FE-A0839748E464}" id="{31DE014E-1502-4058-AF14-D12B122223C2}">
    <text>Para el riesgo Fiscal, solo aplica IMPACTO ECONÓMICO</text>
  </threadedComment>
  <threadedComment ref="G13" dT="2026-05-05T16:05:30.86" personId="{0CC1AFD7-F2B4-4C19-A5FE-A0839748E464}" id="{7319F458-F751-4993-B913-0ED035E30CF3}">
    <text>Aplica para Riesgo FISCAL</text>
  </threadedComment>
  <threadedComment ref="AU13" dT="2026-05-04T15:28:03.86" personId="{0CC1AFD7-F2B4-4C19-A5FE-A0839748E464}" id="{1816B48D-01BB-448B-AFCC-2FEDB756BA42}">
    <text xml:space="preserve">Se realiza una descripción breve de lo ejecutado en el periodo. Así como las desviaciones presentadas en la aplicación del control. </text>
  </threadedComment>
  <threadedComment ref="AV13" dT="2026-05-04T15:29:01.83" personId="{0CC1AFD7-F2B4-4C19-A5FE-A0839748E464}" id="{8ADAA9EE-5890-4480-85AE-C33717331CF8}">
    <text>Se debe describir los soportes de la ejecución del control y punto de uso de la información. Ejemplo (enlaces de carpetas)</text>
  </threadedComment>
  <threadedComment ref="AW13" dT="2026-05-04T15:28:03.86" personId="{0CC1AFD7-F2B4-4C19-A5FE-A0839748E464}" id="{975DE72D-945A-4BAE-A64E-E42069A0D1CB}">
    <text>Se realiza una descripción breve de lo ejecutado en el periodo</text>
  </threadedComment>
  <threadedComment ref="AX13" dT="2026-05-04T15:29:01.83" personId="{0CC1AFD7-F2B4-4C19-A5FE-A0839748E464}" id="{837D0758-B511-4B9B-885F-44B15625A2B0}">
    <text>Se debe describir los soportes de la ejecución del control y punto de uso de la información. Ejemplo (enlaces de carpetas)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N38"/>
  <sheetViews>
    <sheetView showGridLines="0" topLeftCell="A15" zoomScale="95" zoomScaleNormal="95" workbookViewId="0">
      <selection activeCell="P13" sqref="P13"/>
    </sheetView>
  </sheetViews>
  <sheetFormatPr baseColWidth="10" defaultColWidth="11.5" defaultRowHeight="15"/>
  <cols>
    <col min="1" max="1" width="3.6640625" style="68" customWidth="1"/>
    <col min="2" max="2" width="16.6640625" customWidth="1"/>
    <col min="3" max="3" width="25" customWidth="1"/>
    <col min="4" max="12" width="10.6640625" customWidth="1"/>
    <col min="13" max="13" width="13.33203125" customWidth="1"/>
    <col min="14" max="14" width="15.5" customWidth="1"/>
    <col min="15" max="16384" width="11.5" style="68"/>
  </cols>
  <sheetData>
    <row r="1" spans="2:14" ht="12.75" customHeight="1" thickBot="1">
      <c r="B1" s="68"/>
      <c r="C1" s="68"/>
      <c r="D1" s="68"/>
      <c r="E1" s="68"/>
      <c r="F1" s="68"/>
      <c r="G1" s="68"/>
      <c r="H1" s="68"/>
      <c r="I1" s="68"/>
      <c r="J1" s="68"/>
      <c r="K1" s="68"/>
      <c r="L1" s="68"/>
      <c r="M1" s="68"/>
      <c r="N1" s="68"/>
    </row>
    <row r="2" spans="2:14" ht="18.75" customHeight="1">
      <c r="B2" s="259" t="s">
        <v>0</v>
      </c>
      <c r="C2" s="260"/>
      <c r="D2" s="250" t="s">
        <v>1</v>
      </c>
      <c r="E2" s="251"/>
      <c r="F2" s="251"/>
      <c r="G2" s="251"/>
      <c r="H2" s="251"/>
      <c r="I2" s="251"/>
      <c r="J2" s="251"/>
      <c r="K2" s="251"/>
      <c r="L2" s="252"/>
      <c r="M2" s="265" t="s">
        <v>2</v>
      </c>
      <c r="N2" s="266"/>
    </row>
    <row r="3" spans="2:14" ht="15.75" customHeight="1">
      <c r="B3" s="261"/>
      <c r="C3" s="262"/>
      <c r="D3" s="253"/>
      <c r="E3" s="254"/>
      <c r="F3" s="254"/>
      <c r="G3" s="254"/>
      <c r="H3" s="254"/>
      <c r="I3" s="254"/>
      <c r="J3" s="254"/>
      <c r="K3" s="254"/>
      <c r="L3" s="255"/>
      <c r="M3" s="267" t="s">
        <v>3</v>
      </c>
      <c r="N3" s="268"/>
    </row>
    <row r="4" spans="2:14" ht="18.75" customHeight="1">
      <c r="B4" s="261"/>
      <c r="C4" s="262"/>
      <c r="D4" s="253"/>
      <c r="E4" s="254"/>
      <c r="F4" s="254"/>
      <c r="G4" s="254"/>
      <c r="H4" s="254"/>
      <c r="I4" s="254"/>
      <c r="J4" s="254"/>
      <c r="K4" s="254"/>
      <c r="L4" s="255"/>
      <c r="M4" s="267" t="s">
        <v>4</v>
      </c>
      <c r="N4" s="268"/>
    </row>
    <row r="5" spans="2:14" ht="29.25" customHeight="1" thickBot="1">
      <c r="B5" s="263"/>
      <c r="C5" s="264"/>
      <c r="D5" s="256"/>
      <c r="E5" s="257"/>
      <c r="F5" s="257"/>
      <c r="G5" s="257"/>
      <c r="H5" s="257"/>
      <c r="I5" s="257"/>
      <c r="J5" s="257"/>
      <c r="K5" s="257"/>
      <c r="L5" s="258"/>
      <c r="M5" s="269" t="s">
        <v>5</v>
      </c>
      <c r="N5" s="270"/>
    </row>
    <row r="6" spans="2:14" ht="7.5" customHeight="1" thickBot="1"/>
    <row r="7" spans="2:14">
      <c r="B7" s="126"/>
      <c r="C7" s="127"/>
      <c r="D7" s="127"/>
      <c r="E7" s="127"/>
      <c r="F7" s="127"/>
      <c r="G7" s="127"/>
      <c r="H7" s="127"/>
      <c r="I7" s="127"/>
      <c r="J7" s="127"/>
      <c r="K7" s="127"/>
      <c r="L7" s="127"/>
      <c r="M7" s="127"/>
      <c r="N7" s="128"/>
    </row>
    <row r="8" spans="2:14">
      <c r="B8" s="129"/>
      <c r="N8" s="130"/>
    </row>
    <row r="9" spans="2:14">
      <c r="B9" s="129"/>
      <c r="N9" s="130"/>
    </row>
    <row r="10" spans="2:14">
      <c r="B10" s="129"/>
      <c r="N10" s="130"/>
    </row>
    <row r="11" spans="2:14">
      <c r="B11" s="129"/>
      <c r="N11" s="130"/>
    </row>
    <row r="12" spans="2:14">
      <c r="B12" s="129"/>
      <c r="N12" s="130"/>
    </row>
    <row r="13" spans="2:14">
      <c r="B13" s="129"/>
      <c r="N13" s="130"/>
    </row>
    <row r="14" spans="2:14">
      <c r="B14" s="129"/>
      <c r="N14" s="130"/>
    </row>
    <row r="15" spans="2:14">
      <c r="B15" s="129"/>
      <c r="N15" s="130"/>
    </row>
    <row r="16" spans="2:14" ht="21" customHeight="1">
      <c r="B16" s="129"/>
      <c r="N16" s="130"/>
    </row>
    <row r="17" spans="2:14" ht="18.75" customHeight="1">
      <c r="B17" s="129"/>
      <c r="N17" s="130"/>
    </row>
    <row r="18" spans="2:14" ht="17.25" customHeight="1">
      <c r="B18" s="129"/>
      <c r="N18" s="130"/>
    </row>
    <row r="19" spans="2:14" ht="18.75" customHeight="1">
      <c r="B19" s="129"/>
      <c r="N19" s="130"/>
    </row>
    <row r="20" spans="2:14" ht="21" customHeight="1">
      <c r="B20" s="129"/>
      <c r="N20" s="130"/>
    </row>
    <row r="21" spans="2:14">
      <c r="B21" s="129"/>
      <c r="N21" s="130"/>
    </row>
    <row r="22" spans="2:14">
      <c r="B22" s="129"/>
      <c r="N22" s="130"/>
    </row>
    <row r="23" spans="2:14">
      <c r="B23" s="129"/>
      <c r="N23" s="130"/>
    </row>
    <row r="24" spans="2:14">
      <c r="B24" s="129"/>
      <c r="N24" s="130"/>
    </row>
    <row r="25" spans="2:14">
      <c r="B25" s="129"/>
      <c r="N25" s="130"/>
    </row>
    <row r="26" spans="2:14">
      <c r="B26" s="129"/>
      <c r="N26" s="130"/>
    </row>
    <row r="27" spans="2:14">
      <c r="B27" s="129"/>
      <c r="N27" s="130"/>
    </row>
    <row r="28" spans="2:14">
      <c r="B28" s="129"/>
      <c r="N28" s="130"/>
    </row>
    <row r="29" spans="2:14">
      <c r="B29" s="129"/>
      <c r="N29" s="130"/>
    </row>
    <row r="30" spans="2:14">
      <c r="B30" s="129"/>
      <c r="N30" s="130"/>
    </row>
    <row r="31" spans="2:14">
      <c r="B31" s="129"/>
      <c r="D31" s="249" t="s">
        <v>6</v>
      </c>
      <c r="E31" s="249"/>
      <c r="N31" s="130"/>
    </row>
    <row r="32" spans="2:14">
      <c r="B32" s="129"/>
      <c r="D32" s="249"/>
      <c r="E32" s="249"/>
      <c r="N32" s="130"/>
    </row>
    <row r="33" spans="2:14">
      <c r="B33" s="129"/>
      <c r="N33" s="130"/>
    </row>
    <row r="34" spans="2:14">
      <c r="B34" s="129"/>
      <c r="N34" s="130"/>
    </row>
    <row r="35" spans="2:14">
      <c r="B35" s="129"/>
      <c r="N35" s="130"/>
    </row>
    <row r="36" spans="2:14">
      <c r="B36" s="129"/>
      <c r="N36" s="130"/>
    </row>
    <row r="37" spans="2:14">
      <c r="B37" s="129"/>
      <c r="N37" s="130"/>
    </row>
    <row r="38" spans="2:14" ht="16" thickBot="1">
      <c r="B38" s="131"/>
      <c r="C38" s="132"/>
      <c r="D38" s="132"/>
      <c r="E38" s="132"/>
      <c r="F38" s="132"/>
      <c r="G38" s="132"/>
      <c r="H38" s="132"/>
      <c r="I38" s="132"/>
      <c r="J38" s="132"/>
      <c r="K38" s="132"/>
      <c r="L38" s="132"/>
      <c r="M38" s="132"/>
      <c r="N38" s="133"/>
    </row>
  </sheetData>
  <mergeCells count="7">
    <mergeCell ref="D31:E32"/>
    <mergeCell ref="D2:L5"/>
    <mergeCell ref="B2:C5"/>
    <mergeCell ref="M2:N2"/>
    <mergeCell ref="M3:N3"/>
    <mergeCell ref="M4:N4"/>
    <mergeCell ref="M5:N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26783C"/>
    <pageSetUpPr fitToPage="1"/>
  </sheetPr>
  <dimension ref="A1:F25"/>
  <sheetViews>
    <sheetView workbookViewId="0">
      <selection activeCell="G7" sqref="G7"/>
    </sheetView>
  </sheetViews>
  <sheetFormatPr baseColWidth="10" defaultColWidth="11.5" defaultRowHeight="15"/>
  <cols>
    <col min="1" max="1" width="10.33203125" style="116" customWidth="1"/>
    <col min="2" max="2" width="32.5" style="116" customWidth="1"/>
    <col min="3" max="3" width="77" style="116" customWidth="1"/>
    <col min="4" max="4" width="21" style="116" customWidth="1"/>
    <col min="5" max="5" width="23.6640625" style="116" customWidth="1"/>
    <col min="6" max="16384" width="11.5" style="116"/>
  </cols>
  <sheetData>
    <row r="1" spans="1:6" ht="8" customHeight="1"/>
    <row r="2" spans="1:6" ht="15.75" customHeight="1">
      <c r="B2" s="567" t="s">
        <v>268</v>
      </c>
      <c r="C2" s="570" t="s">
        <v>1</v>
      </c>
      <c r="D2" s="251"/>
      <c r="E2" s="199" t="s">
        <v>2</v>
      </c>
      <c r="F2" s="117"/>
    </row>
    <row r="3" spans="1:6" ht="15.75" customHeight="1">
      <c r="B3" s="568"/>
      <c r="C3" s="571"/>
      <c r="D3" s="254"/>
      <c r="E3" s="200" t="s">
        <v>3</v>
      </c>
      <c r="F3" s="117"/>
    </row>
    <row r="4" spans="1:6" ht="16.5" customHeight="1">
      <c r="B4" s="568"/>
      <c r="C4" s="571"/>
      <c r="D4" s="254"/>
      <c r="E4" s="200" t="s">
        <v>4</v>
      </c>
      <c r="F4" s="117"/>
    </row>
    <row r="5" spans="1:6" ht="15" customHeight="1">
      <c r="B5" s="569"/>
      <c r="C5" s="572"/>
      <c r="D5" s="257"/>
      <c r="E5" s="201" t="s">
        <v>5</v>
      </c>
      <c r="F5" s="117"/>
    </row>
    <row r="7" spans="1:6">
      <c r="A7" s="573" t="s">
        <v>9</v>
      </c>
      <c r="B7" s="134" t="s">
        <v>269</v>
      </c>
      <c r="C7" s="135" t="s">
        <v>270</v>
      </c>
      <c r="D7" s="135" t="s">
        <v>271</v>
      </c>
      <c r="E7" s="135" t="s">
        <v>272</v>
      </c>
    </row>
    <row r="8" spans="1:6" ht="30">
      <c r="A8" s="573"/>
      <c r="B8" s="118">
        <v>45687</v>
      </c>
      <c r="C8" s="196" t="s">
        <v>273</v>
      </c>
      <c r="D8" s="120" t="s">
        <v>274</v>
      </c>
      <c r="E8" s="120" t="s">
        <v>275</v>
      </c>
    </row>
    <row r="9" spans="1:6" ht="161.5" customHeight="1">
      <c r="A9" s="573"/>
      <c r="B9" s="118">
        <v>45777</v>
      </c>
      <c r="C9" s="196" t="s">
        <v>276</v>
      </c>
      <c r="D9" s="120" t="s">
        <v>274</v>
      </c>
      <c r="E9" s="120" t="s">
        <v>275</v>
      </c>
    </row>
    <row r="10" spans="1:6">
      <c r="A10" s="573"/>
      <c r="B10" s="118"/>
      <c r="C10" s="119"/>
      <c r="D10" s="120"/>
      <c r="E10" s="120"/>
    </row>
    <row r="11" spans="1:6">
      <c r="A11" s="573"/>
      <c r="B11" s="118"/>
      <c r="C11" s="119"/>
      <c r="D11" s="120"/>
      <c r="E11" s="120"/>
    </row>
    <row r="12" spans="1:6">
      <c r="A12" s="573"/>
      <c r="B12" s="118"/>
      <c r="C12" s="119"/>
      <c r="D12" s="120"/>
      <c r="E12" s="120"/>
    </row>
    <row r="13" spans="1:6">
      <c r="A13" s="136"/>
      <c r="B13" s="118"/>
      <c r="C13" s="119"/>
      <c r="D13" s="120"/>
      <c r="E13" s="120"/>
    </row>
    <row r="14" spans="1:6">
      <c r="A14" s="136"/>
      <c r="B14" s="118"/>
      <c r="C14" s="119"/>
      <c r="D14" s="120"/>
      <c r="E14" s="120"/>
    </row>
    <row r="15" spans="1:6">
      <c r="A15" s="136"/>
      <c r="B15" s="118"/>
      <c r="C15" s="119"/>
      <c r="D15" s="120"/>
      <c r="E15" s="120"/>
    </row>
    <row r="16" spans="1:6">
      <c r="A16" s="136"/>
      <c r="B16" s="118"/>
      <c r="C16" s="119"/>
      <c r="D16" s="120"/>
      <c r="E16" s="120"/>
    </row>
    <row r="17" spans="1:5">
      <c r="A17" s="136"/>
      <c r="B17" s="118"/>
      <c r="C17" s="119"/>
      <c r="D17" s="120"/>
      <c r="E17" s="120"/>
    </row>
    <row r="18" spans="1:5">
      <c r="A18" s="136"/>
      <c r="B18" s="118"/>
      <c r="C18" s="119"/>
      <c r="D18" s="120"/>
      <c r="E18" s="120"/>
    </row>
    <row r="19" spans="1:5">
      <c r="B19" s="118"/>
      <c r="C19" s="121"/>
      <c r="D19" s="120"/>
      <c r="E19" s="120"/>
    </row>
    <row r="20" spans="1:5">
      <c r="B20" s="118"/>
      <c r="C20" s="119"/>
      <c r="D20" s="120"/>
      <c r="E20" s="120"/>
    </row>
    <row r="25" spans="1:5">
      <c r="C25" s="122"/>
    </row>
  </sheetData>
  <mergeCells count="3">
    <mergeCell ref="B2:B5"/>
    <mergeCell ref="C2:D5"/>
    <mergeCell ref="A7:A12"/>
  </mergeCells>
  <pageMargins left="0.7" right="0.7" top="0.75" bottom="0.75" header="0.3" footer="0.3"/>
  <pageSetup scale="6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
  <sheetViews>
    <sheetView workbookViewId="0">
      <selection activeCell="C28" sqref="C28"/>
    </sheetView>
  </sheetViews>
  <sheetFormatPr baseColWidth="10" defaultColWidth="11.5"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1:J45"/>
  <sheetViews>
    <sheetView topLeftCell="A2" zoomScale="80" zoomScaleNormal="80" workbookViewId="0">
      <selection activeCell="H20" sqref="H20"/>
    </sheetView>
  </sheetViews>
  <sheetFormatPr baseColWidth="10" defaultColWidth="11.5" defaultRowHeight="15"/>
  <cols>
    <col min="1" max="1" width="2.6640625" style="68" customWidth="1"/>
    <col min="2" max="3" width="24.6640625" style="68" customWidth="1"/>
    <col min="4" max="4" width="16" style="68" customWidth="1"/>
    <col min="5" max="5" width="24.6640625" style="68" customWidth="1"/>
    <col min="6" max="6" width="27.6640625" style="68" customWidth="1"/>
    <col min="7" max="8" width="24.6640625" style="68" customWidth="1"/>
    <col min="9" max="10" width="11.5" style="142"/>
    <col min="11" max="16384" width="11.5" style="68"/>
  </cols>
  <sheetData>
    <row r="1" spans="2:10" ht="16" thickBot="1"/>
    <row r="2" spans="2:10" ht="18" customHeight="1">
      <c r="B2" s="591" t="s">
        <v>277</v>
      </c>
      <c r="C2" s="592"/>
      <c r="D2" s="592"/>
      <c r="E2" s="592"/>
      <c r="F2" s="592"/>
      <c r="G2" s="592"/>
      <c r="H2" s="593"/>
      <c r="J2" s="143" t="s">
        <v>278</v>
      </c>
    </row>
    <row r="3" spans="2:10" ht="20">
      <c r="B3" s="69"/>
      <c r="C3" s="70"/>
      <c r="D3" s="70"/>
      <c r="E3" s="70"/>
      <c r="F3" s="70"/>
      <c r="G3" s="70"/>
      <c r="H3" s="71"/>
      <c r="J3" s="143"/>
    </row>
    <row r="4" spans="2:10" ht="63" customHeight="1">
      <c r="B4" s="594" t="s">
        <v>279</v>
      </c>
      <c r="C4" s="595"/>
      <c r="D4" s="595"/>
      <c r="E4" s="595"/>
      <c r="F4" s="595"/>
      <c r="G4" s="595"/>
      <c r="H4" s="596"/>
    </row>
    <row r="5" spans="2:10" ht="63" customHeight="1">
      <c r="B5" s="597"/>
      <c r="C5" s="598"/>
      <c r="D5" s="598"/>
      <c r="E5" s="598"/>
      <c r="F5" s="598"/>
      <c r="G5" s="598"/>
      <c r="H5" s="599"/>
    </row>
    <row r="6" spans="2:10">
      <c r="B6" s="600" t="s">
        <v>280</v>
      </c>
      <c r="C6" s="601"/>
      <c r="D6" s="601"/>
      <c r="E6" s="601"/>
      <c r="F6" s="601"/>
      <c r="G6" s="601"/>
      <c r="H6" s="602"/>
    </row>
    <row r="7" spans="2:10" ht="95.25" customHeight="1">
      <c r="B7" s="610" t="s">
        <v>281</v>
      </c>
      <c r="C7" s="611"/>
      <c r="D7" s="611"/>
      <c r="E7" s="611"/>
      <c r="F7" s="611"/>
      <c r="G7" s="611"/>
      <c r="H7" s="612"/>
    </row>
    <row r="8" spans="2:10">
      <c r="B8" s="101"/>
      <c r="C8" s="102"/>
      <c r="D8" s="102"/>
      <c r="E8" s="102"/>
      <c r="F8" s="102"/>
      <c r="G8" s="102"/>
      <c r="H8" s="103"/>
    </row>
    <row r="9" spans="2:10" ht="16.5" customHeight="1">
      <c r="B9" s="603" t="s">
        <v>282</v>
      </c>
      <c r="C9" s="604"/>
      <c r="D9" s="604"/>
      <c r="E9" s="604"/>
      <c r="F9" s="604"/>
      <c r="G9" s="604"/>
      <c r="H9" s="605"/>
    </row>
    <row r="10" spans="2:10" ht="44.25" customHeight="1">
      <c r="B10" s="603"/>
      <c r="C10" s="604"/>
      <c r="D10" s="604"/>
      <c r="E10" s="604"/>
      <c r="F10" s="604"/>
      <c r="G10" s="604"/>
      <c r="H10" s="605"/>
    </row>
    <row r="11" spans="2:10" ht="16" thickBot="1">
      <c r="B11" s="90"/>
      <c r="C11" s="93"/>
      <c r="D11" s="98"/>
      <c r="E11" s="99"/>
      <c r="F11" s="99"/>
      <c r="G11" s="100"/>
      <c r="H11" s="94"/>
    </row>
    <row r="12" spans="2:10" ht="16" thickTop="1">
      <c r="B12" s="90"/>
      <c r="C12" s="606" t="s">
        <v>283</v>
      </c>
      <c r="D12" s="607"/>
      <c r="E12" s="608" t="s">
        <v>284</v>
      </c>
      <c r="F12" s="609"/>
      <c r="G12" s="93"/>
      <c r="H12" s="94"/>
    </row>
    <row r="13" spans="2:10" ht="35.25" customHeight="1">
      <c r="B13" s="90"/>
      <c r="C13" s="578" t="s">
        <v>285</v>
      </c>
      <c r="D13" s="579"/>
      <c r="E13" s="580" t="s">
        <v>286</v>
      </c>
      <c r="F13" s="581"/>
      <c r="G13" s="93"/>
      <c r="H13" s="94"/>
    </row>
    <row r="14" spans="2:10" ht="17.25" customHeight="1">
      <c r="B14" s="90"/>
      <c r="C14" s="578" t="s">
        <v>287</v>
      </c>
      <c r="D14" s="579"/>
      <c r="E14" s="580" t="s">
        <v>288</v>
      </c>
      <c r="F14" s="581"/>
      <c r="G14" s="93"/>
      <c r="H14" s="94"/>
    </row>
    <row r="15" spans="2:10" ht="19.5" customHeight="1">
      <c r="B15" s="90"/>
      <c r="C15" s="578" t="s">
        <v>289</v>
      </c>
      <c r="D15" s="579"/>
      <c r="E15" s="580" t="s">
        <v>290</v>
      </c>
      <c r="F15" s="581"/>
      <c r="G15" s="93"/>
      <c r="H15" s="94"/>
    </row>
    <row r="16" spans="2:10" ht="69.75" customHeight="1">
      <c r="B16" s="90"/>
      <c r="C16" s="578" t="s">
        <v>291</v>
      </c>
      <c r="D16" s="579"/>
      <c r="E16" s="580" t="s">
        <v>292</v>
      </c>
      <c r="F16" s="581"/>
      <c r="G16" s="93"/>
      <c r="H16" s="94"/>
    </row>
    <row r="17" spans="2:8" ht="34.5" customHeight="1">
      <c r="B17" s="90"/>
      <c r="C17" s="582" t="s">
        <v>56</v>
      </c>
      <c r="D17" s="583"/>
      <c r="E17" s="574" t="s">
        <v>293</v>
      </c>
      <c r="F17" s="575"/>
      <c r="G17" s="93"/>
      <c r="H17" s="94"/>
    </row>
    <row r="18" spans="2:8" ht="27.75" customHeight="1">
      <c r="B18" s="90"/>
      <c r="C18" s="582" t="s">
        <v>294</v>
      </c>
      <c r="D18" s="583"/>
      <c r="E18" s="574" t="s">
        <v>295</v>
      </c>
      <c r="F18" s="575"/>
      <c r="G18" s="93"/>
      <c r="H18" s="94"/>
    </row>
    <row r="19" spans="2:8" ht="28.5" customHeight="1">
      <c r="B19" s="90"/>
      <c r="C19" s="582" t="s">
        <v>296</v>
      </c>
      <c r="D19" s="583"/>
      <c r="E19" s="574" t="s">
        <v>297</v>
      </c>
      <c r="F19" s="575"/>
      <c r="G19" s="93"/>
      <c r="H19" s="94"/>
    </row>
    <row r="20" spans="2:8" ht="72.75" customHeight="1">
      <c r="B20" s="90"/>
      <c r="C20" s="582" t="s">
        <v>298</v>
      </c>
      <c r="D20" s="583"/>
      <c r="E20" s="574" t="s">
        <v>299</v>
      </c>
      <c r="F20" s="575"/>
      <c r="G20" s="93"/>
      <c r="H20" s="94"/>
    </row>
    <row r="21" spans="2:8" ht="64.5" customHeight="1">
      <c r="B21" s="90"/>
      <c r="C21" s="582" t="s">
        <v>62</v>
      </c>
      <c r="D21" s="583"/>
      <c r="E21" s="574" t="s">
        <v>300</v>
      </c>
      <c r="F21" s="575"/>
      <c r="G21" s="93"/>
      <c r="H21" s="94"/>
    </row>
    <row r="22" spans="2:8" ht="71.25" customHeight="1">
      <c r="B22" s="90"/>
      <c r="C22" s="582" t="s">
        <v>301</v>
      </c>
      <c r="D22" s="583"/>
      <c r="E22" s="574" t="s">
        <v>302</v>
      </c>
      <c r="F22" s="575"/>
      <c r="G22" s="93"/>
      <c r="H22" s="94"/>
    </row>
    <row r="23" spans="2:8" ht="55.5" customHeight="1">
      <c r="B23" s="90"/>
      <c r="C23" s="576" t="s">
        <v>303</v>
      </c>
      <c r="D23" s="577"/>
      <c r="E23" s="574" t="s">
        <v>304</v>
      </c>
      <c r="F23" s="575"/>
      <c r="G23" s="93"/>
      <c r="H23" s="94"/>
    </row>
    <row r="24" spans="2:8" ht="42" customHeight="1">
      <c r="B24" s="90"/>
      <c r="C24" s="576" t="s">
        <v>69</v>
      </c>
      <c r="D24" s="577"/>
      <c r="E24" s="574" t="s">
        <v>305</v>
      </c>
      <c r="F24" s="575"/>
      <c r="G24" s="93"/>
      <c r="H24" s="94"/>
    </row>
    <row r="25" spans="2:8" ht="59.25" customHeight="1">
      <c r="B25" s="90"/>
      <c r="C25" s="576" t="s">
        <v>306</v>
      </c>
      <c r="D25" s="577"/>
      <c r="E25" s="574" t="s">
        <v>307</v>
      </c>
      <c r="F25" s="575"/>
      <c r="G25" s="93"/>
      <c r="H25" s="94"/>
    </row>
    <row r="26" spans="2:8" ht="23.25" customHeight="1">
      <c r="B26" s="90"/>
      <c r="C26" s="576" t="s">
        <v>73</v>
      </c>
      <c r="D26" s="577"/>
      <c r="E26" s="574" t="s">
        <v>308</v>
      </c>
      <c r="F26" s="575"/>
      <c r="G26" s="93"/>
      <c r="H26" s="94"/>
    </row>
    <row r="27" spans="2:8" ht="30.75" customHeight="1">
      <c r="B27" s="90"/>
      <c r="C27" s="576" t="s">
        <v>309</v>
      </c>
      <c r="D27" s="577"/>
      <c r="E27" s="574" t="s">
        <v>310</v>
      </c>
      <c r="F27" s="575"/>
      <c r="G27" s="93"/>
      <c r="H27" s="94"/>
    </row>
    <row r="28" spans="2:8" ht="35.25" customHeight="1">
      <c r="B28" s="90"/>
      <c r="C28" s="576" t="s">
        <v>311</v>
      </c>
      <c r="D28" s="577"/>
      <c r="E28" s="574" t="s">
        <v>312</v>
      </c>
      <c r="F28" s="575"/>
      <c r="G28" s="93"/>
      <c r="H28" s="94"/>
    </row>
    <row r="29" spans="2:8" ht="33" customHeight="1">
      <c r="B29" s="90"/>
      <c r="C29" s="576" t="s">
        <v>311</v>
      </c>
      <c r="D29" s="577"/>
      <c r="E29" s="574" t="s">
        <v>312</v>
      </c>
      <c r="F29" s="575"/>
      <c r="G29" s="93"/>
      <c r="H29" s="94"/>
    </row>
    <row r="30" spans="2:8" ht="30" customHeight="1">
      <c r="B30" s="90"/>
      <c r="C30" s="576" t="s">
        <v>313</v>
      </c>
      <c r="D30" s="577"/>
      <c r="E30" s="574" t="s">
        <v>314</v>
      </c>
      <c r="F30" s="575"/>
      <c r="G30" s="93"/>
      <c r="H30" s="94"/>
    </row>
    <row r="31" spans="2:8" ht="35.25" customHeight="1">
      <c r="B31" s="90"/>
      <c r="C31" s="576" t="s">
        <v>315</v>
      </c>
      <c r="D31" s="577"/>
      <c r="E31" s="574" t="s">
        <v>316</v>
      </c>
      <c r="F31" s="575"/>
      <c r="G31" s="93"/>
      <c r="H31" s="94"/>
    </row>
    <row r="32" spans="2:8" ht="31.5" customHeight="1">
      <c r="B32" s="90"/>
      <c r="C32" s="576" t="s">
        <v>317</v>
      </c>
      <c r="D32" s="577"/>
      <c r="E32" s="574" t="s">
        <v>318</v>
      </c>
      <c r="F32" s="575"/>
      <c r="G32" s="93"/>
      <c r="H32" s="94"/>
    </row>
    <row r="33" spans="2:8" ht="35.25" customHeight="1">
      <c r="B33" s="90"/>
      <c r="C33" s="576" t="s">
        <v>319</v>
      </c>
      <c r="D33" s="577"/>
      <c r="E33" s="574" t="s">
        <v>320</v>
      </c>
      <c r="F33" s="575"/>
      <c r="G33" s="93"/>
      <c r="H33" s="94"/>
    </row>
    <row r="34" spans="2:8" ht="59.25" customHeight="1">
      <c r="B34" s="90"/>
      <c r="C34" s="576" t="s">
        <v>321</v>
      </c>
      <c r="D34" s="577"/>
      <c r="E34" s="574" t="s">
        <v>322</v>
      </c>
      <c r="F34" s="575"/>
      <c r="G34" s="93"/>
      <c r="H34" s="94"/>
    </row>
    <row r="35" spans="2:8" ht="29.25" customHeight="1">
      <c r="B35" s="90"/>
      <c r="C35" s="576" t="s">
        <v>79</v>
      </c>
      <c r="D35" s="577"/>
      <c r="E35" s="574" t="s">
        <v>323</v>
      </c>
      <c r="F35" s="575"/>
      <c r="G35" s="93"/>
      <c r="H35" s="94"/>
    </row>
    <row r="36" spans="2:8" ht="82.5" customHeight="1">
      <c r="B36" s="90"/>
      <c r="C36" s="576" t="s">
        <v>324</v>
      </c>
      <c r="D36" s="577"/>
      <c r="E36" s="574" t="s">
        <v>325</v>
      </c>
      <c r="F36" s="575"/>
      <c r="G36" s="93"/>
      <c r="H36" s="94"/>
    </row>
    <row r="37" spans="2:8" ht="46.5" customHeight="1">
      <c r="B37" s="90"/>
      <c r="C37" s="576" t="s">
        <v>326</v>
      </c>
      <c r="D37" s="577"/>
      <c r="E37" s="574" t="s">
        <v>327</v>
      </c>
      <c r="F37" s="575"/>
      <c r="G37" s="93"/>
      <c r="H37" s="94"/>
    </row>
    <row r="38" spans="2:8" ht="6.75" customHeight="1" thickBot="1">
      <c r="B38" s="90"/>
      <c r="C38" s="587"/>
      <c r="D38" s="588"/>
      <c r="E38" s="589"/>
      <c r="F38" s="590"/>
      <c r="G38" s="93"/>
      <c r="H38" s="94"/>
    </row>
    <row r="39" spans="2:8" ht="16" thickTop="1">
      <c r="B39" s="90"/>
      <c r="C39" s="91"/>
      <c r="D39" s="91"/>
      <c r="E39" s="92"/>
      <c r="F39" s="92"/>
      <c r="G39" s="93"/>
      <c r="H39" s="94"/>
    </row>
    <row r="40" spans="2:8" ht="21" customHeight="1">
      <c r="B40" s="584" t="s">
        <v>328</v>
      </c>
      <c r="C40" s="585"/>
      <c r="D40" s="585"/>
      <c r="E40" s="585"/>
      <c r="F40" s="585"/>
      <c r="G40" s="585"/>
      <c r="H40" s="586"/>
    </row>
    <row r="41" spans="2:8" ht="20.25" customHeight="1">
      <c r="B41" s="584" t="s">
        <v>329</v>
      </c>
      <c r="C41" s="585"/>
      <c r="D41" s="585"/>
      <c r="E41" s="585"/>
      <c r="F41" s="585"/>
      <c r="G41" s="585"/>
      <c r="H41" s="586"/>
    </row>
    <row r="42" spans="2:8" ht="20.25" customHeight="1">
      <c r="B42" s="584" t="s">
        <v>330</v>
      </c>
      <c r="C42" s="585"/>
      <c r="D42" s="585"/>
      <c r="E42" s="585"/>
      <c r="F42" s="585"/>
      <c r="G42" s="585"/>
      <c r="H42" s="586"/>
    </row>
    <row r="43" spans="2:8" ht="20.25" customHeight="1">
      <c r="B43" s="584" t="s">
        <v>331</v>
      </c>
      <c r="C43" s="585"/>
      <c r="D43" s="585"/>
      <c r="E43" s="585"/>
      <c r="F43" s="585"/>
      <c r="G43" s="585"/>
      <c r="H43" s="586"/>
    </row>
    <row r="44" spans="2:8" ht="15" customHeight="1">
      <c r="B44" s="584" t="s">
        <v>332</v>
      </c>
      <c r="C44" s="585"/>
      <c r="D44" s="585"/>
      <c r="E44" s="585"/>
      <c r="F44" s="585"/>
      <c r="G44" s="585"/>
      <c r="H44" s="586"/>
    </row>
    <row r="45" spans="2:8" ht="16" thickBot="1">
      <c r="B45" s="95"/>
      <c r="C45" s="96"/>
      <c r="D45" s="96"/>
      <c r="E45" s="96"/>
      <c r="F45" s="96"/>
      <c r="G45" s="96"/>
      <c r="H45" s="97"/>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
  <sheetViews>
    <sheetView workbookViewId="0">
      <selection activeCell="A2" sqref="A2"/>
    </sheetView>
  </sheetViews>
  <sheetFormatPr baseColWidth="10" defaultColWidth="11.5" defaultRowHeight="1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D9"/>
  <sheetViews>
    <sheetView workbookViewId="0">
      <selection activeCell="K15" sqref="K15"/>
    </sheetView>
  </sheetViews>
  <sheetFormatPr baseColWidth="10" defaultColWidth="11.5" defaultRowHeight="15"/>
  <sheetData>
    <row r="1" spans="1:4">
      <c r="A1" t="s">
        <v>333</v>
      </c>
      <c r="B1" t="s">
        <v>58</v>
      </c>
      <c r="C1" t="s">
        <v>140</v>
      </c>
      <c r="D1" t="s">
        <v>141</v>
      </c>
    </row>
    <row r="2" spans="1:4">
      <c r="A2" t="s">
        <v>334</v>
      </c>
      <c r="B2" t="s">
        <v>147</v>
      </c>
      <c r="C2" t="s">
        <v>177</v>
      </c>
      <c r="D2" t="s">
        <v>150</v>
      </c>
    </row>
    <row r="3" spans="1:4">
      <c r="A3" t="s">
        <v>100</v>
      </c>
      <c r="B3" t="s">
        <v>161</v>
      </c>
      <c r="C3" t="s">
        <v>335</v>
      </c>
      <c r="D3" t="s">
        <v>164</v>
      </c>
    </row>
    <row r="4" spans="1:4">
      <c r="A4" t="s">
        <v>336</v>
      </c>
      <c r="B4" t="s">
        <v>175</v>
      </c>
      <c r="C4" t="s">
        <v>185</v>
      </c>
      <c r="D4" t="s">
        <v>178</v>
      </c>
    </row>
    <row r="5" spans="1:4">
      <c r="A5" t="s">
        <v>161</v>
      </c>
      <c r="B5" t="s">
        <v>183</v>
      </c>
      <c r="C5" t="s">
        <v>337</v>
      </c>
      <c r="D5" t="s">
        <v>103</v>
      </c>
    </row>
    <row r="6" spans="1:4">
      <c r="A6" t="s">
        <v>143</v>
      </c>
      <c r="B6" t="s">
        <v>188</v>
      </c>
      <c r="C6" t="s">
        <v>103</v>
      </c>
    </row>
    <row r="7" spans="1:4">
      <c r="A7" t="s">
        <v>338</v>
      </c>
      <c r="B7" t="s">
        <v>192</v>
      </c>
    </row>
    <row r="8" spans="1:4">
      <c r="A8" t="s">
        <v>339</v>
      </c>
    </row>
    <row r="9" spans="1:4">
      <c r="A9" t="s">
        <v>340</v>
      </c>
    </row>
  </sheetData>
  <sheetProtection algorithmName="SHA-512" hashValue="v7i/xahZG2C7t5BslLITKnVU2aeqZ2qUUc7D3ggQN7269OWOf4ZVULOvpishKqJW79vwiv5Gp2BFg470cY4dqQ==" saltValue="yCXLobWCYjK/kLc7JEpQf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
  <sheetViews>
    <sheetView workbookViewId="0"/>
  </sheetViews>
  <sheetFormatPr baseColWidth="10" defaultColWidth="11.5" defaultRowHeight="1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1:L27"/>
  <sheetViews>
    <sheetView showGridLines="0" view="pageBreakPreview" zoomScaleNormal="100" zoomScaleSheetLayoutView="100" workbookViewId="0">
      <selection activeCell="M16" sqref="M16"/>
    </sheetView>
  </sheetViews>
  <sheetFormatPr baseColWidth="10" defaultColWidth="11.5" defaultRowHeight="15"/>
  <cols>
    <col min="1" max="1" width="2.5" style="68" customWidth="1"/>
    <col min="2" max="2" width="33.33203125" style="68" customWidth="1"/>
    <col min="3" max="4" width="11.5" style="68"/>
    <col min="5" max="5" width="5.6640625" style="68" customWidth="1"/>
    <col min="6" max="6" width="16.33203125" style="68" customWidth="1"/>
    <col min="7" max="7" width="11.5" style="68"/>
    <col min="8" max="8" width="13.6640625" style="68" customWidth="1"/>
    <col min="9" max="9" width="14.33203125" style="68" customWidth="1"/>
    <col min="10" max="10" width="14.6640625" style="68" customWidth="1"/>
    <col min="11" max="11" width="7.5" style="68" customWidth="1"/>
    <col min="12" max="12" width="2.33203125" style="68" customWidth="1"/>
    <col min="13" max="16384" width="11.5" style="68"/>
  </cols>
  <sheetData>
    <row r="1" spans="2:11" ht="6" customHeight="1" thickBot="1"/>
    <row r="2" spans="2:11" ht="15" customHeight="1">
      <c r="B2" s="650" t="s">
        <v>248</v>
      </c>
      <c r="C2" s="653" t="s">
        <v>1</v>
      </c>
      <c r="D2" s="654"/>
      <c r="E2" s="654"/>
      <c r="F2" s="654"/>
      <c r="G2" s="654"/>
      <c r="H2" s="654"/>
      <c r="I2" s="654"/>
      <c r="J2" s="292" t="s">
        <v>249</v>
      </c>
      <c r="K2" s="266"/>
    </row>
    <row r="3" spans="2:11" ht="15" customHeight="1">
      <c r="B3" s="651"/>
      <c r="C3" s="655"/>
      <c r="D3" s="656"/>
      <c r="E3" s="656"/>
      <c r="F3" s="656"/>
      <c r="G3" s="656"/>
      <c r="H3" s="656"/>
      <c r="I3" s="656"/>
      <c r="J3" s="293" t="s">
        <v>341</v>
      </c>
      <c r="K3" s="268"/>
    </row>
    <row r="4" spans="2:11" ht="15" customHeight="1">
      <c r="B4" s="651"/>
      <c r="C4" s="655"/>
      <c r="D4" s="656"/>
      <c r="E4" s="656"/>
      <c r="F4" s="656"/>
      <c r="G4" s="656"/>
      <c r="H4" s="656"/>
      <c r="I4" s="656"/>
      <c r="J4" s="293" t="s">
        <v>250</v>
      </c>
      <c r="K4" s="268" t="s">
        <v>250</v>
      </c>
    </row>
    <row r="5" spans="2:11" ht="15" customHeight="1" thickBot="1">
      <c r="B5" s="652"/>
      <c r="C5" s="657"/>
      <c r="D5" s="658"/>
      <c r="E5" s="658"/>
      <c r="F5" s="658"/>
      <c r="G5" s="658"/>
      <c r="H5" s="658"/>
      <c r="I5" s="658"/>
      <c r="J5" s="294" t="s">
        <v>5</v>
      </c>
      <c r="K5" s="270" t="s">
        <v>5</v>
      </c>
    </row>
    <row r="6" spans="2:11" ht="16" thickBot="1"/>
    <row r="7" spans="2:11" customFormat="1" ht="16" thickBot="1">
      <c r="B7" s="644" t="s">
        <v>269</v>
      </c>
      <c r="C7" s="645"/>
      <c r="D7" s="646" t="s">
        <v>342</v>
      </c>
      <c r="E7" s="647"/>
      <c r="F7" s="646" t="s">
        <v>343</v>
      </c>
      <c r="G7" s="648"/>
      <c r="H7" s="648"/>
      <c r="I7" s="648"/>
      <c r="J7" s="648"/>
      <c r="K7" s="649"/>
    </row>
    <row r="8" spans="2:11" customFormat="1" ht="18" customHeight="1" thickBot="1">
      <c r="B8" s="613"/>
      <c r="C8" s="614"/>
      <c r="D8" s="615">
        <v>1</v>
      </c>
      <c r="E8" s="616"/>
      <c r="F8" s="617"/>
      <c r="G8" s="617"/>
      <c r="H8" s="617"/>
      <c r="I8" s="617"/>
      <c r="J8" s="617"/>
      <c r="K8" s="618"/>
    </row>
    <row r="9" spans="2:11" customFormat="1" ht="18" customHeight="1" thickBot="1">
      <c r="B9" s="613"/>
      <c r="C9" s="614"/>
      <c r="D9" s="615">
        <v>2</v>
      </c>
      <c r="E9" s="616"/>
      <c r="F9" s="617"/>
      <c r="G9" s="617"/>
      <c r="H9" s="617"/>
      <c r="I9" s="617"/>
      <c r="J9" s="617"/>
      <c r="K9" s="618"/>
    </row>
    <row r="10" spans="2:11" customFormat="1" ht="18" customHeight="1" thickBot="1">
      <c r="B10" s="613"/>
      <c r="C10" s="614"/>
      <c r="D10" s="615">
        <v>3</v>
      </c>
      <c r="E10" s="616"/>
      <c r="F10" s="617"/>
      <c r="G10" s="617"/>
      <c r="H10" s="617"/>
      <c r="I10" s="617"/>
      <c r="J10" s="617"/>
      <c r="K10" s="618"/>
    </row>
    <row r="11" spans="2:11" customFormat="1" ht="18" customHeight="1" thickBot="1">
      <c r="B11" s="613"/>
      <c r="C11" s="614"/>
      <c r="D11" s="615">
        <v>4</v>
      </c>
      <c r="E11" s="616"/>
      <c r="F11" s="617"/>
      <c r="G11" s="617"/>
      <c r="H11" s="617"/>
      <c r="I11" s="617"/>
      <c r="J11" s="617"/>
      <c r="K11" s="618"/>
    </row>
    <row r="12" spans="2:11" customFormat="1" ht="18" customHeight="1" thickBot="1">
      <c r="B12" s="613"/>
      <c r="C12" s="614"/>
      <c r="D12" s="615">
        <v>5</v>
      </c>
      <c r="E12" s="616"/>
      <c r="F12" s="617"/>
      <c r="G12" s="617"/>
      <c r="H12" s="617"/>
      <c r="I12" s="617"/>
      <c r="J12" s="617"/>
      <c r="K12" s="618"/>
    </row>
    <row r="13" spans="2:11" customFormat="1" ht="18" customHeight="1" thickBot="1">
      <c r="B13" s="613"/>
      <c r="C13" s="614"/>
      <c r="D13" s="615">
        <v>6</v>
      </c>
      <c r="E13" s="616"/>
      <c r="F13" s="617"/>
      <c r="G13" s="617"/>
      <c r="H13" s="617"/>
      <c r="I13" s="617"/>
      <c r="J13" s="617"/>
      <c r="K13" s="618"/>
    </row>
    <row r="14" spans="2:11" customFormat="1" ht="18" customHeight="1" thickBot="1">
      <c r="B14" s="613"/>
      <c r="C14" s="614"/>
      <c r="D14" s="615">
        <v>7</v>
      </c>
      <c r="E14" s="616"/>
      <c r="F14" s="617"/>
      <c r="G14" s="617"/>
      <c r="H14" s="617"/>
      <c r="I14" s="617"/>
      <c r="J14" s="617"/>
      <c r="K14" s="618"/>
    </row>
    <row r="15" spans="2:11" customFormat="1" ht="18" customHeight="1">
      <c r="B15" s="613">
        <v>45352</v>
      </c>
      <c r="C15" s="614"/>
      <c r="D15" s="615">
        <v>8</v>
      </c>
      <c r="E15" s="616"/>
      <c r="F15" s="617" t="s">
        <v>344</v>
      </c>
      <c r="G15" s="617"/>
      <c r="H15" s="617"/>
      <c r="I15" s="617"/>
      <c r="J15" s="617"/>
      <c r="K15" s="618"/>
    </row>
    <row r="16" spans="2:11" customFormat="1" ht="150.75" customHeight="1">
      <c r="B16" s="613" t="s">
        <v>345</v>
      </c>
      <c r="C16" s="614"/>
      <c r="D16" s="615">
        <v>9</v>
      </c>
      <c r="E16" s="616"/>
      <c r="F16" s="617" t="s">
        <v>346</v>
      </c>
      <c r="G16" s="617"/>
      <c r="H16" s="617"/>
      <c r="I16" s="617"/>
      <c r="J16" s="617"/>
      <c r="K16" s="618"/>
    </row>
    <row r="17" spans="2:12" customFormat="1" ht="15.75" customHeight="1">
      <c r="B17" s="631"/>
      <c r="C17" s="631"/>
      <c r="D17" s="631"/>
      <c r="E17" s="631"/>
      <c r="F17" s="631"/>
      <c r="G17" s="631"/>
      <c r="H17" s="631"/>
      <c r="I17" s="631"/>
      <c r="J17" s="631"/>
      <c r="K17" s="631"/>
    </row>
    <row r="18" spans="2:12" customFormat="1" ht="15.75" customHeight="1" thickBot="1">
      <c r="B18" s="632" t="s">
        <v>347</v>
      </c>
      <c r="C18" s="633"/>
      <c r="D18" s="633"/>
      <c r="E18" s="634"/>
      <c r="F18" s="635" t="s">
        <v>348</v>
      </c>
      <c r="G18" s="636"/>
      <c r="H18" s="637"/>
      <c r="I18" s="638" t="s">
        <v>349</v>
      </c>
      <c r="J18" s="639"/>
      <c r="K18" s="634"/>
    </row>
    <row r="19" spans="2:12" customFormat="1" ht="27" customHeight="1">
      <c r="B19" s="640"/>
      <c r="C19" s="641"/>
      <c r="D19" s="641"/>
      <c r="E19" s="641"/>
      <c r="F19" s="641"/>
      <c r="G19" s="641"/>
      <c r="H19" s="641"/>
      <c r="I19" s="642"/>
      <c r="J19" s="642"/>
      <c r="K19" s="643"/>
    </row>
    <row r="20" spans="2:12" customFormat="1" ht="15" customHeight="1">
      <c r="B20" s="620" t="s">
        <v>350</v>
      </c>
      <c r="C20" s="621"/>
      <c r="D20" s="621"/>
      <c r="E20" s="621"/>
      <c r="F20" s="622" t="s">
        <v>351</v>
      </c>
      <c r="G20" s="622"/>
      <c r="H20" s="623"/>
      <c r="I20" s="622" t="s">
        <v>351</v>
      </c>
      <c r="J20" s="622"/>
      <c r="K20" s="623"/>
    </row>
    <row r="21" spans="2:12" customFormat="1" ht="22.5" customHeight="1" thickBot="1">
      <c r="B21" s="624" t="s">
        <v>352</v>
      </c>
      <c r="C21" s="625"/>
      <c r="D21" s="625"/>
      <c r="E21" s="625"/>
      <c r="F21" s="625" t="s">
        <v>353</v>
      </c>
      <c r="G21" s="625"/>
      <c r="H21" s="626"/>
      <c r="I21" s="625" t="s">
        <v>353</v>
      </c>
      <c r="J21" s="625"/>
      <c r="K21" s="626"/>
    </row>
    <row r="22" spans="2:12" customFormat="1" ht="9" customHeight="1" thickBot="1">
      <c r="B22" s="627"/>
      <c r="C22" s="627"/>
      <c r="D22" s="627"/>
      <c r="E22" s="627"/>
      <c r="F22" s="627"/>
      <c r="G22" s="627"/>
      <c r="H22" s="627"/>
      <c r="I22" s="627"/>
      <c r="J22" s="627"/>
      <c r="K22" s="627"/>
    </row>
    <row r="23" spans="2:12" customFormat="1" ht="16" thickBot="1">
      <c r="B23" s="628" t="s">
        <v>107</v>
      </c>
      <c r="C23" s="629"/>
      <c r="D23" s="630"/>
      <c r="E23" s="123" t="s">
        <v>108</v>
      </c>
      <c r="F23" s="628" t="s">
        <v>109</v>
      </c>
      <c r="G23" s="630"/>
      <c r="H23" s="124" t="s">
        <v>110</v>
      </c>
      <c r="I23" s="628" t="s">
        <v>111</v>
      </c>
      <c r="J23" s="630"/>
      <c r="K23" s="125">
        <v>1</v>
      </c>
    </row>
    <row r="24" spans="2:12" ht="8.25" customHeight="1"/>
    <row r="25" spans="2:12">
      <c r="B25" s="619" t="s">
        <v>354</v>
      </c>
      <c r="C25" s="619"/>
      <c r="D25" s="619"/>
      <c r="E25" s="619"/>
      <c r="F25" s="619"/>
      <c r="G25" s="619"/>
      <c r="H25" s="619"/>
      <c r="I25" s="619"/>
      <c r="J25" s="619"/>
      <c r="K25" s="619"/>
      <c r="L25" s="619"/>
    </row>
    <row r="26" spans="2:12">
      <c r="B26" s="619" t="s">
        <v>355</v>
      </c>
      <c r="C26" s="619"/>
      <c r="D26" s="619"/>
      <c r="E26" s="619"/>
      <c r="F26" s="619"/>
      <c r="G26" s="619"/>
      <c r="H26" s="619"/>
      <c r="I26" s="619"/>
      <c r="J26" s="619"/>
      <c r="K26" s="619"/>
      <c r="L26" s="619"/>
    </row>
    <row r="27" spans="2:12" ht="9" customHeight="1"/>
  </sheetData>
  <mergeCells count="55">
    <mergeCell ref="B2:B5"/>
    <mergeCell ref="C2:I5"/>
    <mergeCell ref="J2:K2"/>
    <mergeCell ref="J3:K3"/>
    <mergeCell ref="J4:K4"/>
    <mergeCell ref="J5:K5"/>
    <mergeCell ref="B7:C7"/>
    <mergeCell ref="D7:E7"/>
    <mergeCell ref="F7:K7"/>
    <mergeCell ref="B15:C15"/>
    <mergeCell ref="D15:E15"/>
    <mergeCell ref="F15:K15"/>
    <mergeCell ref="B8:C8"/>
    <mergeCell ref="D8:E8"/>
    <mergeCell ref="F8:K8"/>
    <mergeCell ref="B13:C13"/>
    <mergeCell ref="B9:C9"/>
    <mergeCell ref="D9:E9"/>
    <mergeCell ref="F9:K9"/>
    <mergeCell ref="B10:C10"/>
    <mergeCell ref="D10:E10"/>
    <mergeCell ref="F10:K10"/>
    <mergeCell ref="B17:K17"/>
    <mergeCell ref="B18:E18"/>
    <mergeCell ref="F18:H18"/>
    <mergeCell ref="I18:K18"/>
    <mergeCell ref="B19:E19"/>
    <mergeCell ref="F19:H19"/>
    <mergeCell ref="I19:K19"/>
    <mergeCell ref="B26:L26"/>
    <mergeCell ref="B20:E20"/>
    <mergeCell ref="F20:H20"/>
    <mergeCell ref="I20:K20"/>
    <mergeCell ref="B21:E21"/>
    <mergeCell ref="F21:H21"/>
    <mergeCell ref="I21:K21"/>
    <mergeCell ref="B22:K22"/>
    <mergeCell ref="B23:D23"/>
    <mergeCell ref="F23:G23"/>
    <mergeCell ref="I23:J23"/>
    <mergeCell ref="B25:L25"/>
    <mergeCell ref="B16:C16"/>
    <mergeCell ref="D16:E16"/>
    <mergeCell ref="F16:K16"/>
    <mergeCell ref="F11:K11"/>
    <mergeCell ref="B12:C12"/>
    <mergeCell ref="D12:E12"/>
    <mergeCell ref="F12:K12"/>
    <mergeCell ref="B14:C14"/>
    <mergeCell ref="D14:E14"/>
    <mergeCell ref="F14:K14"/>
    <mergeCell ref="D13:E13"/>
    <mergeCell ref="F13:K13"/>
    <mergeCell ref="B11:C11"/>
    <mergeCell ref="D11:E11"/>
  </mergeCells>
  <pageMargins left="0.7" right="0.7" top="0.75" bottom="0.75" header="0.3" footer="0.3"/>
  <pageSetup paperSize="9" scale="60"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00B0F0"/>
  </sheetPr>
  <dimension ref="A1:AK55"/>
  <sheetViews>
    <sheetView zoomScale="90" zoomScaleNormal="90" workbookViewId="0">
      <selection activeCell="B4" sqref="B4:B8"/>
    </sheetView>
  </sheetViews>
  <sheetFormatPr baseColWidth="10" defaultColWidth="11.5" defaultRowHeight="15"/>
  <cols>
    <col min="2" max="2" width="24.33203125" customWidth="1"/>
    <col min="3" max="3" width="70.33203125" customWidth="1"/>
    <col min="4" max="4" width="29.6640625" customWidth="1"/>
  </cols>
  <sheetData>
    <row r="1" spans="1:37" ht="23">
      <c r="A1" s="68"/>
      <c r="B1" s="659" t="s">
        <v>356</v>
      </c>
      <c r="C1" s="659"/>
      <c r="D1" s="659"/>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7">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37" ht="26">
      <c r="A3" s="68"/>
      <c r="B3" s="3"/>
      <c r="C3" s="4" t="s">
        <v>357</v>
      </c>
      <c r="D3" s="4" t="s">
        <v>252</v>
      </c>
      <c r="E3" s="68"/>
      <c r="F3" s="68"/>
      <c r="G3" s="68"/>
      <c r="H3" s="68"/>
      <c r="I3" s="68"/>
      <c r="J3" s="68"/>
      <c r="K3" s="68"/>
      <c r="L3" s="68"/>
      <c r="M3" s="68"/>
      <c r="N3" s="68"/>
      <c r="O3" s="68"/>
      <c r="P3" s="68"/>
      <c r="Q3" s="68"/>
      <c r="R3" s="68"/>
      <c r="S3" s="68"/>
      <c r="T3" s="68"/>
      <c r="U3" s="68"/>
      <c r="V3" s="68"/>
      <c r="W3" s="68"/>
      <c r="X3" s="68"/>
      <c r="Y3" s="68"/>
      <c r="Z3" s="68"/>
      <c r="AA3" s="68"/>
      <c r="AB3" s="68"/>
      <c r="AC3" s="68"/>
      <c r="AD3" s="68"/>
      <c r="AE3" s="68"/>
    </row>
    <row r="4" spans="1:37" ht="52">
      <c r="A4" s="68"/>
      <c r="B4" s="5" t="s">
        <v>358</v>
      </c>
      <c r="C4" s="6" t="s">
        <v>359</v>
      </c>
      <c r="D4" s="7">
        <v>0.2</v>
      </c>
      <c r="E4" s="68"/>
      <c r="F4" s="68"/>
      <c r="G4" s="68"/>
      <c r="H4" s="68"/>
      <c r="I4" s="68"/>
      <c r="J4" s="68"/>
      <c r="K4" s="68"/>
      <c r="L4" s="68"/>
      <c r="M4" s="68"/>
      <c r="N4" s="68"/>
      <c r="O4" s="68"/>
      <c r="P4" s="68"/>
      <c r="Q4" s="68"/>
      <c r="R4" s="68"/>
      <c r="S4" s="68"/>
      <c r="T4" s="68"/>
      <c r="U4" s="68"/>
      <c r="V4" s="68"/>
      <c r="W4" s="68"/>
      <c r="X4" s="68"/>
      <c r="Y4" s="68"/>
      <c r="Z4" s="68"/>
      <c r="AA4" s="68"/>
      <c r="AB4" s="68"/>
      <c r="AC4" s="68"/>
      <c r="AD4" s="68"/>
      <c r="AE4" s="68"/>
    </row>
    <row r="5" spans="1:37" ht="52">
      <c r="A5" s="68"/>
      <c r="B5" s="8" t="s">
        <v>360</v>
      </c>
      <c r="C5" s="9" t="s">
        <v>361</v>
      </c>
      <c r="D5" s="10">
        <v>0.4</v>
      </c>
      <c r="E5" s="68"/>
      <c r="F5" s="68"/>
      <c r="G5" s="68"/>
      <c r="H5" s="68"/>
      <c r="I5" s="68"/>
      <c r="J5" s="68"/>
      <c r="K5" s="68"/>
      <c r="L5" s="68"/>
      <c r="M5" s="68"/>
      <c r="N5" s="68"/>
      <c r="O5" s="68"/>
      <c r="P5" s="68"/>
      <c r="Q5" s="68"/>
      <c r="R5" s="68"/>
      <c r="S5" s="68"/>
      <c r="T5" s="68"/>
      <c r="U5" s="68"/>
      <c r="V5" s="68"/>
      <c r="W5" s="68"/>
      <c r="X5" s="68"/>
      <c r="Y5" s="68"/>
      <c r="Z5" s="68"/>
      <c r="AA5" s="68"/>
      <c r="AB5" s="68"/>
      <c r="AC5" s="68"/>
      <c r="AD5" s="68"/>
      <c r="AE5" s="68"/>
    </row>
    <row r="6" spans="1:37" ht="52">
      <c r="A6" s="68"/>
      <c r="B6" s="11" t="s">
        <v>362</v>
      </c>
      <c r="C6" s="9" t="s">
        <v>363</v>
      </c>
      <c r="D6" s="10">
        <v>0.6</v>
      </c>
      <c r="E6" s="68"/>
      <c r="F6" s="68"/>
      <c r="G6" s="68"/>
      <c r="H6" s="68"/>
      <c r="I6" s="68"/>
      <c r="J6" s="68"/>
      <c r="K6" s="68"/>
      <c r="L6" s="68"/>
      <c r="M6" s="68"/>
      <c r="N6" s="68"/>
      <c r="O6" s="68"/>
      <c r="P6" s="68"/>
      <c r="Q6" s="68"/>
      <c r="R6" s="68"/>
      <c r="S6" s="68"/>
      <c r="T6" s="68"/>
      <c r="U6" s="68"/>
      <c r="V6" s="68"/>
      <c r="W6" s="68"/>
      <c r="X6" s="68"/>
      <c r="Y6" s="68"/>
      <c r="Z6" s="68"/>
      <c r="AA6" s="68"/>
      <c r="AB6" s="68"/>
      <c r="AC6" s="68"/>
      <c r="AD6" s="68"/>
      <c r="AE6" s="68"/>
    </row>
    <row r="7" spans="1:37" ht="52">
      <c r="A7" s="68"/>
      <c r="B7" s="12" t="s">
        <v>364</v>
      </c>
      <c r="C7" s="9" t="s">
        <v>365</v>
      </c>
      <c r="D7" s="10">
        <v>0.8</v>
      </c>
      <c r="E7" s="68"/>
      <c r="F7" s="68"/>
      <c r="G7" s="68"/>
      <c r="H7" s="68"/>
      <c r="I7" s="68"/>
      <c r="J7" s="68"/>
      <c r="K7" s="68"/>
      <c r="L7" s="68"/>
      <c r="M7" s="68"/>
      <c r="N7" s="68"/>
      <c r="O7" s="68"/>
      <c r="P7" s="68"/>
      <c r="Q7" s="68"/>
      <c r="R7" s="68"/>
      <c r="S7" s="68"/>
      <c r="T7" s="68"/>
      <c r="U7" s="68"/>
      <c r="V7" s="68"/>
      <c r="W7" s="68"/>
      <c r="X7" s="68"/>
      <c r="Y7" s="68"/>
      <c r="Z7" s="68"/>
      <c r="AA7" s="68"/>
      <c r="AB7" s="68"/>
      <c r="AC7" s="68"/>
      <c r="AD7" s="68"/>
      <c r="AE7" s="68"/>
    </row>
    <row r="8" spans="1:37" ht="52">
      <c r="A8" s="68"/>
      <c r="B8" s="13" t="s">
        <v>366</v>
      </c>
      <c r="C8" s="9" t="s">
        <v>367</v>
      </c>
      <c r="D8" s="10">
        <v>1</v>
      </c>
      <c r="E8" s="68"/>
      <c r="F8" s="68"/>
      <c r="G8" s="68"/>
      <c r="H8" s="68"/>
      <c r="I8" s="68"/>
      <c r="J8" s="68"/>
      <c r="K8" s="68"/>
      <c r="L8" s="68"/>
      <c r="M8" s="68"/>
      <c r="N8" s="68"/>
      <c r="O8" s="68"/>
      <c r="P8" s="68"/>
      <c r="Q8" s="68"/>
      <c r="R8" s="68"/>
      <c r="S8" s="68"/>
      <c r="T8" s="68"/>
      <c r="U8" s="68"/>
      <c r="V8" s="68"/>
      <c r="W8" s="68"/>
      <c r="X8" s="68"/>
      <c r="Y8" s="68"/>
      <c r="Z8" s="68"/>
      <c r="AA8" s="68"/>
      <c r="AB8" s="68"/>
      <c r="AC8" s="68"/>
      <c r="AD8" s="68"/>
      <c r="AE8" s="68"/>
    </row>
    <row r="9" spans="1:37">
      <c r="A9" s="68"/>
      <c r="B9" s="88"/>
      <c r="C9" s="88"/>
      <c r="D9" s="8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1:37">
      <c r="A10" s="68"/>
      <c r="B10" s="89"/>
      <c r="C10" s="88"/>
      <c r="D10" s="8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row>
    <row r="11" spans="1:37">
      <c r="A11" s="68"/>
      <c r="B11" s="88"/>
      <c r="C11" s="88"/>
      <c r="D11" s="8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1:37">
      <c r="A12" s="68"/>
      <c r="B12" s="88"/>
      <c r="C12" s="88"/>
      <c r="D12" s="8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1:37">
      <c r="A13" s="68"/>
      <c r="B13" s="88"/>
      <c r="C13" s="88"/>
      <c r="D13" s="8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row>
    <row r="14" spans="1:37">
      <c r="A14" s="68"/>
      <c r="B14" s="88"/>
      <c r="C14" s="88"/>
      <c r="D14" s="8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row>
    <row r="15" spans="1:37">
      <c r="A15" s="68"/>
      <c r="B15" s="88"/>
      <c r="C15" s="88"/>
      <c r="D15" s="8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row>
    <row r="16" spans="1:37">
      <c r="A16" s="68"/>
      <c r="B16" s="88"/>
      <c r="C16" s="88"/>
      <c r="D16" s="8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row>
    <row r="17" spans="1:37">
      <c r="A17" s="68"/>
      <c r="B17" s="88"/>
      <c r="C17" s="88"/>
      <c r="D17" s="8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row>
    <row r="18" spans="1:37">
      <c r="A18" s="68"/>
      <c r="B18" s="88"/>
      <c r="C18" s="88"/>
      <c r="D18" s="8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row>
    <row r="19" spans="1:37">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row>
    <row r="20" spans="1:37">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row>
    <row r="21" spans="1:37">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row>
    <row r="22" spans="1:37">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row>
    <row r="23" spans="1:37">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row>
    <row r="24" spans="1:37">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row>
    <row r="25" spans="1:37">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row>
    <row r="26" spans="1:37">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row>
    <row r="27" spans="1:37">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row>
    <row r="28" spans="1:37">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row>
    <row r="29" spans="1:37">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row>
    <row r="30" spans="1:37">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row>
    <row r="31" spans="1:37">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1:37">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1:31">
      <c r="A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row>
    <row r="34" spans="1:31">
      <c r="A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row>
    <row r="35" spans="1:31">
      <c r="A35" s="68"/>
    </row>
    <row r="36" spans="1:31">
      <c r="A36" s="68"/>
    </row>
    <row r="37" spans="1:31">
      <c r="A37" s="68"/>
    </row>
    <row r="38" spans="1:31">
      <c r="A38" s="68"/>
    </row>
    <row r="39" spans="1:31">
      <c r="A39" s="68"/>
    </row>
    <row r="40" spans="1:31">
      <c r="A40" s="68"/>
    </row>
    <row r="41" spans="1:31">
      <c r="A41" s="68"/>
    </row>
    <row r="42" spans="1:31">
      <c r="A42" s="68"/>
    </row>
    <row r="43" spans="1:31">
      <c r="A43" s="68"/>
    </row>
    <row r="44" spans="1:31">
      <c r="A44" s="68"/>
    </row>
    <row r="45" spans="1:31">
      <c r="A45" s="68"/>
    </row>
    <row r="46" spans="1:31">
      <c r="A46" s="68"/>
    </row>
    <row r="47" spans="1:31">
      <c r="A47" s="68"/>
    </row>
    <row r="48" spans="1:31">
      <c r="A48" s="68"/>
    </row>
    <row r="49" spans="1:1">
      <c r="A49" s="68"/>
    </row>
    <row r="50" spans="1:1">
      <c r="A50" s="68"/>
    </row>
    <row r="51" spans="1:1">
      <c r="A51" s="68"/>
    </row>
    <row r="52" spans="1:1">
      <c r="A52" s="68"/>
    </row>
    <row r="53" spans="1:1">
      <c r="A53" s="68"/>
    </row>
    <row r="54" spans="1:1">
      <c r="A54" s="68"/>
    </row>
    <row r="55" spans="1:1">
      <c r="A55" s="68"/>
    </row>
  </sheetData>
  <mergeCells count="1">
    <mergeCell ref="B1:D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6" tint="-0.249977111117893"/>
  </sheetPr>
  <dimension ref="A1:U232"/>
  <sheetViews>
    <sheetView zoomScale="55" zoomScaleNormal="55" workbookViewId="0">
      <selection activeCell="C27" sqref="C27"/>
    </sheetView>
  </sheetViews>
  <sheetFormatPr baseColWidth="10" defaultColWidth="11.5" defaultRowHeight="15"/>
  <cols>
    <col min="2" max="2" width="40.5" customWidth="1"/>
    <col min="3" max="3" width="74.6640625" customWidth="1"/>
    <col min="4" max="4" width="135" bestFit="1" customWidth="1"/>
    <col min="5" max="5" width="144.6640625" bestFit="1" customWidth="1"/>
    <col min="6" max="6" width="136.5" bestFit="1" customWidth="1"/>
  </cols>
  <sheetData>
    <row r="1" spans="1:21" ht="33">
      <c r="A1" s="68"/>
      <c r="B1" s="660" t="s">
        <v>368</v>
      </c>
      <c r="C1" s="660"/>
      <c r="D1" s="660"/>
      <c r="E1" s="68"/>
      <c r="F1" s="68"/>
      <c r="G1" s="68"/>
      <c r="H1" s="68"/>
      <c r="I1" s="68"/>
      <c r="J1" s="68"/>
      <c r="K1" s="68"/>
      <c r="L1" s="68"/>
      <c r="M1" s="68"/>
      <c r="N1" s="68"/>
      <c r="O1" s="68"/>
      <c r="P1" s="68"/>
      <c r="Q1" s="68"/>
      <c r="R1" s="68"/>
      <c r="S1" s="68"/>
      <c r="T1" s="68"/>
      <c r="U1" s="68"/>
    </row>
    <row r="2" spans="1:21">
      <c r="A2" s="68"/>
      <c r="B2" s="68"/>
      <c r="C2" s="68"/>
      <c r="D2" s="68"/>
      <c r="E2" s="68"/>
      <c r="F2" s="68"/>
      <c r="G2" s="68"/>
      <c r="H2" s="68"/>
      <c r="I2" s="68"/>
      <c r="J2" s="68"/>
      <c r="K2" s="68"/>
      <c r="L2" s="68"/>
      <c r="M2" s="68"/>
      <c r="N2" s="68"/>
      <c r="O2" s="68"/>
      <c r="P2" s="68"/>
      <c r="Q2" s="68"/>
      <c r="R2" s="68"/>
      <c r="S2" s="68"/>
      <c r="T2" s="68"/>
      <c r="U2" s="68"/>
    </row>
    <row r="3" spans="1:21" ht="31">
      <c r="A3" s="68"/>
      <c r="B3" s="85"/>
      <c r="C3" s="22" t="s">
        <v>369</v>
      </c>
      <c r="D3" s="22" t="s">
        <v>370</v>
      </c>
      <c r="E3" s="68"/>
      <c r="F3" s="68"/>
      <c r="G3" s="68"/>
      <c r="H3" s="68"/>
      <c r="I3" s="68"/>
      <c r="J3" s="68"/>
      <c r="K3" s="68"/>
      <c r="L3" s="68"/>
      <c r="M3" s="68"/>
      <c r="N3" s="68"/>
      <c r="O3" s="68"/>
      <c r="P3" s="68"/>
      <c r="Q3" s="68"/>
      <c r="R3" s="68"/>
      <c r="S3" s="68"/>
      <c r="T3" s="68"/>
      <c r="U3" s="68"/>
    </row>
    <row r="4" spans="1:21" ht="34">
      <c r="A4" s="84" t="s">
        <v>371</v>
      </c>
      <c r="B4" s="25" t="s">
        <v>372</v>
      </c>
      <c r="C4" s="30" t="s">
        <v>373</v>
      </c>
      <c r="D4" s="23" t="s">
        <v>374</v>
      </c>
      <c r="E4" s="68"/>
      <c r="F4" s="68"/>
      <c r="G4" s="68"/>
      <c r="H4" s="68"/>
      <c r="I4" s="68"/>
      <c r="J4" s="68"/>
      <c r="K4" s="68"/>
      <c r="L4" s="68"/>
      <c r="M4" s="68"/>
      <c r="N4" s="68"/>
      <c r="O4" s="68"/>
      <c r="P4" s="68"/>
      <c r="Q4" s="68"/>
      <c r="R4" s="68"/>
      <c r="S4" s="68"/>
      <c r="T4" s="68"/>
      <c r="U4" s="68"/>
    </row>
    <row r="5" spans="1:21" ht="68">
      <c r="A5" s="84" t="s">
        <v>119</v>
      </c>
      <c r="B5" s="26" t="s">
        <v>375</v>
      </c>
      <c r="C5" s="31" t="s">
        <v>376</v>
      </c>
      <c r="D5" s="24" t="s">
        <v>377</v>
      </c>
      <c r="E5" s="68"/>
      <c r="F5" s="68"/>
      <c r="G5" s="68"/>
      <c r="H5" s="68"/>
      <c r="I5" s="68"/>
      <c r="J5" s="68"/>
      <c r="K5" s="68"/>
      <c r="L5" s="68"/>
      <c r="M5" s="68"/>
      <c r="N5" s="68"/>
      <c r="O5" s="68"/>
      <c r="P5" s="68"/>
      <c r="Q5" s="68"/>
      <c r="R5" s="68"/>
      <c r="S5" s="68"/>
      <c r="T5" s="68"/>
      <c r="U5" s="68"/>
    </row>
    <row r="6" spans="1:21" ht="68">
      <c r="A6" s="84" t="s">
        <v>121</v>
      </c>
      <c r="B6" s="27" t="s">
        <v>378</v>
      </c>
      <c r="C6" s="31" t="s">
        <v>379</v>
      </c>
      <c r="D6" s="24" t="s">
        <v>380</v>
      </c>
      <c r="E6" s="68"/>
      <c r="F6" s="68"/>
      <c r="G6" s="68"/>
      <c r="H6" s="68"/>
      <c r="I6" s="68"/>
      <c r="J6" s="68"/>
      <c r="K6" s="68"/>
      <c r="L6" s="68"/>
      <c r="M6" s="68"/>
      <c r="N6" s="68"/>
      <c r="O6" s="68"/>
      <c r="P6" s="68"/>
      <c r="Q6" s="68"/>
      <c r="R6" s="68"/>
      <c r="S6" s="68"/>
      <c r="T6" s="68"/>
      <c r="U6" s="68"/>
    </row>
    <row r="7" spans="1:21" ht="68">
      <c r="A7" s="84" t="s">
        <v>123</v>
      </c>
      <c r="B7" s="28" t="s">
        <v>381</v>
      </c>
      <c r="C7" s="31" t="s">
        <v>382</v>
      </c>
      <c r="D7" s="24" t="s">
        <v>383</v>
      </c>
      <c r="E7" s="68"/>
      <c r="F7" s="68"/>
      <c r="G7" s="68"/>
      <c r="H7" s="68"/>
      <c r="I7" s="68"/>
      <c r="J7" s="68"/>
      <c r="K7" s="68"/>
      <c r="L7" s="68"/>
      <c r="M7" s="68"/>
      <c r="N7" s="68"/>
      <c r="O7" s="68"/>
      <c r="P7" s="68"/>
      <c r="Q7" s="68"/>
      <c r="R7" s="68"/>
      <c r="S7" s="68"/>
      <c r="T7" s="68"/>
      <c r="U7" s="68"/>
    </row>
    <row r="8" spans="1:21" ht="68">
      <c r="A8" s="84" t="s">
        <v>125</v>
      </c>
      <c r="B8" s="29" t="s">
        <v>384</v>
      </c>
      <c r="C8" s="31" t="s">
        <v>385</v>
      </c>
      <c r="D8" s="24" t="s">
        <v>386</v>
      </c>
      <c r="E8" s="68"/>
      <c r="F8" s="68"/>
      <c r="G8" s="68"/>
      <c r="H8" s="68"/>
      <c r="I8" s="68"/>
      <c r="J8" s="68"/>
      <c r="K8" s="68"/>
      <c r="L8" s="68"/>
      <c r="M8" s="68"/>
      <c r="N8" s="68"/>
      <c r="O8" s="68"/>
      <c r="P8" s="68"/>
      <c r="Q8" s="68"/>
      <c r="R8" s="68"/>
      <c r="S8" s="68"/>
      <c r="T8" s="68"/>
      <c r="U8" s="68"/>
    </row>
    <row r="9" spans="1:21" ht="20">
      <c r="A9" s="84"/>
      <c r="B9" s="84"/>
      <c r="C9" s="86"/>
      <c r="D9" s="86"/>
      <c r="E9" s="68"/>
      <c r="F9" s="68"/>
      <c r="G9" s="68"/>
      <c r="H9" s="68"/>
      <c r="I9" s="68"/>
      <c r="J9" s="68"/>
      <c r="K9" s="68"/>
      <c r="L9" s="68"/>
      <c r="M9" s="68"/>
      <c r="N9" s="68"/>
      <c r="O9" s="68"/>
      <c r="P9" s="68"/>
      <c r="Q9" s="68"/>
      <c r="R9" s="68"/>
      <c r="S9" s="68"/>
      <c r="T9" s="68"/>
      <c r="U9" s="68"/>
    </row>
    <row r="10" spans="1:21">
      <c r="A10" s="84"/>
      <c r="B10" s="87"/>
      <c r="C10" s="87"/>
      <c r="D10" s="87"/>
      <c r="E10" s="68"/>
      <c r="F10" s="68"/>
      <c r="G10" s="68"/>
      <c r="H10" s="68"/>
      <c r="I10" s="68"/>
      <c r="J10" s="68"/>
      <c r="K10" s="68"/>
      <c r="L10" s="68"/>
      <c r="M10" s="68"/>
      <c r="N10" s="68"/>
      <c r="O10" s="68"/>
      <c r="P10" s="68"/>
      <c r="Q10" s="68"/>
      <c r="R10" s="68"/>
      <c r="S10" s="68"/>
      <c r="T10" s="68"/>
      <c r="U10" s="68"/>
    </row>
    <row r="11" spans="1:21">
      <c r="A11" s="84"/>
      <c r="B11" s="84" t="s">
        <v>387</v>
      </c>
      <c r="C11" s="84" t="s">
        <v>116</v>
      </c>
      <c r="D11" s="84" t="s">
        <v>126</v>
      </c>
      <c r="E11" s="68"/>
      <c r="F11" s="68"/>
      <c r="G11" s="68"/>
      <c r="H11" s="68"/>
      <c r="I11" s="68"/>
      <c r="J11" s="68"/>
      <c r="K11" s="68"/>
      <c r="L11" s="68"/>
      <c r="M11" s="68"/>
      <c r="N11" s="68"/>
      <c r="O11" s="68"/>
      <c r="P11" s="68"/>
      <c r="Q11" s="68"/>
      <c r="R11" s="68"/>
      <c r="S11" s="68"/>
      <c r="T11" s="68"/>
      <c r="U11" s="68"/>
    </row>
    <row r="12" spans="1:21">
      <c r="A12" s="84"/>
      <c r="B12" s="84" t="s">
        <v>388</v>
      </c>
      <c r="C12" s="84" t="s">
        <v>118</v>
      </c>
      <c r="D12" s="84" t="s">
        <v>127</v>
      </c>
      <c r="E12" s="68"/>
      <c r="F12" s="68"/>
      <c r="G12" s="68"/>
      <c r="H12" s="68"/>
      <c r="I12" s="68"/>
      <c r="J12" s="68"/>
      <c r="K12" s="68"/>
      <c r="L12" s="68"/>
      <c r="M12" s="68"/>
      <c r="N12" s="68"/>
      <c r="O12" s="68"/>
      <c r="P12" s="68"/>
      <c r="Q12" s="68"/>
      <c r="R12" s="68"/>
      <c r="S12" s="68"/>
      <c r="T12" s="68"/>
      <c r="U12" s="68"/>
    </row>
    <row r="13" spans="1:21" ht="18">
      <c r="A13" s="84"/>
      <c r="B13" s="244"/>
      <c r="C13" s="84" t="s">
        <v>120</v>
      </c>
      <c r="D13" s="84" t="s">
        <v>128</v>
      </c>
      <c r="E13" s="68"/>
      <c r="F13" s="68"/>
      <c r="G13" s="68"/>
      <c r="H13" s="68"/>
      <c r="I13" s="68"/>
      <c r="J13" s="68"/>
      <c r="K13" s="68"/>
      <c r="L13" s="68"/>
      <c r="M13" s="68"/>
      <c r="N13" s="68"/>
      <c r="O13" s="68"/>
      <c r="P13" s="68"/>
      <c r="Q13" s="68"/>
      <c r="R13" s="68"/>
      <c r="S13" s="68"/>
      <c r="T13" s="68"/>
      <c r="U13" s="68"/>
    </row>
    <row r="14" spans="1:21">
      <c r="A14" s="84"/>
      <c r="B14" s="84"/>
      <c r="C14" s="84" t="s">
        <v>122</v>
      </c>
      <c r="D14" s="84" t="s">
        <v>129</v>
      </c>
      <c r="E14" s="68"/>
      <c r="F14" s="68"/>
      <c r="G14" s="68"/>
      <c r="H14" s="68"/>
      <c r="I14" s="68"/>
      <c r="J14" s="68"/>
      <c r="K14" s="68"/>
      <c r="L14" s="68"/>
      <c r="M14" s="68"/>
      <c r="N14" s="68"/>
      <c r="O14" s="68"/>
      <c r="P14" s="68"/>
      <c r="Q14" s="68"/>
      <c r="R14" s="68"/>
      <c r="S14" s="68"/>
      <c r="T14" s="68"/>
      <c r="U14" s="68"/>
    </row>
    <row r="15" spans="1:21">
      <c r="A15" s="84"/>
      <c r="B15" s="84"/>
      <c r="C15" s="84" t="s">
        <v>124</v>
      </c>
      <c r="D15" s="84" t="s">
        <v>130</v>
      </c>
      <c r="E15" s="68"/>
      <c r="F15" s="68"/>
      <c r="G15" s="68"/>
      <c r="H15" s="68"/>
      <c r="I15" s="68"/>
      <c r="J15" s="68"/>
      <c r="K15" s="68"/>
      <c r="L15" s="68"/>
      <c r="M15" s="68"/>
      <c r="N15" s="68"/>
      <c r="O15" s="68"/>
      <c r="P15" s="68"/>
      <c r="Q15" s="68"/>
      <c r="R15" s="68"/>
      <c r="S15" s="68"/>
      <c r="T15" s="68"/>
      <c r="U15" s="68"/>
    </row>
    <row r="16" spans="1:21">
      <c r="A16" s="84"/>
      <c r="B16" s="84"/>
      <c r="C16" s="84"/>
      <c r="D16" s="84"/>
      <c r="E16" s="68"/>
      <c r="F16" s="68"/>
      <c r="G16" s="68"/>
      <c r="H16" s="68"/>
      <c r="I16" s="68"/>
      <c r="J16" s="68"/>
      <c r="K16" s="68"/>
      <c r="L16" s="68"/>
      <c r="M16" s="68"/>
      <c r="N16" s="68"/>
      <c r="O16" s="68"/>
    </row>
    <row r="17" spans="1:15">
      <c r="A17" s="84"/>
      <c r="B17" s="84"/>
      <c r="C17" s="84"/>
      <c r="D17" s="84"/>
      <c r="E17" s="68"/>
      <c r="F17" s="68"/>
      <c r="G17" s="68"/>
      <c r="H17" s="68"/>
      <c r="I17" s="68"/>
      <c r="J17" s="68"/>
      <c r="K17" s="68"/>
      <c r="L17" s="68"/>
      <c r="M17" s="68"/>
      <c r="N17" s="68"/>
      <c r="O17" s="68"/>
    </row>
    <row r="18" spans="1:15">
      <c r="A18" s="84"/>
      <c r="B18" s="88"/>
      <c r="C18" s="88"/>
      <c r="D18" s="88"/>
      <c r="E18" s="68"/>
      <c r="F18" s="68"/>
      <c r="G18" s="68"/>
      <c r="H18" s="68"/>
      <c r="I18" s="68"/>
      <c r="J18" s="68"/>
      <c r="K18" s="68"/>
      <c r="L18" s="68"/>
      <c r="M18" s="68"/>
      <c r="N18" s="68"/>
      <c r="O18" s="68"/>
    </row>
    <row r="19" spans="1:15">
      <c r="A19" s="84"/>
      <c r="B19" s="88"/>
      <c r="C19" s="88"/>
      <c r="D19" s="88"/>
      <c r="E19" s="68"/>
      <c r="F19" s="68"/>
      <c r="G19" s="68"/>
      <c r="H19" s="68"/>
      <c r="I19" s="68"/>
      <c r="J19" s="68"/>
      <c r="K19" s="68"/>
      <c r="L19" s="68"/>
      <c r="M19" s="68"/>
      <c r="N19" s="68"/>
      <c r="O19" s="68"/>
    </row>
    <row r="20" spans="1:15">
      <c r="A20" s="84"/>
      <c r="B20" s="88"/>
      <c r="C20" s="88"/>
      <c r="D20" s="88"/>
      <c r="E20" s="68"/>
      <c r="F20" s="68"/>
      <c r="G20" s="68"/>
      <c r="H20" s="68"/>
      <c r="I20" s="68"/>
      <c r="J20" s="68"/>
      <c r="K20" s="68"/>
      <c r="L20" s="68"/>
      <c r="M20" s="68"/>
      <c r="N20" s="68"/>
      <c r="O20" s="68"/>
    </row>
    <row r="21" spans="1:15">
      <c r="A21" s="84"/>
      <c r="B21" s="88"/>
      <c r="C21" s="88"/>
      <c r="D21" s="88"/>
      <c r="E21" s="68"/>
      <c r="F21" s="68"/>
      <c r="G21" s="68"/>
      <c r="H21" s="68"/>
      <c r="I21" s="68"/>
      <c r="J21" s="68"/>
      <c r="K21" s="68"/>
      <c r="L21" s="68"/>
      <c r="M21" s="68"/>
      <c r="N21" s="68"/>
      <c r="O21" s="68"/>
    </row>
    <row r="22" spans="1:15" ht="20">
      <c r="A22" s="84"/>
      <c r="B22" s="84"/>
      <c r="C22" s="86"/>
      <c r="D22" s="86"/>
      <c r="E22" s="68"/>
      <c r="F22" s="68"/>
      <c r="G22" s="68"/>
      <c r="H22" s="68"/>
      <c r="I22" s="68"/>
      <c r="J22" s="68"/>
      <c r="K22" s="68"/>
      <c r="L22" s="68"/>
      <c r="M22" s="68"/>
      <c r="N22" s="68"/>
      <c r="O22" s="68"/>
    </row>
    <row r="23" spans="1:15" ht="20">
      <c r="A23" s="84"/>
      <c r="B23" s="84"/>
      <c r="C23" s="86"/>
      <c r="D23" s="86"/>
      <c r="E23" s="68"/>
      <c r="F23" s="68"/>
      <c r="G23" s="68"/>
      <c r="H23" s="68"/>
      <c r="I23" s="68"/>
      <c r="J23" s="68"/>
      <c r="K23" s="68"/>
      <c r="L23" s="68"/>
      <c r="M23" s="68"/>
      <c r="N23" s="68"/>
      <c r="O23" s="68"/>
    </row>
    <row r="24" spans="1:15" ht="20">
      <c r="A24" s="84"/>
      <c r="B24" s="84"/>
      <c r="C24" s="86"/>
      <c r="D24" s="86"/>
      <c r="E24" s="68"/>
      <c r="F24" s="68"/>
      <c r="G24" s="68"/>
      <c r="H24" s="68"/>
      <c r="I24" s="68"/>
      <c r="J24" s="68"/>
      <c r="K24" s="68"/>
      <c r="L24" s="68"/>
      <c r="M24" s="68"/>
      <c r="N24" s="68"/>
      <c r="O24" s="68"/>
    </row>
    <row r="25" spans="1:15" ht="20">
      <c r="A25" s="84"/>
      <c r="B25" s="84"/>
      <c r="C25" s="86"/>
      <c r="D25" s="86"/>
      <c r="E25" s="68"/>
      <c r="F25" s="68"/>
      <c r="G25" s="68"/>
      <c r="H25" s="68"/>
      <c r="I25" s="68"/>
      <c r="J25" s="68"/>
      <c r="K25" s="68"/>
      <c r="L25" s="68"/>
      <c r="M25" s="68"/>
      <c r="N25" s="68"/>
      <c r="O25" s="68"/>
    </row>
    <row r="26" spans="1:15" ht="20">
      <c r="A26" s="84"/>
      <c r="B26" s="84"/>
      <c r="C26" s="86"/>
      <c r="D26" s="86"/>
      <c r="E26" s="68"/>
      <c r="F26" s="68"/>
      <c r="G26" s="68"/>
      <c r="H26" s="68"/>
      <c r="I26" s="68"/>
      <c r="J26" s="68"/>
      <c r="K26" s="68"/>
      <c r="L26" s="68"/>
      <c r="M26" s="68"/>
      <c r="N26" s="68"/>
      <c r="O26" s="68"/>
    </row>
    <row r="27" spans="1:15" ht="20">
      <c r="A27" s="84"/>
      <c r="B27" s="84"/>
      <c r="C27" s="86"/>
      <c r="D27" s="86"/>
      <c r="E27" s="68"/>
      <c r="F27" s="68"/>
      <c r="G27" s="68"/>
      <c r="H27" s="68"/>
      <c r="I27" s="68"/>
      <c r="J27" s="68"/>
      <c r="K27" s="68"/>
      <c r="L27" s="68"/>
      <c r="M27" s="68"/>
      <c r="N27" s="68"/>
      <c r="O27" s="68"/>
    </row>
    <row r="28" spans="1:15" ht="20">
      <c r="A28" s="84"/>
      <c r="B28" s="84"/>
      <c r="C28" s="86"/>
      <c r="D28" s="86"/>
      <c r="E28" s="68"/>
      <c r="F28" s="68"/>
      <c r="G28" s="68"/>
      <c r="H28" s="68"/>
      <c r="I28" s="68"/>
      <c r="J28" s="68"/>
      <c r="K28" s="68"/>
      <c r="L28" s="68"/>
      <c r="M28" s="68"/>
      <c r="N28" s="68"/>
      <c r="O28" s="68"/>
    </row>
    <row r="29" spans="1:15" ht="20">
      <c r="A29" s="84"/>
      <c r="B29" s="84"/>
      <c r="C29" s="86"/>
      <c r="D29" s="86"/>
      <c r="E29" s="68"/>
      <c r="F29" s="68"/>
      <c r="G29" s="68"/>
      <c r="H29" s="68"/>
      <c r="I29" s="68"/>
      <c r="J29" s="68"/>
      <c r="K29" s="68"/>
      <c r="L29" s="68"/>
      <c r="M29" s="68"/>
      <c r="N29" s="68"/>
      <c r="O29" s="68"/>
    </row>
    <row r="30" spans="1:15" ht="20">
      <c r="A30" s="84"/>
      <c r="B30" s="84"/>
      <c r="C30" s="86"/>
      <c r="D30" s="86"/>
      <c r="E30" s="68"/>
      <c r="F30" s="68"/>
      <c r="G30" s="68"/>
      <c r="H30" s="68"/>
      <c r="I30" s="68"/>
      <c r="J30" s="68"/>
      <c r="K30" s="68"/>
      <c r="L30" s="68"/>
      <c r="M30" s="68"/>
      <c r="N30" s="68"/>
      <c r="O30" s="68"/>
    </row>
    <row r="31" spans="1:15" ht="20">
      <c r="A31" s="84"/>
      <c r="B31" s="84"/>
      <c r="C31" s="86"/>
      <c r="D31" s="86"/>
      <c r="E31" s="68"/>
      <c r="F31" s="68"/>
      <c r="G31" s="68"/>
      <c r="H31" s="68"/>
      <c r="I31" s="68"/>
      <c r="J31" s="68"/>
      <c r="K31" s="68"/>
      <c r="L31" s="68"/>
      <c r="M31" s="68"/>
      <c r="N31" s="68"/>
      <c r="O31" s="68"/>
    </row>
    <row r="32" spans="1:15" ht="20">
      <c r="A32" s="84"/>
      <c r="B32" s="84"/>
      <c r="C32" s="86"/>
      <c r="D32" s="86"/>
      <c r="E32" s="68"/>
      <c r="F32" s="68"/>
      <c r="G32" s="68"/>
      <c r="H32" s="68"/>
      <c r="I32" s="68"/>
      <c r="J32" s="68"/>
      <c r="K32" s="68"/>
      <c r="L32" s="68"/>
      <c r="M32" s="68"/>
      <c r="N32" s="68"/>
      <c r="O32" s="68"/>
    </row>
    <row r="33" spans="1:15" ht="20">
      <c r="A33" s="84"/>
      <c r="B33" s="84"/>
      <c r="C33" s="86"/>
      <c r="D33" s="86"/>
      <c r="E33" s="68"/>
      <c r="F33" s="68"/>
      <c r="G33" s="68"/>
      <c r="H33" s="68"/>
      <c r="I33" s="68"/>
      <c r="J33" s="68"/>
      <c r="K33" s="68"/>
      <c r="L33" s="68"/>
      <c r="M33" s="68"/>
      <c r="N33" s="68"/>
      <c r="O33" s="68"/>
    </row>
    <row r="34" spans="1:15" ht="20">
      <c r="A34" s="84"/>
      <c r="B34" s="84"/>
      <c r="C34" s="86"/>
      <c r="D34" s="86"/>
      <c r="E34" s="68"/>
      <c r="F34" s="68"/>
      <c r="G34" s="68"/>
      <c r="H34" s="68"/>
      <c r="I34" s="68"/>
      <c r="J34" s="68"/>
      <c r="K34" s="68"/>
      <c r="L34" s="68"/>
      <c r="M34" s="68"/>
      <c r="N34" s="68"/>
      <c r="O34" s="68"/>
    </row>
    <row r="35" spans="1:15" ht="20">
      <c r="A35" s="84"/>
      <c r="B35" s="84"/>
      <c r="C35" s="86"/>
      <c r="D35" s="86"/>
      <c r="E35" s="68"/>
      <c r="F35" s="68"/>
      <c r="G35" s="68"/>
      <c r="H35" s="68"/>
      <c r="I35" s="68"/>
      <c r="J35" s="68"/>
      <c r="K35" s="68"/>
      <c r="L35" s="68"/>
      <c r="M35" s="68"/>
      <c r="N35" s="68"/>
      <c r="O35" s="68"/>
    </row>
    <row r="36" spans="1:15" ht="20">
      <c r="A36" s="84"/>
      <c r="B36" s="84"/>
      <c r="C36" s="86"/>
      <c r="D36" s="86"/>
      <c r="E36" s="68"/>
      <c r="F36" s="68"/>
      <c r="G36" s="68"/>
      <c r="H36" s="68"/>
      <c r="I36" s="68"/>
      <c r="J36" s="68"/>
      <c r="K36" s="68"/>
      <c r="L36" s="68"/>
      <c r="M36" s="68"/>
      <c r="N36" s="68"/>
      <c r="O36" s="68"/>
    </row>
    <row r="37" spans="1:15" ht="20">
      <c r="A37" s="84"/>
      <c r="B37" s="84"/>
      <c r="C37" s="86"/>
      <c r="D37" s="86"/>
      <c r="E37" s="68"/>
      <c r="F37" s="68"/>
      <c r="G37" s="68"/>
      <c r="H37" s="68"/>
      <c r="I37" s="68"/>
      <c r="J37" s="68"/>
      <c r="K37" s="68"/>
      <c r="L37" s="68"/>
      <c r="M37" s="68"/>
      <c r="N37" s="68"/>
      <c r="O37" s="68"/>
    </row>
    <row r="38" spans="1:15" ht="20">
      <c r="A38" s="84"/>
      <c r="B38" s="84"/>
      <c r="C38" s="86"/>
      <c r="D38" s="86"/>
      <c r="E38" s="68"/>
      <c r="F38" s="68"/>
      <c r="G38" s="68"/>
      <c r="H38" s="68"/>
      <c r="I38" s="68"/>
      <c r="J38" s="68"/>
      <c r="K38" s="68"/>
      <c r="L38" s="68"/>
      <c r="M38" s="68"/>
      <c r="N38" s="68"/>
      <c r="O38" s="68"/>
    </row>
    <row r="39" spans="1:15" ht="20">
      <c r="A39" s="84"/>
      <c r="B39" s="84"/>
      <c r="C39" s="86"/>
      <c r="D39" s="86"/>
      <c r="E39" s="68"/>
      <c r="F39" s="68"/>
      <c r="G39" s="68"/>
      <c r="H39" s="68"/>
      <c r="I39" s="68"/>
      <c r="J39" s="68"/>
      <c r="K39" s="68"/>
      <c r="L39" s="68"/>
      <c r="M39" s="68"/>
      <c r="N39" s="68"/>
      <c r="O39" s="68"/>
    </row>
    <row r="40" spans="1:15" ht="20">
      <c r="A40" s="84"/>
      <c r="B40" s="84"/>
      <c r="C40" s="86"/>
      <c r="D40" s="86"/>
      <c r="E40" s="68"/>
      <c r="F40" s="68"/>
      <c r="G40" s="68"/>
      <c r="H40" s="68"/>
      <c r="I40" s="68"/>
      <c r="J40" s="68"/>
      <c r="K40" s="68"/>
      <c r="L40" s="68"/>
      <c r="M40" s="68"/>
      <c r="N40" s="68"/>
      <c r="O40" s="68"/>
    </row>
    <row r="41" spans="1:15" ht="20">
      <c r="A41" s="84"/>
      <c r="B41" s="84"/>
      <c r="C41" s="86"/>
      <c r="D41" s="86"/>
      <c r="E41" s="68"/>
      <c r="F41" s="68"/>
      <c r="G41" s="68"/>
      <c r="H41" s="68"/>
      <c r="I41" s="68"/>
      <c r="J41" s="68"/>
      <c r="K41" s="68"/>
      <c r="L41" s="68"/>
      <c r="M41" s="68"/>
      <c r="N41" s="68"/>
      <c r="O41" s="68"/>
    </row>
    <row r="42" spans="1:15" ht="20">
      <c r="A42" s="84"/>
      <c r="B42" s="84"/>
      <c r="C42" s="86"/>
      <c r="D42" s="86"/>
      <c r="E42" s="68"/>
      <c r="F42" s="68"/>
      <c r="G42" s="68"/>
      <c r="H42" s="68"/>
      <c r="I42" s="68"/>
      <c r="J42" s="68"/>
      <c r="K42" s="68"/>
      <c r="L42" s="68"/>
      <c r="M42" s="68"/>
      <c r="N42" s="68"/>
      <c r="O42" s="68"/>
    </row>
    <row r="43" spans="1:15" ht="20">
      <c r="A43" s="84"/>
      <c r="B43" s="84"/>
      <c r="C43" s="86"/>
      <c r="D43" s="86"/>
      <c r="E43" s="68"/>
      <c r="F43" s="68"/>
      <c r="G43" s="68"/>
      <c r="H43" s="68"/>
      <c r="I43" s="68"/>
      <c r="J43" s="68"/>
      <c r="K43" s="68"/>
      <c r="L43" s="68"/>
      <c r="M43" s="68"/>
      <c r="N43" s="68"/>
      <c r="O43" s="68"/>
    </row>
    <row r="44" spans="1:15" ht="20">
      <c r="A44" s="84"/>
      <c r="B44" s="84"/>
      <c r="C44" s="86"/>
      <c r="D44" s="86"/>
      <c r="E44" s="68"/>
      <c r="F44" s="68"/>
      <c r="G44" s="68"/>
      <c r="H44" s="68"/>
      <c r="I44" s="68"/>
      <c r="J44" s="68"/>
      <c r="K44" s="68"/>
      <c r="L44" s="68"/>
      <c r="M44" s="68"/>
      <c r="N44" s="68"/>
      <c r="O44" s="68"/>
    </row>
    <row r="45" spans="1:15" ht="20">
      <c r="A45" s="84"/>
      <c r="B45" s="84"/>
      <c r="C45" s="86"/>
      <c r="D45" s="86"/>
      <c r="E45" s="68"/>
      <c r="F45" s="68"/>
      <c r="G45" s="68"/>
      <c r="H45" s="68"/>
      <c r="I45" s="68"/>
      <c r="J45" s="68"/>
      <c r="K45" s="68"/>
      <c r="L45" s="68"/>
      <c r="M45" s="68"/>
      <c r="N45" s="68"/>
      <c r="O45" s="68"/>
    </row>
    <row r="46" spans="1:15" ht="20">
      <c r="A46" s="84"/>
      <c r="B46" s="84"/>
      <c r="C46" s="86"/>
      <c r="D46" s="86"/>
      <c r="E46" s="68"/>
      <c r="F46" s="68"/>
      <c r="G46" s="68"/>
      <c r="H46" s="68"/>
      <c r="I46" s="68"/>
      <c r="J46" s="68"/>
      <c r="K46" s="68"/>
      <c r="L46" s="68"/>
      <c r="M46" s="68"/>
      <c r="N46" s="68"/>
      <c r="O46" s="68"/>
    </row>
    <row r="47" spans="1:15" ht="20">
      <c r="A47" s="84"/>
      <c r="B47" s="84"/>
      <c r="C47" s="86"/>
      <c r="D47" s="86"/>
      <c r="E47" s="68"/>
      <c r="F47" s="68"/>
      <c r="G47" s="68"/>
      <c r="H47" s="68"/>
      <c r="I47" s="68"/>
      <c r="J47" s="68"/>
      <c r="K47" s="68"/>
      <c r="L47" s="68"/>
      <c r="M47" s="68"/>
      <c r="N47" s="68"/>
      <c r="O47" s="68"/>
    </row>
    <row r="48" spans="1:15" ht="20">
      <c r="A48" s="84"/>
      <c r="B48" s="84"/>
      <c r="C48" s="86"/>
      <c r="D48" s="86"/>
      <c r="E48" s="68"/>
      <c r="F48" s="68"/>
      <c r="G48" s="68"/>
      <c r="H48" s="68"/>
      <c r="I48" s="68"/>
      <c r="J48" s="68"/>
      <c r="K48" s="68"/>
      <c r="L48" s="68"/>
      <c r="M48" s="68"/>
      <c r="N48" s="68"/>
      <c r="O48" s="68"/>
    </row>
    <row r="49" spans="1:15" ht="20">
      <c r="A49" s="84"/>
      <c r="B49" s="84"/>
      <c r="C49" s="86"/>
      <c r="D49" s="86"/>
      <c r="E49" s="68"/>
      <c r="F49" s="68"/>
      <c r="G49" s="68"/>
      <c r="H49" s="68"/>
      <c r="I49" s="68"/>
      <c r="J49" s="68"/>
      <c r="K49" s="68"/>
      <c r="L49" s="68"/>
      <c r="M49" s="68"/>
      <c r="N49" s="68"/>
      <c r="O49" s="68"/>
    </row>
    <row r="50" spans="1:15" ht="20">
      <c r="A50" s="84"/>
      <c r="B50" s="84"/>
      <c r="C50" s="86"/>
      <c r="D50" s="86"/>
      <c r="E50" s="68"/>
      <c r="F50" s="68"/>
      <c r="G50" s="68"/>
      <c r="H50" s="68"/>
      <c r="I50" s="68"/>
      <c r="J50" s="68"/>
      <c r="K50" s="68"/>
      <c r="L50" s="68"/>
      <c r="M50" s="68"/>
      <c r="N50" s="68"/>
      <c r="O50" s="68"/>
    </row>
    <row r="51" spans="1:15" ht="20">
      <c r="A51" s="84"/>
      <c r="B51" s="84"/>
      <c r="C51" s="86"/>
      <c r="D51" s="86"/>
      <c r="E51" s="68"/>
      <c r="F51" s="68"/>
      <c r="G51" s="68"/>
      <c r="H51" s="68"/>
      <c r="I51" s="68"/>
      <c r="J51" s="68"/>
      <c r="K51" s="68"/>
      <c r="L51" s="68"/>
      <c r="M51" s="68"/>
      <c r="N51" s="68"/>
      <c r="O51" s="68"/>
    </row>
    <row r="52" spans="1:15" ht="20">
      <c r="A52" s="84"/>
      <c r="B52" s="15"/>
      <c r="C52" s="20"/>
      <c r="D52" s="20"/>
    </row>
    <row r="53" spans="1:15" ht="20">
      <c r="A53" s="84"/>
      <c r="B53" s="15"/>
      <c r="C53" s="20"/>
      <c r="D53" s="20"/>
    </row>
    <row r="54" spans="1:15" ht="20">
      <c r="A54" s="84"/>
      <c r="B54" s="15"/>
      <c r="C54" s="20"/>
      <c r="D54" s="20"/>
    </row>
    <row r="55" spans="1:15" ht="20">
      <c r="A55" s="84"/>
      <c r="B55" s="15"/>
      <c r="C55" s="20"/>
      <c r="D55" s="20"/>
    </row>
    <row r="56" spans="1:15" ht="20">
      <c r="A56" s="84"/>
      <c r="B56" s="15"/>
      <c r="C56" s="20"/>
      <c r="D56" s="20"/>
    </row>
    <row r="57" spans="1:15" ht="20">
      <c r="A57" s="84"/>
      <c r="B57" s="15"/>
      <c r="C57" s="20"/>
      <c r="D57" s="20"/>
    </row>
    <row r="58" spans="1:15" ht="20">
      <c r="A58" s="84"/>
      <c r="B58" s="15"/>
      <c r="C58" s="20"/>
      <c r="D58" s="20"/>
    </row>
    <row r="59" spans="1:15" ht="20">
      <c r="A59" s="84"/>
      <c r="B59" s="15"/>
      <c r="C59" s="20"/>
      <c r="D59" s="20"/>
    </row>
    <row r="60" spans="1:15" ht="20">
      <c r="A60" s="84"/>
      <c r="B60" s="15"/>
      <c r="C60" s="20"/>
      <c r="D60" s="20"/>
    </row>
    <row r="61" spans="1:15" ht="20">
      <c r="A61" s="84"/>
      <c r="B61" s="15"/>
      <c r="C61" s="20"/>
      <c r="D61" s="20"/>
    </row>
    <row r="62" spans="1:15" ht="20">
      <c r="A62" s="84"/>
      <c r="B62" s="15"/>
      <c r="C62" s="20"/>
      <c r="D62" s="20"/>
    </row>
    <row r="63" spans="1:15" ht="20">
      <c r="A63" s="84"/>
      <c r="B63" s="15"/>
      <c r="C63" s="20"/>
      <c r="D63" s="20"/>
    </row>
    <row r="64" spans="1:15" ht="20">
      <c r="A64" s="84"/>
      <c r="B64" s="15"/>
      <c r="C64" s="20"/>
      <c r="D64" s="20"/>
    </row>
    <row r="65" spans="1:4" ht="20">
      <c r="A65" s="84"/>
      <c r="B65" s="15"/>
      <c r="C65" s="20"/>
      <c r="D65" s="20"/>
    </row>
    <row r="66" spans="1:4" ht="20">
      <c r="A66" s="84"/>
      <c r="B66" s="15"/>
      <c r="C66" s="20"/>
      <c r="D66" s="20"/>
    </row>
    <row r="67" spans="1:4" ht="20">
      <c r="A67" s="84"/>
      <c r="B67" s="15"/>
      <c r="C67" s="20"/>
      <c r="D67" s="20"/>
    </row>
    <row r="68" spans="1:4" ht="20">
      <c r="A68" s="84"/>
      <c r="B68" s="15"/>
      <c r="C68" s="20"/>
      <c r="D68" s="20"/>
    </row>
    <row r="69" spans="1:4" ht="20">
      <c r="A69" s="84"/>
      <c r="B69" s="15"/>
      <c r="C69" s="20"/>
      <c r="D69" s="20"/>
    </row>
    <row r="70" spans="1:4" ht="20">
      <c r="A70" s="84"/>
      <c r="B70" s="15"/>
      <c r="C70" s="20"/>
      <c r="D70" s="20"/>
    </row>
    <row r="71" spans="1:4" ht="20">
      <c r="A71" s="84"/>
      <c r="B71" s="15"/>
      <c r="C71" s="20"/>
      <c r="D71" s="20"/>
    </row>
    <row r="72" spans="1:4" ht="20">
      <c r="A72" s="84"/>
      <c r="B72" s="15"/>
      <c r="C72" s="20"/>
      <c r="D72" s="20"/>
    </row>
    <row r="73" spans="1:4" ht="20">
      <c r="A73" s="84"/>
      <c r="B73" s="15"/>
      <c r="C73" s="20"/>
      <c r="D73" s="20"/>
    </row>
    <row r="74" spans="1:4" ht="20">
      <c r="A74" s="84"/>
      <c r="B74" s="15"/>
      <c r="C74" s="20"/>
      <c r="D74" s="20"/>
    </row>
    <row r="75" spans="1:4" ht="20">
      <c r="A75" s="84"/>
      <c r="B75" s="15"/>
      <c r="C75" s="20"/>
      <c r="D75" s="20"/>
    </row>
    <row r="76" spans="1:4" ht="20">
      <c r="A76" s="84"/>
      <c r="B76" s="15"/>
      <c r="C76" s="20"/>
      <c r="D76" s="20"/>
    </row>
    <row r="77" spans="1:4" ht="20">
      <c r="A77" s="84"/>
      <c r="B77" s="15"/>
      <c r="C77" s="20"/>
      <c r="D77" s="20"/>
    </row>
    <row r="78" spans="1:4" ht="20">
      <c r="A78" s="84"/>
      <c r="B78" s="15"/>
      <c r="C78" s="20"/>
      <c r="D78" s="20"/>
    </row>
    <row r="79" spans="1:4" ht="20">
      <c r="A79" s="84"/>
      <c r="B79" s="15"/>
      <c r="C79" s="20"/>
      <c r="D79" s="20"/>
    </row>
    <row r="80" spans="1:4" ht="20">
      <c r="A80" s="84"/>
      <c r="B80" s="15"/>
      <c r="C80" s="20"/>
      <c r="D80" s="20"/>
    </row>
    <row r="81" spans="1:4" ht="20">
      <c r="A81" s="84"/>
      <c r="B81" s="15"/>
      <c r="C81" s="20"/>
      <c r="D81" s="20"/>
    </row>
    <row r="82" spans="1:4" ht="20">
      <c r="A82" s="84"/>
      <c r="B82" s="15"/>
      <c r="C82" s="20"/>
      <c r="D82" s="20"/>
    </row>
    <row r="83" spans="1:4" ht="20">
      <c r="A83" s="84"/>
      <c r="B83" s="15"/>
      <c r="C83" s="20"/>
      <c r="D83" s="20"/>
    </row>
    <row r="84" spans="1:4" ht="20">
      <c r="A84" s="84"/>
      <c r="B84" s="15"/>
      <c r="C84" s="20"/>
      <c r="D84" s="20"/>
    </row>
    <row r="85" spans="1:4" ht="20">
      <c r="A85" s="84"/>
      <c r="B85" s="15"/>
      <c r="C85" s="20"/>
      <c r="D85" s="20"/>
    </row>
    <row r="86" spans="1:4" ht="20">
      <c r="A86" s="84"/>
      <c r="B86" s="15"/>
      <c r="C86" s="20"/>
      <c r="D86" s="20"/>
    </row>
    <row r="87" spans="1:4" ht="20">
      <c r="A87" s="84"/>
      <c r="B87" s="15"/>
      <c r="C87" s="20"/>
      <c r="D87" s="20"/>
    </row>
    <row r="88" spans="1:4" ht="20">
      <c r="A88" s="84"/>
      <c r="B88" s="15"/>
      <c r="C88" s="20"/>
      <c r="D88" s="20"/>
    </row>
    <row r="89" spans="1:4" ht="20">
      <c r="A89" s="84"/>
      <c r="B89" s="15"/>
      <c r="C89" s="20"/>
      <c r="D89" s="20"/>
    </row>
    <row r="90" spans="1:4" ht="20">
      <c r="A90" s="84"/>
      <c r="B90" s="15"/>
      <c r="C90" s="20"/>
      <c r="D90" s="20"/>
    </row>
    <row r="91" spans="1:4" ht="20">
      <c r="A91" s="84"/>
      <c r="B91" s="15"/>
      <c r="C91" s="20"/>
      <c r="D91" s="20"/>
    </row>
    <row r="92" spans="1:4" ht="20">
      <c r="A92" s="84"/>
      <c r="B92" s="15"/>
      <c r="C92" s="20"/>
      <c r="D92" s="20"/>
    </row>
    <row r="93" spans="1:4" ht="20">
      <c r="A93" s="84"/>
      <c r="B93" s="15"/>
      <c r="C93" s="20"/>
      <c r="D93" s="20"/>
    </row>
    <row r="94" spans="1:4" ht="20">
      <c r="A94" s="84"/>
      <c r="B94" s="15"/>
      <c r="C94" s="20"/>
      <c r="D94" s="20"/>
    </row>
    <row r="95" spans="1:4" ht="20">
      <c r="A95" s="84"/>
      <c r="B95" s="15"/>
      <c r="C95" s="20"/>
      <c r="D95" s="20"/>
    </row>
    <row r="96" spans="1:4" ht="20">
      <c r="A96" s="84"/>
      <c r="B96" s="15"/>
      <c r="C96" s="20"/>
      <c r="D96" s="20"/>
    </row>
    <row r="97" spans="1:4" ht="20">
      <c r="A97" s="84"/>
      <c r="B97" s="15"/>
      <c r="C97" s="20"/>
      <c r="D97" s="20"/>
    </row>
    <row r="98" spans="1:4" ht="20">
      <c r="A98" s="84"/>
      <c r="B98" s="15"/>
      <c r="C98" s="20"/>
      <c r="D98" s="20"/>
    </row>
    <row r="99" spans="1:4" ht="20">
      <c r="A99" s="84"/>
      <c r="B99" s="15"/>
      <c r="C99" s="20"/>
      <c r="D99" s="20"/>
    </row>
    <row r="100" spans="1:4" ht="20">
      <c r="A100" s="84"/>
      <c r="B100" s="15"/>
      <c r="C100" s="20"/>
      <c r="D100" s="20"/>
    </row>
    <row r="101" spans="1:4" ht="20">
      <c r="A101" s="84"/>
      <c r="B101" s="15"/>
      <c r="C101" s="20"/>
      <c r="D101" s="20"/>
    </row>
    <row r="102" spans="1:4" ht="20">
      <c r="A102" s="84"/>
      <c r="B102" s="15"/>
      <c r="C102" s="20"/>
      <c r="D102" s="20"/>
    </row>
    <row r="103" spans="1:4" ht="20">
      <c r="A103" s="84"/>
      <c r="B103" s="15"/>
      <c r="C103" s="20"/>
      <c r="D103" s="20"/>
    </row>
    <row r="104" spans="1:4" ht="20">
      <c r="A104" s="84"/>
      <c r="B104" s="15"/>
      <c r="C104" s="20"/>
      <c r="D104" s="20"/>
    </row>
    <row r="105" spans="1:4" ht="20">
      <c r="A105" s="84"/>
      <c r="B105" s="15"/>
      <c r="C105" s="20"/>
      <c r="D105" s="20"/>
    </row>
    <row r="106" spans="1:4" ht="20">
      <c r="A106" s="84"/>
      <c r="B106" s="15"/>
      <c r="C106" s="20"/>
      <c r="D106" s="20"/>
    </row>
    <row r="107" spans="1:4" ht="20">
      <c r="A107" s="84"/>
      <c r="B107" s="15"/>
      <c r="C107" s="20"/>
      <c r="D107" s="20"/>
    </row>
    <row r="108" spans="1:4" ht="20">
      <c r="A108" s="84"/>
      <c r="B108" s="15"/>
      <c r="C108" s="20"/>
      <c r="D108" s="20"/>
    </row>
    <row r="109" spans="1:4" ht="20">
      <c r="A109" s="84"/>
      <c r="B109" s="15"/>
      <c r="C109" s="20"/>
      <c r="D109" s="20"/>
    </row>
    <row r="110" spans="1:4" ht="20">
      <c r="A110" s="84"/>
      <c r="B110" s="15"/>
      <c r="C110" s="20"/>
      <c r="D110" s="20"/>
    </row>
    <row r="111" spans="1:4" ht="20">
      <c r="A111" s="84"/>
      <c r="B111" s="15"/>
      <c r="C111" s="20"/>
      <c r="D111" s="20"/>
    </row>
    <row r="112" spans="1:4" ht="20">
      <c r="A112" s="84"/>
      <c r="B112" s="15"/>
      <c r="C112" s="20"/>
      <c r="D112" s="20"/>
    </row>
    <row r="113" spans="1:4" ht="20">
      <c r="A113" s="84"/>
      <c r="B113" s="15"/>
      <c r="C113" s="20"/>
      <c r="D113" s="20"/>
    </row>
    <row r="114" spans="1:4" ht="20">
      <c r="A114" s="84"/>
      <c r="B114" s="15"/>
      <c r="C114" s="20"/>
      <c r="D114" s="20"/>
    </row>
    <row r="115" spans="1:4" ht="20">
      <c r="A115" s="84"/>
      <c r="B115" s="15"/>
      <c r="C115" s="20"/>
      <c r="D115" s="20"/>
    </row>
    <row r="116" spans="1:4" ht="20">
      <c r="A116" s="84"/>
      <c r="B116" s="15"/>
      <c r="C116" s="20"/>
      <c r="D116" s="20"/>
    </row>
    <row r="117" spans="1:4" ht="20">
      <c r="A117" s="84"/>
      <c r="B117" s="15"/>
      <c r="C117" s="20"/>
      <c r="D117" s="20"/>
    </row>
    <row r="118" spans="1:4" ht="20">
      <c r="A118" s="84"/>
      <c r="B118" s="15"/>
      <c r="C118" s="20"/>
      <c r="D118" s="20"/>
    </row>
    <row r="119" spans="1:4" ht="20">
      <c r="A119" s="84"/>
      <c r="B119" s="15"/>
      <c r="C119" s="20"/>
      <c r="D119" s="20"/>
    </row>
    <row r="120" spans="1:4" ht="20">
      <c r="A120" s="84"/>
      <c r="B120" s="15"/>
      <c r="C120" s="20"/>
      <c r="D120" s="20"/>
    </row>
    <row r="121" spans="1:4" ht="20">
      <c r="A121" s="84"/>
      <c r="B121" s="15"/>
      <c r="C121" s="20"/>
      <c r="D121" s="20"/>
    </row>
    <row r="122" spans="1:4" ht="20">
      <c r="A122" s="84"/>
      <c r="B122" s="15"/>
      <c r="C122" s="20"/>
      <c r="D122" s="20"/>
    </row>
    <row r="123" spans="1:4" ht="20">
      <c r="A123" s="84"/>
      <c r="B123" s="15"/>
      <c r="C123" s="20"/>
      <c r="D123" s="20"/>
    </row>
    <row r="124" spans="1:4" ht="20">
      <c r="A124" s="84"/>
      <c r="B124" s="15"/>
      <c r="C124" s="20"/>
      <c r="D124" s="20"/>
    </row>
    <row r="125" spans="1:4" ht="20">
      <c r="A125" s="84"/>
      <c r="B125" s="15"/>
      <c r="C125" s="20"/>
      <c r="D125" s="20"/>
    </row>
    <row r="126" spans="1:4" ht="20">
      <c r="A126" s="84"/>
      <c r="B126" s="15"/>
      <c r="C126" s="20"/>
      <c r="D126" s="20"/>
    </row>
    <row r="127" spans="1:4" ht="20">
      <c r="A127" s="84"/>
      <c r="B127" s="15"/>
      <c r="C127" s="20"/>
      <c r="D127" s="20"/>
    </row>
    <row r="128" spans="1:4" ht="20">
      <c r="A128" s="84"/>
      <c r="B128" s="15"/>
      <c r="C128" s="20"/>
      <c r="D128" s="20"/>
    </row>
    <row r="129" spans="1:4" ht="20">
      <c r="A129" s="84"/>
      <c r="B129" s="15"/>
      <c r="C129" s="20"/>
      <c r="D129" s="20"/>
    </row>
    <row r="130" spans="1:4" ht="20">
      <c r="A130" s="84"/>
      <c r="B130" s="15"/>
      <c r="C130" s="20"/>
      <c r="D130" s="20"/>
    </row>
    <row r="131" spans="1:4" ht="20">
      <c r="A131" s="84"/>
      <c r="B131" s="15"/>
      <c r="C131" s="20"/>
      <c r="D131" s="20"/>
    </row>
    <row r="132" spans="1:4" ht="20">
      <c r="A132" s="84"/>
      <c r="B132" s="15"/>
      <c r="C132" s="20"/>
      <c r="D132" s="20"/>
    </row>
    <row r="133" spans="1:4" ht="20">
      <c r="A133" s="84"/>
      <c r="B133" s="15"/>
      <c r="C133" s="20"/>
      <c r="D133" s="20"/>
    </row>
    <row r="134" spans="1:4" ht="20">
      <c r="A134" s="84"/>
      <c r="B134" s="15"/>
      <c r="C134" s="20"/>
      <c r="D134" s="20"/>
    </row>
    <row r="135" spans="1:4" ht="20">
      <c r="A135" s="84"/>
      <c r="B135" s="15"/>
      <c r="C135" s="20"/>
      <c r="D135" s="20"/>
    </row>
    <row r="136" spans="1:4" ht="20">
      <c r="A136" s="84"/>
      <c r="B136" s="15"/>
      <c r="C136" s="20"/>
      <c r="D136" s="20"/>
    </row>
    <row r="137" spans="1:4" ht="20">
      <c r="A137" s="84"/>
      <c r="B137" s="15"/>
      <c r="C137" s="20"/>
      <c r="D137" s="20"/>
    </row>
    <row r="138" spans="1:4" ht="20">
      <c r="A138" s="84"/>
      <c r="B138" s="15"/>
      <c r="C138" s="20"/>
      <c r="D138" s="20"/>
    </row>
    <row r="139" spans="1:4" ht="20">
      <c r="A139" s="84"/>
      <c r="B139" s="15"/>
      <c r="C139" s="20"/>
      <c r="D139" s="20"/>
    </row>
    <row r="140" spans="1:4" ht="20">
      <c r="A140" s="84"/>
      <c r="B140" s="15"/>
      <c r="C140" s="20"/>
      <c r="D140" s="20"/>
    </row>
    <row r="141" spans="1:4" ht="20">
      <c r="A141" s="84"/>
      <c r="B141" s="15"/>
      <c r="C141" s="20"/>
      <c r="D141" s="20"/>
    </row>
    <row r="142" spans="1:4" ht="20">
      <c r="A142" s="84"/>
      <c r="B142" s="15"/>
      <c r="C142" s="20"/>
      <c r="D142" s="20"/>
    </row>
    <row r="143" spans="1:4" ht="20">
      <c r="A143" s="84"/>
      <c r="B143" s="15"/>
      <c r="C143" s="20"/>
      <c r="D143" s="20"/>
    </row>
    <row r="144" spans="1:4" ht="20">
      <c r="A144" s="84"/>
      <c r="B144" s="15"/>
      <c r="C144" s="20"/>
      <c r="D144" s="20"/>
    </row>
    <row r="145" spans="1:4" ht="20">
      <c r="A145" s="84"/>
      <c r="B145" s="15"/>
      <c r="C145" s="20"/>
      <c r="D145" s="20"/>
    </row>
    <row r="146" spans="1:4" ht="20">
      <c r="A146" s="84"/>
      <c r="B146" s="15"/>
      <c r="C146" s="20"/>
      <c r="D146" s="20"/>
    </row>
    <row r="147" spans="1:4" ht="20">
      <c r="A147" s="84"/>
      <c r="B147" s="15"/>
      <c r="C147" s="20"/>
      <c r="D147" s="20"/>
    </row>
    <row r="148" spans="1:4" ht="20">
      <c r="A148" s="84"/>
      <c r="B148" s="15"/>
      <c r="C148" s="20"/>
      <c r="D148" s="20"/>
    </row>
    <row r="149" spans="1:4" ht="20">
      <c r="A149" s="84"/>
      <c r="B149" s="15"/>
      <c r="C149" s="20"/>
      <c r="D149" s="20"/>
    </row>
    <row r="150" spans="1:4" ht="20">
      <c r="A150" s="84"/>
      <c r="B150" s="15"/>
      <c r="C150" s="20"/>
      <c r="D150" s="20"/>
    </row>
    <row r="151" spans="1:4" ht="20">
      <c r="A151" s="84"/>
      <c r="B151" s="15"/>
      <c r="C151" s="20"/>
      <c r="D151" s="20"/>
    </row>
    <row r="152" spans="1:4" ht="20">
      <c r="A152" s="84"/>
      <c r="B152" s="15"/>
      <c r="C152" s="20"/>
      <c r="D152" s="20"/>
    </row>
    <row r="153" spans="1:4" ht="20">
      <c r="A153" s="84"/>
      <c r="B153" s="15"/>
      <c r="C153" s="20"/>
      <c r="D153" s="20"/>
    </row>
    <row r="154" spans="1:4" ht="20">
      <c r="A154" s="84"/>
      <c r="B154" s="15"/>
      <c r="C154" s="20"/>
      <c r="D154" s="20"/>
    </row>
    <row r="155" spans="1:4" ht="20">
      <c r="A155" s="84"/>
      <c r="B155" s="15"/>
      <c r="C155" s="20"/>
      <c r="D155" s="20"/>
    </row>
    <row r="156" spans="1:4" ht="20">
      <c r="A156" s="84"/>
      <c r="B156" s="15"/>
      <c r="C156" s="20"/>
      <c r="D156" s="20"/>
    </row>
    <row r="157" spans="1:4" ht="20">
      <c r="A157" s="84"/>
      <c r="B157" s="15"/>
      <c r="C157" s="20"/>
      <c r="D157" s="20"/>
    </row>
    <row r="158" spans="1:4" ht="20">
      <c r="A158" s="84"/>
      <c r="B158" s="15"/>
      <c r="C158" s="20"/>
      <c r="D158" s="20"/>
    </row>
    <row r="159" spans="1:4" ht="20">
      <c r="A159" s="84"/>
      <c r="B159" s="15"/>
      <c r="C159" s="20"/>
      <c r="D159" s="20"/>
    </row>
    <row r="160" spans="1:4" ht="20">
      <c r="A160" s="84"/>
      <c r="B160" s="15"/>
      <c r="C160" s="20"/>
      <c r="D160" s="20"/>
    </row>
    <row r="161" spans="1:4" ht="20">
      <c r="A161" s="84"/>
      <c r="B161" s="15"/>
      <c r="C161" s="20"/>
      <c r="D161" s="20"/>
    </row>
    <row r="162" spans="1:4" ht="20">
      <c r="A162" s="84"/>
      <c r="B162" s="15"/>
      <c r="C162" s="20"/>
      <c r="D162" s="20"/>
    </row>
    <row r="163" spans="1:4" ht="20">
      <c r="A163" s="84"/>
      <c r="B163" s="15"/>
      <c r="C163" s="20"/>
      <c r="D163" s="20"/>
    </row>
    <row r="164" spans="1:4" ht="20">
      <c r="A164" s="84"/>
      <c r="B164" s="15"/>
      <c r="C164" s="20"/>
      <c r="D164" s="20"/>
    </row>
    <row r="165" spans="1:4" ht="20">
      <c r="A165" s="84"/>
      <c r="B165" s="15"/>
      <c r="C165" s="20"/>
      <c r="D165" s="20"/>
    </row>
    <row r="166" spans="1:4" ht="20">
      <c r="A166" s="84"/>
      <c r="B166" s="15"/>
      <c r="C166" s="20"/>
      <c r="D166" s="20"/>
    </row>
    <row r="167" spans="1:4" ht="20">
      <c r="A167" s="84"/>
      <c r="B167" s="15"/>
      <c r="C167" s="20"/>
      <c r="D167" s="20"/>
    </row>
    <row r="168" spans="1:4" ht="20">
      <c r="A168" s="84"/>
      <c r="B168" s="15"/>
      <c r="C168" s="20"/>
      <c r="D168" s="20"/>
    </row>
    <row r="169" spans="1:4" ht="20">
      <c r="A169" s="84"/>
      <c r="B169" s="15"/>
      <c r="C169" s="20"/>
      <c r="D169" s="20"/>
    </row>
    <row r="170" spans="1:4" ht="20">
      <c r="A170" s="84"/>
      <c r="B170" s="15"/>
      <c r="C170" s="20"/>
      <c r="D170" s="20"/>
    </row>
    <row r="171" spans="1:4" ht="20">
      <c r="A171" s="84"/>
      <c r="B171" s="15"/>
      <c r="C171" s="20"/>
      <c r="D171" s="20"/>
    </row>
    <row r="172" spans="1:4" ht="20">
      <c r="A172" s="84"/>
      <c r="B172" s="15"/>
      <c r="C172" s="20"/>
      <c r="D172" s="20"/>
    </row>
    <row r="173" spans="1:4" ht="20">
      <c r="A173" s="84"/>
      <c r="B173" s="15"/>
      <c r="C173" s="20"/>
      <c r="D173" s="20"/>
    </row>
    <row r="174" spans="1:4" ht="20">
      <c r="A174" s="84"/>
      <c r="B174" s="15"/>
      <c r="C174" s="20"/>
      <c r="D174" s="20"/>
    </row>
    <row r="175" spans="1:4" ht="20">
      <c r="A175" s="84"/>
      <c r="B175" s="15"/>
      <c r="C175" s="20"/>
      <c r="D175" s="20"/>
    </row>
    <row r="176" spans="1:4" ht="20">
      <c r="A176" s="84"/>
      <c r="B176" s="15"/>
      <c r="C176" s="20"/>
      <c r="D176" s="20"/>
    </row>
    <row r="177" spans="1:4" ht="20">
      <c r="A177" s="84"/>
      <c r="B177" s="15"/>
      <c r="C177" s="20"/>
      <c r="D177" s="20"/>
    </row>
    <row r="178" spans="1:4" ht="20">
      <c r="A178" s="84"/>
      <c r="B178" s="15"/>
      <c r="C178" s="20"/>
      <c r="D178" s="20"/>
    </row>
    <row r="179" spans="1:4" ht="20">
      <c r="A179" s="84"/>
      <c r="B179" s="15"/>
      <c r="C179" s="20"/>
      <c r="D179" s="20"/>
    </row>
    <row r="180" spans="1:4" ht="20">
      <c r="A180" s="84"/>
      <c r="B180" s="15"/>
      <c r="C180" s="20"/>
      <c r="D180" s="20"/>
    </row>
    <row r="181" spans="1:4" ht="20">
      <c r="A181" s="84"/>
      <c r="B181" s="15"/>
      <c r="C181" s="20"/>
      <c r="D181" s="20"/>
    </row>
    <row r="182" spans="1:4" ht="20">
      <c r="A182" s="84"/>
      <c r="B182" s="15"/>
      <c r="C182" s="20"/>
      <c r="D182" s="20"/>
    </row>
    <row r="183" spans="1:4" ht="20">
      <c r="A183" s="84"/>
      <c r="B183" s="15"/>
      <c r="C183" s="20"/>
      <c r="D183" s="20"/>
    </row>
    <row r="184" spans="1:4" ht="20">
      <c r="A184" s="84"/>
      <c r="B184" s="15"/>
      <c r="C184" s="20"/>
      <c r="D184" s="20"/>
    </row>
    <row r="185" spans="1:4" ht="20">
      <c r="A185" s="84"/>
      <c r="B185" s="15"/>
      <c r="C185" s="20"/>
      <c r="D185" s="20"/>
    </row>
    <row r="186" spans="1:4" ht="20">
      <c r="A186" s="84"/>
      <c r="B186" s="15"/>
      <c r="C186" s="20"/>
      <c r="D186" s="20"/>
    </row>
    <row r="187" spans="1:4" ht="20">
      <c r="A187" s="84"/>
      <c r="B187" s="15"/>
      <c r="C187" s="20"/>
      <c r="D187" s="20"/>
    </row>
    <row r="188" spans="1:4" ht="20">
      <c r="A188" s="84"/>
      <c r="B188" s="15"/>
      <c r="C188" s="20"/>
      <c r="D188" s="20"/>
    </row>
    <row r="189" spans="1:4" ht="20">
      <c r="A189" s="84"/>
      <c r="B189" s="15"/>
      <c r="C189" s="20"/>
      <c r="D189" s="20"/>
    </row>
    <row r="190" spans="1:4" ht="20">
      <c r="A190" s="84"/>
      <c r="B190" s="15"/>
      <c r="C190" s="20"/>
      <c r="D190" s="20"/>
    </row>
    <row r="191" spans="1:4" ht="20">
      <c r="A191" s="84"/>
      <c r="B191" s="15"/>
      <c r="C191" s="20"/>
      <c r="D191" s="20"/>
    </row>
    <row r="192" spans="1:4" ht="20">
      <c r="A192" s="84"/>
      <c r="B192" s="15"/>
      <c r="C192" s="20"/>
      <c r="D192" s="20"/>
    </row>
    <row r="193" spans="1:4" ht="20">
      <c r="A193" s="84"/>
      <c r="B193" s="15"/>
      <c r="C193" s="20"/>
      <c r="D193" s="20"/>
    </row>
    <row r="194" spans="1:4" ht="20">
      <c r="A194" s="84"/>
      <c r="B194" s="15"/>
      <c r="C194" s="20"/>
      <c r="D194" s="20"/>
    </row>
    <row r="195" spans="1:4" ht="20">
      <c r="A195" s="84"/>
      <c r="B195" s="15"/>
      <c r="C195" s="20"/>
      <c r="D195" s="20"/>
    </row>
    <row r="196" spans="1:4" ht="20">
      <c r="A196" s="84"/>
      <c r="B196" s="15"/>
      <c r="C196" s="20"/>
      <c r="D196" s="20"/>
    </row>
    <row r="197" spans="1:4" ht="20">
      <c r="A197" s="84"/>
      <c r="B197" s="15"/>
      <c r="C197" s="20"/>
      <c r="D197" s="20"/>
    </row>
    <row r="198" spans="1:4" ht="20">
      <c r="A198" s="84"/>
      <c r="B198" s="15"/>
      <c r="C198" s="20"/>
      <c r="D198" s="20"/>
    </row>
    <row r="199" spans="1:4" ht="20">
      <c r="A199" s="84"/>
      <c r="B199" s="15"/>
      <c r="C199" s="20"/>
      <c r="D199" s="20"/>
    </row>
    <row r="200" spans="1:4" ht="20">
      <c r="A200" s="84"/>
      <c r="B200" s="15"/>
      <c r="C200" s="20"/>
      <c r="D200" s="20"/>
    </row>
    <row r="201" spans="1:4" ht="20">
      <c r="A201" s="84"/>
      <c r="B201" s="15"/>
      <c r="C201" s="20"/>
      <c r="D201" s="20"/>
    </row>
    <row r="202" spans="1:4" ht="20">
      <c r="A202" s="84"/>
      <c r="B202" s="15"/>
      <c r="C202" s="20"/>
      <c r="D202" s="20"/>
    </row>
    <row r="203" spans="1:4" ht="20">
      <c r="A203" s="84"/>
      <c r="B203" s="15"/>
      <c r="C203" s="20"/>
      <c r="D203" s="20"/>
    </row>
    <row r="204" spans="1:4" ht="20">
      <c r="A204" s="84"/>
      <c r="B204" s="15"/>
      <c r="C204" s="20"/>
      <c r="D204" s="20"/>
    </row>
    <row r="205" spans="1:4" ht="20">
      <c r="A205" s="84"/>
      <c r="B205" s="15"/>
      <c r="C205" s="20"/>
      <c r="D205" s="20"/>
    </row>
    <row r="206" spans="1:4" ht="20">
      <c r="A206" s="84"/>
      <c r="B206" s="15"/>
      <c r="C206" s="20"/>
      <c r="D206" s="20"/>
    </row>
    <row r="207" spans="1:4" ht="20">
      <c r="A207" s="84"/>
      <c r="B207" s="15"/>
      <c r="C207" s="20"/>
      <c r="D207" s="20"/>
    </row>
    <row r="208" spans="1:4">
      <c r="A208" s="68"/>
      <c r="B208" s="15"/>
      <c r="C208" s="15"/>
      <c r="D208" s="15"/>
    </row>
    <row r="209" spans="1:8" ht="20">
      <c r="A209" s="68"/>
      <c r="B209" s="16" t="s">
        <v>389</v>
      </c>
      <c r="C209" s="16" t="s">
        <v>390</v>
      </c>
      <c r="D209" s="19" t="s">
        <v>389</v>
      </c>
      <c r="E209" s="19" t="s">
        <v>390</v>
      </c>
    </row>
    <row r="210" spans="1:8" ht="21">
      <c r="A210" s="68"/>
      <c r="B210" s="17" t="s">
        <v>391</v>
      </c>
      <c r="C210" s="17" t="s">
        <v>392</v>
      </c>
      <c r="D210" t="s">
        <v>391</v>
      </c>
      <c r="F210" t="str">
        <f>IF(NOT(ISBLANK(D210)),D210,IF(NOT(ISBLANK(E210)),"     "&amp;E210,FALSE))</f>
        <v>Afectación Económica o presupuestal</v>
      </c>
      <c r="G210" t="s">
        <v>391</v>
      </c>
      <c r="H210" t="str">
        <f>IF(NOT(ISERROR(MATCH(G210,_xlfn.ANCHORARRAY(B221),0))),F223&amp;"Por favor no seleccionar los criterios de impacto",G210)</f>
        <v>❌Por favor no seleccionar los criterios de impacto</v>
      </c>
    </row>
    <row r="211" spans="1:8" ht="21">
      <c r="A211" s="68"/>
      <c r="B211" s="17" t="s">
        <v>391</v>
      </c>
      <c r="C211" s="17" t="s">
        <v>376</v>
      </c>
      <c r="E211" t="s">
        <v>392</v>
      </c>
      <c r="F211" t="str">
        <f t="shared" ref="F211:F221" si="0">IF(NOT(ISBLANK(D211)),D211,IF(NOT(ISBLANK(E211)),"     "&amp;E211,FALSE))</f>
        <v xml:space="preserve">     Afectación menor a 10 SMLMV .</v>
      </c>
    </row>
    <row r="212" spans="1:8" ht="21">
      <c r="A212" s="68"/>
      <c r="B212" s="17" t="s">
        <v>391</v>
      </c>
      <c r="C212" s="17" t="s">
        <v>379</v>
      </c>
      <c r="E212" t="s">
        <v>376</v>
      </c>
      <c r="F212" t="str">
        <f t="shared" si="0"/>
        <v xml:space="preserve">     Entre 10 y 50 SMLMV </v>
      </c>
    </row>
    <row r="213" spans="1:8" ht="21">
      <c r="A213" s="68"/>
      <c r="B213" s="17" t="s">
        <v>391</v>
      </c>
      <c r="C213" s="17" t="s">
        <v>382</v>
      </c>
      <c r="E213" t="s">
        <v>379</v>
      </c>
      <c r="F213" t="str">
        <f t="shared" si="0"/>
        <v xml:space="preserve">     Entre 50 y 100 SMLMV </v>
      </c>
    </row>
    <row r="214" spans="1:8" ht="21">
      <c r="A214" s="68"/>
      <c r="B214" s="17" t="s">
        <v>391</v>
      </c>
      <c r="C214" s="17" t="s">
        <v>385</v>
      </c>
      <c r="E214" t="s">
        <v>382</v>
      </c>
      <c r="F214" t="str">
        <f t="shared" si="0"/>
        <v xml:space="preserve">     Entre 100 y 500 SMLMV </v>
      </c>
    </row>
    <row r="215" spans="1:8" ht="21">
      <c r="A215" s="68"/>
      <c r="B215" s="17" t="s">
        <v>370</v>
      </c>
      <c r="C215" s="17" t="s">
        <v>374</v>
      </c>
      <c r="E215" t="s">
        <v>385</v>
      </c>
      <c r="F215" t="str">
        <f t="shared" si="0"/>
        <v xml:space="preserve">     Mayor a 500 SMLMV </v>
      </c>
    </row>
    <row r="216" spans="1:8" ht="21">
      <c r="A216" s="68"/>
      <c r="B216" s="17" t="s">
        <v>370</v>
      </c>
      <c r="C216" s="17" t="s">
        <v>377</v>
      </c>
      <c r="D216" t="s">
        <v>370</v>
      </c>
      <c r="F216" t="str">
        <f t="shared" si="0"/>
        <v>Pérdida Reputacional</v>
      </c>
    </row>
    <row r="217" spans="1:8" ht="21">
      <c r="A217" s="68"/>
      <c r="B217" s="17" t="s">
        <v>370</v>
      </c>
      <c r="C217" s="17" t="s">
        <v>380</v>
      </c>
      <c r="E217" t="s">
        <v>374</v>
      </c>
      <c r="F217" t="str">
        <f t="shared" si="0"/>
        <v xml:space="preserve">     El riesgo afecta la imagen de alguna área de la organización</v>
      </c>
    </row>
    <row r="218" spans="1:8" ht="21">
      <c r="A218" s="68"/>
      <c r="B218" s="17" t="s">
        <v>370</v>
      </c>
      <c r="C218" s="17" t="s">
        <v>393</v>
      </c>
      <c r="E218" t="s">
        <v>377</v>
      </c>
      <c r="F218" t="str">
        <f t="shared" si="0"/>
        <v xml:space="preserve">     El riesgo afecta la imagen de la entidad internamente, de conocimiento general, nivel interno, de junta dircetiva y accionistas y/o de provedores</v>
      </c>
    </row>
    <row r="219" spans="1:8" ht="21">
      <c r="A219" s="68"/>
      <c r="B219" s="17" t="s">
        <v>370</v>
      </c>
      <c r="C219" s="17" t="s">
        <v>386</v>
      </c>
      <c r="E219" t="s">
        <v>380</v>
      </c>
      <c r="F219" t="str">
        <f t="shared" si="0"/>
        <v xml:space="preserve">     El riesgo afecta la imagen de la entidad con algunos usuarios de relevancia frente al logro de los objetivos</v>
      </c>
    </row>
    <row r="220" spans="1:8">
      <c r="A220" s="68"/>
      <c r="B220" s="18"/>
      <c r="C220" s="18"/>
      <c r="E220" t="s">
        <v>393</v>
      </c>
      <c r="F220" t="str">
        <f t="shared" si="0"/>
        <v xml:space="preserve">     El riesgo afecta la imagen de de la entidad con efecto publicitario sostenido a nivel de sector administrativo, nivel departamental o municipal</v>
      </c>
    </row>
    <row r="221" spans="1:8">
      <c r="A221" s="68"/>
      <c r="B221" s="18" t="str">
        <f t="array" ref="B221:B223">_xlfn.UNIQUE(Tabla1[[#All],[Criterios]])</f>
        <v>Criterios</v>
      </c>
      <c r="C221" s="18"/>
      <c r="E221" t="s">
        <v>386</v>
      </c>
      <c r="F221" t="str">
        <f t="shared" si="0"/>
        <v xml:space="preserve">     El riesgo afecta la imagen de la entidad a nivel nacional, con efecto publicitarios sostenible a nivel país</v>
      </c>
    </row>
    <row r="222" spans="1:8">
      <c r="A222" s="68"/>
      <c r="B222" s="18" t="str">
        <v>Afectación Económica o presupuestal</v>
      </c>
      <c r="C222" s="18"/>
    </row>
    <row r="223" spans="1:8">
      <c r="B223" s="18" t="str">
        <v>Pérdida Reputacional</v>
      </c>
      <c r="C223" s="18"/>
      <c r="F223" s="21" t="s">
        <v>394</v>
      </c>
    </row>
    <row r="224" spans="1:8">
      <c r="B224" s="14"/>
      <c r="C224" s="14"/>
      <c r="F224" s="21" t="s">
        <v>395</v>
      </c>
    </row>
    <row r="225" spans="2:4">
      <c r="B225" s="14"/>
      <c r="C225" s="14"/>
    </row>
    <row r="226" spans="2:4">
      <c r="B226" s="14"/>
      <c r="C226" s="14"/>
    </row>
    <row r="227" spans="2:4">
      <c r="B227" s="14"/>
      <c r="C227" s="14"/>
      <c r="D227" s="14"/>
    </row>
    <row r="228" spans="2:4">
      <c r="B228" s="14"/>
      <c r="C228" s="14"/>
      <c r="D228" s="14"/>
    </row>
    <row r="229" spans="2:4">
      <c r="B229" s="14"/>
      <c r="C229" s="14"/>
      <c r="D229" s="14"/>
    </row>
    <row r="230" spans="2:4">
      <c r="B230" s="14"/>
      <c r="C230" s="14"/>
      <c r="D230" s="14"/>
    </row>
    <row r="231" spans="2:4">
      <c r="B231" s="14"/>
      <c r="C231" s="14"/>
      <c r="D231" s="14"/>
    </row>
    <row r="232" spans="2:4">
      <c r="B232" s="14"/>
      <c r="C232" s="14"/>
      <c r="D232" s="14"/>
    </row>
  </sheetData>
  <mergeCells count="1">
    <mergeCell ref="B1:D1"/>
  </mergeCells>
  <dataValidations count="1">
    <dataValidation type="list" allowBlank="1" showInputMessage="1" showErrorMessage="1" sqref="G210" xr:uid="{00000000-0002-0000-1000-000000000000}">
      <formula1>$F$210:$F$221</formula1>
    </dataValidation>
  </dataValidations>
  <pageMargins left="0.7" right="0.7" top="0.75" bottom="0.75" header="0.3" footer="0.3"/>
  <pageSetup orientation="portrait"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7" tint="-0.249977111117893"/>
  </sheetPr>
  <dimension ref="B1:F16"/>
  <sheetViews>
    <sheetView workbookViewId="0">
      <selection activeCell="I11" sqref="I11"/>
    </sheetView>
  </sheetViews>
  <sheetFormatPr baseColWidth="10" defaultColWidth="14.33203125" defaultRowHeight="14"/>
  <cols>
    <col min="1" max="2" width="14.33203125" style="73"/>
    <col min="3" max="3" width="17" style="73" customWidth="1"/>
    <col min="4" max="4" width="14.33203125" style="73"/>
    <col min="5" max="5" width="46" style="73" customWidth="1"/>
    <col min="6" max="16384" width="14.33203125" style="73"/>
  </cols>
  <sheetData>
    <row r="1" spans="2:6" ht="24" customHeight="1" thickBot="1">
      <c r="B1" s="661" t="s">
        <v>396</v>
      </c>
      <c r="C1" s="662"/>
      <c r="D1" s="662"/>
      <c r="E1" s="662"/>
      <c r="F1" s="663"/>
    </row>
    <row r="2" spans="2:6" ht="17" thickBot="1">
      <c r="B2" s="74"/>
      <c r="C2" s="74"/>
      <c r="D2" s="74"/>
      <c r="E2" s="74"/>
      <c r="F2" s="74"/>
    </row>
    <row r="3" spans="2:6" ht="18" thickBot="1">
      <c r="B3" s="665" t="s">
        <v>397</v>
      </c>
      <c r="C3" s="666"/>
      <c r="D3" s="666"/>
      <c r="E3" s="203" t="s">
        <v>398</v>
      </c>
      <c r="F3" s="83" t="s">
        <v>399</v>
      </c>
    </row>
    <row r="4" spans="2:6" ht="34">
      <c r="B4" s="667" t="s">
        <v>400</v>
      </c>
      <c r="C4" s="669" t="s">
        <v>95</v>
      </c>
      <c r="D4" s="204" t="s">
        <v>151</v>
      </c>
      <c r="E4" s="75" t="s">
        <v>401</v>
      </c>
      <c r="F4" s="76">
        <v>0.25</v>
      </c>
    </row>
    <row r="5" spans="2:6" ht="51">
      <c r="B5" s="668"/>
      <c r="C5" s="670"/>
      <c r="D5" s="205" t="s">
        <v>101</v>
      </c>
      <c r="E5" s="77" t="s">
        <v>402</v>
      </c>
      <c r="F5" s="78">
        <v>0.15</v>
      </c>
    </row>
    <row r="6" spans="2:6" ht="34">
      <c r="B6" s="668"/>
      <c r="C6" s="670"/>
      <c r="D6" s="205" t="s">
        <v>179</v>
      </c>
      <c r="E6" s="77" t="s">
        <v>403</v>
      </c>
      <c r="F6" s="78">
        <v>0.1</v>
      </c>
    </row>
    <row r="7" spans="2:6" ht="51">
      <c r="B7" s="668"/>
      <c r="C7" s="670" t="s">
        <v>96</v>
      </c>
      <c r="D7" s="205" t="s">
        <v>152</v>
      </c>
      <c r="E7" s="77" t="s">
        <v>404</v>
      </c>
      <c r="F7" s="78">
        <v>0.25</v>
      </c>
    </row>
    <row r="8" spans="2:6" ht="34">
      <c r="B8" s="668"/>
      <c r="C8" s="670"/>
      <c r="D8" s="205" t="s">
        <v>165</v>
      </c>
      <c r="E8" s="77" t="s">
        <v>405</v>
      </c>
      <c r="F8" s="78">
        <v>0.15</v>
      </c>
    </row>
    <row r="9" spans="2:6" ht="51">
      <c r="B9" s="668" t="s">
        <v>406</v>
      </c>
      <c r="C9" s="670" t="s">
        <v>51</v>
      </c>
      <c r="D9" s="205" t="s">
        <v>153</v>
      </c>
      <c r="E9" s="77" t="s">
        <v>407</v>
      </c>
      <c r="F9" s="79" t="s">
        <v>408</v>
      </c>
    </row>
    <row r="10" spans="2:6" ht="51">
      <c r="B10" s="668"/>
      <c r="C10" s="670"/>
      <c r="D10" s="205" t="s">
        <v>166</v>
      </c>
      <c r="E10" s="77" t="s">
        <v>409</v>
      </c>
      <c r="F10" s="79" t="s">
        <v>408</v>
      </c>
    </row>
    <row r="11" spans="2:6" ht="34">
      <c r="B11" s="668"/>
      <c r="C11" s="670" t="s">
        <v>98</v>
      </c>
      <c r="D11" s="205" t="s">
        <v>154</v>
      </c>
      <c r="E11" s="77" t="s">
        <v>410</v>
      </c>
      <c r="F11" s="79" t="s">
        <v>408</v>
      </c>
    </row>
    <row r="12" spans="2:6" ht="34">
      <c r="B12" s="668"/>
      <c r="C12" s="670"/>
      <c r="D12" s="205" t="s">
        <v>167</v>
      </c>
      <c r="E12" s="77" t="s">
        <v>411</v>
      </c>
      <c r="F12" s="79" t="s">
        <v>408</v>
      </c>
    </row>
    <row r="13" spans="2:6" ht="34">
      <c r="B13" s="668"/>
      <c r="C13" s="670" t="s">
        <v>99</v>
      </c>
      <c r="D13" s="205" t="s">
        <v>412</v>
      </c>
      <c r="E13" s="77" t="s">
        <v>413</v>
      </c>
      <c r="F13" s="79" t="s">
        <v>408</v>
      </c>
    </row>
    <row r="14" spans="2:6" ht="18" thickBot="1">
      <c r="B14" s="671"/>
      <c r="C14" s="672"/>
      <c r="D14" s="206" t="s">
        <v>414</v>
      </c>
      <c r="E14" s="80" t="s">
        <v>415</v>
      </c>
      <c r="F14" s="81" t="s">
        <v>408</v>
      </c>
    </row>
    <row r="15" spans="2:6" ht="49.5" customHeight="1">
      <c r="B15" s="664" t="s">
        <v>416</v>
      </c>
      <c r="C15" s="664"/>
      <c r="D15" s="664"/>
      <c r="E15" s="664"/>
      <c r="F15" s="664"/>
    </row>
    <row r="16" spans="2:6" ht="27" customHeight="1">
      <c r="B16" s="82"/>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31"/>
  <sheetViews>
    <sheetView showGridLines="0" workbookViewId="0">
      <selection activeCell="L25" sqref="L25"/>
    </sheetView>
  </sheetViews>
  <sheetFormatPr baseColWidth="10" defaultColWidth="11.5" defaultRowHeight="15"/>
  <cols>
    <col min="1" max="1" width="17.5" customWidth="1"/>
    <col min="2" max="2" width="9.6640625" customWidth="1"/>
    <col min="4" max="4" width="72.33203125" customWidth="1"/>
    <col min="5" max="6" width="11" customWidth="1"/>
    <col min="7" max="7" width="11.5" style="138"/>
    <col min="8" max="8" width="11.5" style="15"/>
  </cols>
  <sheetData>
    <row r="1" spans="1:8" ht="16" thickBot="1"/>
    <row r="2" spans="1:8" ht="19.5" customHeight="1">
      <c r="B2" s="259" t="s">
        <v>0</v>
      </c>
      <c r="C2" s="260"/>
      <c r="D2" s="276" t="s">
        <v>7</v>
      </c>
      <c r="E2" s="292" t="s">
        <v>8</v>
      </c>
      <c r="F2" s="266"/>
    </row>
    <row r="3" spans="1:8" ht="19.5" customHeight="1">
      <c r="B3" s="261"/>
      <c r="C3" s="262"/>
      <c r="D3" s="277"/>
      <c r="E3" s="293" t="s">
        <v>3</v>
      </c>
      <c r="F3" s="268"/>
    </row>
    <row r="4" spans="1:8" ht="19.5" customHeight="1">
      <c r="B4" s="261"/>
      <c r="C4" s="262"/>
      <c r="D4" s="277"/>
      <c r="E4" s="293" t="s">
        <v>4</v>
      </c>
      <c r="F4" s="268"/>
    </row>
    <row r="5" spans="1:8" ht="19.5" customHeight="1" thickBot="1">
      <c r="A5" t="s">
        <v>9</v>
      </c>
      <c r="B5" s="263"/>
      <c r="C5" s="264"/>
      <c r="D5" s="278"/>
      <c r="E5" s="294" t="s">
        <v>5</v>
      </c>
      <c r="F5" s="270"/>
    </row>
    <row r="6" spans="1:8" ht="16" thickBot="1"/>
    <row r="7" spans="1:8">
      <c r="B7" s="279" t="s">
        <v>10</v>
      </c>
      <c r="C7" s="282" t="s">
        <v>11</v>
      </c>
      <c r="D7" s="283"/>
      <c r="E7" s="288" t="s">
        <v>12</v>
      </c>
      <c r="F7" s="289"/>
    </row>
    <row r="8" spans="1:8" ht="16" thickBot="1">
      <c r="B8" s="280"/>
      <c r="C8" s="284"/>
      <c r="D8" s="285"/>
      <c r="E8" s="290"/>
      <c r="F8" s="291"/>
      <c r="H8" s="148"/>
    </row>
    <row r="9" spans="1:8" ht="16" thickBot="1">
      <c r="B9" s="281"/>
      <c r="C9" s="286" t="s">
        <v>13</v>
      </c>
      <c r="D9" s="287"/>
      <c r="E9" s="145" t="s">
        <v>14</v>
      </c>
      <c r="F9" s="145" t="s">
        <v>15</v>
      </c>
      <c r="H9" s="148"/>
    </row>
    <row r="10" spans="1:8" ht="16" thickBot="1">
      <c r="B10" s="144">
        <v>1</v>
      </c>
      <c r="C10" s="274" t="s">
        <v>16</v>
      </c>
      <c r="D10" s="275"/>
      <c r="E10" s="140"/>
      <c r="F10" s="141"/>
      <c r="H10" s="148"/>
    </row>
    <row r="11" spans="1:8" ht="16" thickBot="1">
      <c r="B11" s="144">
        <v>2</v>
      </c>
      <c r="C11" s="274" t="s">
        <v>17</v>
      </c>
      <c r="D11" s="275" t="s">
        <v>17</v>
      </c>
      <c r="E11" s="140"/>
      <c r="F11" s="141"/>
      <c r="H11" s="149"/>
    </row>
    <row r="12" spans="1:8" ht="16" thickBot="1">
      <c r="B12" s="144">
        <v>3</v>
      </c>
      <c r="C12" s="274" t="s">
        <v>18</v>
      </c>
      <c r="D12" s="275" t="s">
        <v>18</v>
      </c>
      <c r="E12" s="140"/>
      <c r="F12" s="141"/>
    </row>
    <row r="13" spans="1:8" ht="16" thickBot="1">
      <c r="B13" s="144">
        <v>4</v>
      </c>
      <c r="C13" s="274" t="s">
        <v>19</v>
      </c>
      <c r="D13" s="275" t="s">
        <v>20</v>
      </c>
      <c r="E13" s="140"/>
      <c r="F13" s="141"/>
    </row>
    <row r="14" spans="1:8" ht="16" thickBot="1">
      <c r="B14" s="144">
        <v>5</v>
      </c>
      <c r="C14" s="274" t="s">
        <v>21</v>
      </c>
      <c r="D14" s="275" t="s">
        <v>21</v>
      </c>
      <c r="E14" s="140"/>
      <c r="F14" s="141"/>
    </row>
    <row r="15" spans="1:8" ht="16" thickBot="1">
      <c r="B15" s="144">
        <v>6</v>
      </c>
      <c r="C15" s="274" t="s">
        <v>22</v>
      </c>
      <c r="D15" s="275" t="s">
        <v>22</v>
      </c>
      <c r="E15" s="140"/>
      <c r="F15" s="141"/>
    </row>
    <row r="16" spans="1:8" ht="16" thickBot="1">
      <c r="B16" s="144">
        <v>7</v>
      </c>
      <c r="C16" s="274" t="s">
        <v>23</v>
      </c>
      <c r="D16" s="275" t="s">
        <v>23</v>
      </c>
      <c r="E16" s="140"/>
      <c r="F16" s="141"/>
    </row>
    <row r="17" spans="1:7" ht="28.5" customHeight="1" thickBot="1">
      <c r="B17" s="144">
        <v>8</v>
      </c>
      <c r="C17" s="274" t="s">
        <v>24</v>
      </c>
      <c r="D17" s="275" t="s">
        <v>24</v>
      </c>
      <c r="E17" s="140"/>
      <c r="F17" s="141"/>
    </row>
    <row r="18" spans="1:7" ht="18.75" customHeight="1" thickBot="1">
      <c r="B18" s="144">
        <v>9</v>
      </c>
      <c r="C18" s="274" t="s">
        <v>25</v>
      </c>
      <c r="D18" s="275" t="s">
        <v>25</v>
      </c>
      <c r="E18" s="140"/>
      <c r="F18" s="141"/>
    </row>
    <row r="19" spans="1:7" ht="16" thickBot="1">
      <c r="B19" s="144">
        <v>10</v>
      </c>
      <c r="C19" s="274" t="s">
        <v>26</v>
      </c>
      <c r="D19" s="275" t="s">
        <v>26</v>
      </c>
      <c r="E19" s="140"/>
      <c r="F19" s="141"/>
    </row>
    <row r="20" spans="1:7" ht="16" thickBot="1">
      <c r="B20" s="144">
        <v>11</v>
      </c>
      <c r="C20" s="274" t="s">
        <v>27</v>
      </c>
      <c r="D20" s="275" t="s">
        <v>27</v>
      </c>
      <c r="E20" s="140"/>
      <c r="F20" s="141"/>
    </row>
    <row r="21" spans="1:7" ht="16" thickBot="1">
      <c r="B21" s="144">
        <v>12</v>
      </c>
      <c r="C21" s="274" t="s">
        <v>28</v>
      </c>
      <c r="D21" s="275" t="s">
        <v>28</v>
      </c>
      <c r="E21" s="140"/>
      <c r="F21" s="141"/>
    </row>
    <row r="22" spans="1:7" ht="16" thickBot="1">
      <c r="B22" s="144">
        <v>13</v>
      </c>
      <c r="C22" s="274" t="s">
        <v>29</v>
      </c>
      <c r="D22" s="275" t="s">
        <v>29</v>
      </c>
      <c r="E22" s="140"/>
      <c r="F22" s="141"/>
    </row>
    <row r="23" spans="1:7" ht="16" thickBot="1">
      <c r="B23" s="144">
        <v>14</v>
      </c>
      <c r="C23" s="274" t="s">
        <v>30</v>
      </c>
      <c r="D23" s="275" t="s">
        <v>30</v>
      </c>
      <c r="E23" s="140"/>
      <c r="F23" s="141"/>
    </row>
    <row r="24" spans="1:7" ht="16" thickBot="1">
      <c r="B24" s="144">
        <v>15</v>
      </c>
      <c r="C24" s="274" t="s">
        <v>31</v>
      </c>
      <c r="D24" s="275" t="s">
        <v>31</v>
      </c>
      <c r="E24" s="140"/>
      <c r="F24" s="141"/>
    </row>
    <row r="25" spans="1:7" ht="16" thickBot="1">
      <c r="B25" s="144">
        <v>16</v>
      </c>
      <c r="C25" s="274" t="s">
        <v>32</v>
      </c>
      <c r="D25" s="275" t="s">
        <v>32</v>
      </c>
      <c r="E25" s="140"/>
      <c r="F25" s="141"/>
    </row>
    <row r="26" spans="1:7" ht="16" thickBot="1">
      <c r="B26" s="144">
        <v>17</v>
      </c>
      <c r="C26" s="274" t="s">
        <v>33</v>
      </c>
      <c r="D26" s="275" t="s">
        <v>33</v>
      </c>
      <c r="E26" s="140"/>
      <c r="F26" s="141"/>
    </row>
    <row r="27" spans="1:7" ht="16" thickBot="1">
      <c r="B27" s="144">
        <v>18</v>
      </c>
      <c r="C27" s="274" t="s">
        <v>34</v>
      </c>
      <c r="D27" s="275" t="s">
        <v>34</v>
      </c>
      <c r="E27" s="140"/>
      <c r="F27" s="141"/>
    </row>
    <row r="28" spans="1:7" ht="16" thickBot="1">
      <c r="B28" s="144">
        <v>19</v>
      </c>
      <c r="C28" s="274" t="s">
        <v>35</v>
      </c>
      <c r="D28" s="275" t="s">
        <v>35</v>
      </c>
      <c r="E28" s="140"/>
      <c r="F28" s="141"/>
    </row>
    <row r="29" spans="1:7">
      <c r="C29" s="139"/>
      <c r="D29" s="139"/>
      <c r="E29" s="147">
        <f>COUNTIF(E10:E28,"x")</f>
        <v>0</v>
      </c>
      <c r="F29" s="147">
        <f>COUNTIF(F10:F28,"x")</f>
        <v>0</v>
      </c>
      <c r="G29" s="146" t="str">
        <f>IF(E29=0,"",IF(E29&lt;=5,"Moderado",IF(E29&lt;=11,"Mayor",IF(E29&lt;=19,"Catastrófico",""))))</f>
        <v/>
      </c>
    </row>
    <row r="30" spans="1:7">
      <c r="C30" s="137"/>
      <c r="D30" s="137"/>
      <c r="E30" s="137"/>
      <c r="F30" s="137"/>
    </row>
    <row r="31" spans="1:7" ht="66" customHeight="1">
      <c r="A31" s="271" t="s">
        <v>36</v>
      </c>
      <c r="B31" s="272"/>
      <c r="C31" s="272"/>
      <c r="D31" s="272"/>
      <c r="E31" s="272"/>
      <c r="F31" s="273"/>
    </row>
  </sheetData>
  <mergeCells count="30">
    <mergeCell ref="C14:D14"/>
    <mergeCell ref="C28:D28"/>
    <mergeCell ref="C17:D17"/>
    <mergeCell ref="C18:D18"/>
    <mergeCell ref="C19:D19"/>
    <mergeCell ref="C20:D20"/>
    <mergeCell ref="C21:D21"/>
    <mergeCell ref="C22:D22"/>
    <mergeCell ref="C23:D23"/>
    <mergeCell ref="C24:D24"/>
    <mergeCell ref="C25:D25"/>
    <mergeCell ref="C26:D26"/>
    <mergeCell ref="C27:D27"/>
    <mergeCell ref="C15:D15"/>
    <mergeCell ref="A31:F31"/>
    <mergeCell ref="C12:D12"/>
    <mergeCell ref="D2:D5"/>
    <mergeCell ref="B7:B9"/>
    <mergeCell ref="C7:D8"/>
    <mergeCell ref="C9:D9"/>
    <mergeCell ref="C11:D11"/>
    <mergeCell ref="B2:C5"/>
    <mergeCell ref="C10:D10"/>
    <mergeCell ref="E7:F8"/>
    <mergeCell ref="E2:F2"/>
    <mergeCell ref="E3:F3"/>
    <mergeCell ref="E4:F4"/>
    <mergeCell ref="E5:F5"/>
    <mergeCell ref="C16:D16"/>
    <mergeCell ref="C13:D13"/>
  </mergeCells>
  <conditionalFormatting sqref="G29">
    <cfRule type="cellIs" dxfId="21" priority="1" stopIfTrue="1" operator="equal">
      <formula>"Catastrófico"</formula>
    </cfRule>
    <cfRule type="cellIs" dxfId="20" priority="2" stopIfTrue="1" operator="equal">
      <formula>"Moderado"</formula>
    </cfRule>
    <cfRule type="cellIs" dxfId="19" priority="3" stopIfTrue="1" operator="equal">
      <formula>"Mayor"</formula>
    </cfRule>
  </conditionalFormatting>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Intructivo!$J$2</xm:f>
          </x14:formula1>
          <xm:sqref>E10:F28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5E6C-1BAB-42A6-9F77-3D9DA9FB7F99}">
  <dimension ref="A1"/>
  <sheetViews>
    <sheetView workbookViewId="0"/>
  </sheetViews>
  <sheetFormatPr baseColWidth="10" defaultColWidth="8.83203125"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240F-939E-4DF6-BA8B-1D095F22F1E8}">
  <dimension ref="A1"/>
  <sheetViews>
    <sheetView workbookViewId="0"/>
  </sheetViews>
  <sheetFormatPr baseColWidth="10" defaultColWidth="8.83203125"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B2:E19"/>
  <sheetViews>
    <sheetView workbookViewId="0">
      <selection activeCell="E2" sqref="E2:E4"/>
    </sheetView>
  </sheetViews>
  <sheetFormatPr baseColWidth="10" defaultColWidth="11.5" defaultRowHeight="15"/>
  <sheetData>
    <row r="2" spans="2:5">
      <c r="B2" t="s">
        <v>156</v>
      </c>
      <c r="E2" t="s">
        <v>145</v>
      </c>
    </row>
    <row r="3" spans="2:5">
      <c r="B3" t="s">
        <v>169</v>
      </c>
      <c r="E3" t="s">
        <v>159</v>
      </c>
    </row>
    <row r="4" spans="2:5">
      <c r="B4" t="s">
        <v>191</v>
      </c>
      <c r="E4" t="s">
        <v>173</v>
      </c>
    </row>
    <row r="5" spans="2:5">
      <c r="B5" t="s">
        <v>102</v>
      </c>
    </row>
    <row r="8" spans="2:5">
      <c r="B8" t="s">
        <v>142</v>
      </c>
    </row>
    <row r="9" spans="2:5">
      <c r="B9" t="s">
        <v>157</v>
      </c>
    </row>
    <row r="10" spans="2:5">
      <c r="B10" t="s">
        <v>170</v>
      </c>
    </row>
    <row r="13" spans="2:5">
      <c r="B13" t="s">
        <v>148</v>
      </c>
    </row>
    <row r="14" spans="2:5">
      <c r="B14" t="s">
        <v>162</v>
      </c>
    </row>
    <row r="15" spans="2:5">
      <c r="B15" t="s">
        <v>176</v>
      </c>
    </row>
    <row r="16" spans="2:5">
      <c r="B16" t="s">
        <v>184</v>
      </c>
    </row>
    <row r="17" spans="2:2">
      <c r="B17" t="s">
        <v>189</v>
      </c>
    </row>
    <row r="18" spans="2:2">
      <c r="B18" t="s">
        <v>193</v>
      </c>
    </row>
    <row r="19" spans="2:2">
      <c r="B19" t="s">
        <v>195</v>
      </c>
    </row>
  </sheetData>
  <sortState xmlns:xlrd2="http://schemas.microsoft.com/office/spreadsheetml/2017/richdata2" ref="B2:B5">
    <sortCondition ref="B2:B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3:A21"/>
  <sheetViews>
    <sheetView workbookViewId="0">
      <selection activeCell="H29" sqref="H29"/>
    </sheetView>
  </sheetViews>
  <sheetFormatPr baseColWidth="10" defaultColWidth="11.5" defaultRowHeight="14"/>
  <cols>
    <col min="1" max="1" width="32.6640625" style="1" customWidth="1"/>
    <col min="2" max="16384" width="11.5" style="1"/>
  </cols>
  <sheetData>
    <row r="3" spans="1:1">
      <c r="A3" s="2" t="s">
        <v>151</v>
      </c>
    </row>
    <row r="4" spans="1:1">
      <c r="A4" s="2" t="s">
        <v>101</v>
      </c>
    </row>
    <row r="5" spans="1:1">
      <c r="A5" s="2" t="s">
        <v>179</v>
      </c>
    </row>
    <row r="6" spans="1:1">
      <c r="A6" s="2" t="s">
        <v>152</v>
      </c>
    </row>
    <row r="7" spans="1:1">
      <c r="A7" s="2" t="s">
        <v>165</v>
      </c>
    </row>
    <row r="8" spans="1:1">
      <c r="A8" s="2" t="s">
        <v>153</v>
      </c>
    </row>
    <row r="9" spans="1:1">
      <c r="A9" s="2" t="s">
        <v>166</v>
      </c>
    </row>
    <row r="10" spans="1:1">
      <c r="A10" s="2" t="s">
        <v>154</v>
      </c>
    </row>
    <row r="11" spans="1:1">
      <c r="A11" s="2" t="s">
        <v>167</v>
      </c>
    </row>
    <row r="12" spans="1:1">
      <c r="A12" s="2" t="s">
        <v>155</v>
      </c>
    </row>
    <row r="13" spans="1:1">
      <c r="A13" s="2" t="s">
        <v>168</v>
      </c>
    </row>
    <row r="14" spans="1:1">
      <c r="A14" s="2" t="s">
        <v>180</v>
      </c>
    </row>
    <row r="16" spans="1:1">
      <c r="A16" s="2" t="s">
        <v>181</v>
      </c>
    </row>
    <row r="17" spans="1:1">
      <c r="A17" s="2" t="s">
        <v>156</v>
      </c>
    </row>
    <row r="18" spans="1:1">
      <c r="A18" s="2" t="s">
        <v>169</v>
      </c>
    </row>
    <row r="20" spans="1:1">
      <c r="A20" s="2" t="s">
        <v>157</v>
      </c>
    </row>
    <row r="21" spans="1:1">
      <c r="A21" s="2" t="s">
        <v>170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287840"/>
  </sheetPr>
  <dimension ref="A1:CD27"/>
  <sheetViews>
    <sheetView tabSelected="1" topLeftCell="AQ11" zoomScale="140" zoomScaleNormal="140" workbookViewId="0">
      <selection activeCell="AV16" sqref="AV16"/>
    </sheetView>
  </sheetViews>
  <sheetFormatPr baseColWidth="10" defaultColWidth="11.5" defaultRowHeight="14"/>
  <cols>
    <col min="1" max="1" width="0" style="169" hidden="1" customWidth="1"/>
    <col min="2" max="2" width="4.5" style="169" customWidth="1"/>
    <col min="3" max="3" width="6.33203125" style="169" customWidth="1"/>
    <col min="4" max="4" width="4.6640625" style="170" customWidth="1"/>
    <col min="5" max="5" width="21" style="170" customWidth="1"/>
    <col min="6" max="7" width="20.6640625" style="170" customWidth="1"/>
    <col min="8" max="8" width="18.33203125" style="170" customWidth="1"/>
    <col min="9" max="9" width="31" style="170" customWidth="1"/>
    <col min="10" max="10" width="25.5" style="170" customWidth="1"/>
    <col min="11" max="11" width="58.33203125" style="169" customWidth="1"/>
    <col min="12" max="12" width="25.5" style="171" customWidth="1"/>
    <col min="13" max="13" width="31.83203125" style="171" customWidth="1"/>
    <col min="14" max="14" width="23.83203125" style="171" customWidth="1"/>
    <col min="15" max="15" width="11.5" style="169" customWidth="1"/>
    <col min="16" max="16" width="16.5" style="169" customWidth="1"/>
    <col min="17" max="17" width="8.83203125" style="169" customWidth="1"/>
    <col min="18" max="18" width="21.33203125" style="169" customWidth="1"/>
    <col min="19" max="19" width="17.5" style="169" customWidth="1"/>
    <col min="20" max="20" width="10.5" style="169" customWidth="1"/>
    <col min="21" max="21" width="16" style="169" customWidth="1"/>
    <col min="22" max="22" width="5.6640625" style="169" customWidth="1"/>
    <col min="23" max="23" width="63.5" style="169" customWidth="1"/>
    <col min="24" max="24" width="57.33203125" style="169" customWidth="1"/>
    <col min="25" max="25" width="15.33203125" style="169" customWidth="1"/>
    <col min="26" max="26" width="6.6640625" style="169" customWidth="1"/>
    <col min="27" max="27" width="5" style="169" customWidth="1"/>
    <col min="28" max="28" width="5.5" style="169" customWidth="1"/>
    <col min="29" max="29" width="7.33203125" style="169" customWidth="1"/>
    <col min="30" max="30" width="6.6640625" style="169" customWidth="1"/>
    <col min="31" max="31" width="8.33203125" style="169" customWidth="1"/>
    <col min="32" max="32" width="16.33203125" style="169" customWidth="1"/>
    <col min="33" max="33" width="13.6640625" style="169" customWidth="1"/>
    <col min="34" max="34" width="16.1640625" style="169" customWidth="1"/>
    <col min="35" max="35" width="4.33203125" style="169" customWidth="1"/>
    <col min="36" max="36" width="16.1640625" style="169" customWidth="1"/>
    <col min="37" max="37" width="6" style="169" customWidth="1"/>
    <col min="38" max="38" width="16.1640625" style="169" customWidth="1"/>
    <col min="39" max="40" width="7.33203125" style="169" customWidth="1"/>
    <col min="41" max="41" width="46.5" style="169" customWidth="1"/>
    <col min="42" max="42" width="24.33203125" style="169" customWidth="1"/>
    <col min="43" max="43" width="23.1640625" style="169" customWidth="1"/>
    <col min="44" max="46" width="19.6640625" style="169" customWidth="1"/>
    <col min="47" max="47" width="35.5" style="169" customWidth="1"/>
    <col min="48" max="50" width="34.6640625" style="169" customWidth="1"/>
    <col min="51" max="51" width="29" style="169" customWidth="1"/>
    <col min="52" max="52" width="23.33203125" style="169" customWidth="1"/>
    <col min="53" max="53" width="68.5" style="169" customWidth="1"/>
    <col min="54" max="54" width="31.5" style="169" customWidth="1"/>
    <col min="55" max="55" width="30.5" style="169" customWidth="1"/>
    <col min="56" max="56" width="53" style="169" customWidth="1"/>
    <col min="57" max="59" width="0" style="169" hidden="1" customWidth="1"/>
    <col min="60" max="61" width="11.5" style="169" hidden="1" customWidth="1"/>
    <col min="62" max="63" width="0" style="169" hidden="1" customWidth="1"/>
    <col min="64" max="16384" width="11.5" style="169"/>
  </cols>
  <sheetData>
    <row r="1" spans="1:82" ht="15" thickBot="1"/>
    <row r="2" spans="1:82" ht="27.75" customHeight="1">
      <c r="D2" s="352" t="s">
        <v>37</v>
      </c>
      <c r="E2" s="353"/>
      <c r="F2" s="353"/>
      <c r="G2" s="353"/>
      <c r="H2" s="354"/>
      <c r="I2" s="361" t="s">
        <v>38</v>
      </c>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c r="AL2" s="361"/>
      <c r="AM2" s="361"/>
      <c r="AN2" s="361"/>
      <c r="AO2" s="361"/>
      <c r="AP2" s="361"/>
      <c r="AQ2" s="361"/>
      <c r="AR2" s="361"/>
      <c r="AS2" s="361"/>
      <c r="AT2" s="361"/>
      <c r="AU2" s="361"/>
      <c r="AV2" s="361"/>
      <c r="AW2" s="361"/>
      <c r="AX2" s="361"/>
      <c r="AY2" s="361"/>
      <c r="AZ2" s="361"/>
      <c r="BA2" s="361"/>
      <c r="BB2" s="361"/>
      <c r="BC2" s="361"/>
      <c r="BD2" s="209" t="s">
        <v>8</v>
      </c>
    </row>
    <row r="3" spans="1:82" ht="27.75" customHeight="1">
      <c r="D3" s="355"/>
      <c r="E3" s="356"/>
      <c r="F3" s="356"/>
      <c r="G3" s="356"/>
      <c r="H3" s="357"/>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c r="AI3" s="361"/>
      <c r="AJ3" s="361"/>
      <c r="AK3" s="361"/>
      <c r="AL3" s="361"/>
      <c r="AM3" s="361"/>
      <c r="AN3" s="361"/>
      <c r="AO3" s="361"/>
      <c r="AP3" s="361"/>
      <c r="AQ3" s="361"/>
      <c r="AR3" s="361"/>
      <c r="AS3" s="361"/>
      <c r="AT3" s="361"/>
      <c r="AU3" s="361"/>
      <c r="AV3" s="361"/>
      <c r="AW3" s="361"/>
      <c r="AX3" s="361"/>
      <c r="AY3" s="361"/>
      <c r="AZ3" s="361"/>
      <c r="BA3" s="361"/>
      <c r="BB3" s="361"/>
      <c r="BC3" s="361"/>
      <c r="BD3" s="218" t="s">
        <v>39</v>
      </c>
    </row>
    <row r="4" spans="1:82" ht="27.75" customHeight="1">
      <c r="D4" s="355"/>
      <c r="E4" s="356"/>
      <c r="F4" s="356"/>
      <c r="G4" s="356"/>
      <c r="H4" s="357"/>
      <c r="I4" s="361"/>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361"/>
      <c r="AI4" s="361"/>
      <c r="AJ4" s="361"/>
      <c r="AK4" s="361"/>
      <c r="AL4" s="361"/>
      <c r="AM4" s="361"/>
      <c r="AN4" s="361"/>
      <c r="AO4" s="361"/>
      <c r="AP4" s="361"/>
      <c r="AQ4" s="361"/>
      <c r="AR4" s="361"/>
      <c r="AS4" s="361"/>
      <c r="AT4" s="361"/>
      <c r="AU4" s="361"/>
      <c r="AV4" s="361"/>
      <c r="AW4" s="361"/>
      <c r="AX4" s="361"/>
      <c r="AY4" s="361"/>
      <c r="AZ4" s="361"/>
      <c r="BA4" s="361"/>
      <c r="BB4" s="361"/>
      <c r="BC4" s="361"/>
      <c r="BD4" s="210" t="s">
        <v>4</v>
      </c>
    </row>
    <row r="5" spans="1:82" ht="27.75" customHeight="1" thickBot="1">
      <c r="D5" s="358"/>
      <c r="E5" s="359"/>
      <c r="F5" s="359"/>
      <c r="G5" s="359"/>
      <c r="H5" s="360"/>
      <c r="I5" s="361"/>
      <c r="J5" s="361"/>
      <c r="K5" s="361"/>
      <c r="L5" s="361"/>
      <c r="M5" s="361"/>
      <c r="N5" s="361"/>
      <c r="O5" s="361"/>
      <c r="P5" s="361"/>
      <c r="Q5" s="361"/>
      <c r="R5" s="361"/>
      <c r="S5" s="361"/>
      <c r="T5" s="361"/>
      <c r="U5" s="361"/>
      <c r="V5" s="361"/>
      <c r="W5" s="361"/>
      <c r="X5" s="361"/>
      <c r="Y5" s="361"/>
      <c r="Z5" s="361"/>
      <c r="AA5" s="361"/>
      <c r="AB5" s="361"/>
      <c r="AC5" s="361"/>
      <c r="AD5" s="361"/>
      <c r="AE5" s="361"/>
      <c r="AF5" s="361"/>
      <c r="AG5" s="361"/>
      <c r="AH5" s="361"/>
      <c r="AI5" s="361"/>
      <c r="AJ5" s="361"/>
      <c r="AK5" s="361"/>
      <c r="AL5" s="361"/>
      <c r="AM5" s="361"/>
      <c r="AN5" s="361"/>
      <c r="AO5" s="361"/>
      <c r="AP5" s="361"/>
      <c r="AQ5" s="361"/>
      <c r="AR5" s="361"/>
      <c r="AS5" s="361"/>
      <c r="AT5" s="361"/>
      <c r="AU5" s="361"/>
      <c r="AV5" s="361"/>
      <c r="AW5" s="361"/>
      <c r="AX5" s="361"/>
      <c r="AY5" s="361"/>
      <c r="AZ5" s="361"/>
      <c r="BA5" s="361"/>
      <c r="BB5" s="361"/>
      <c r="BC5" s="361"/>
      <c r="BD5" s="210" t="s">
        <v>40</v>
      </c>
    </row>
    <row r="6" spans="1:82" ht="14" customHeight="1">
      <c r="D6" s="113"/>
      <c r="E6" s="114"/>
      <c r="F6" s="114"/>
      <c r="G6" s="114"/>
      <c r="H6" s="114"/>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15"/>
    </row>
    <row r="7" spans="1:82" ht="26.25" customHeight="1">
      <c r="D7" s="367" t="s">
        <v>41</v>
      </c>
      <c r="E7" s="368"/>
      <c r="F7" s="368"/>
      <c r="G7" s="369"/>
      <c r="H7" s="362" t="s">
        <v>417</v>
      </c>
      <c r="I7" s="363"/>
      <c r="J7" s="363"/>
      <c r="K7" s="363"/>
      <c r="L7" s="363"/>
      <c r="M7" s="363"/>
      <c r="N7" s="363"/>
      <c r="O7" s="363"/>
      <c r="P7" s="363"/>
      <c r="Q7" s="363"/>
      <c r="R7" s="363"/>
      <c r="S7" s="363"/>
      <c r="T7" s="363"/>
      <c r="U7" s="363"/>
      <c r="V7" s="363"/>
      <c r="W7" s="363"/>
      <c r="X7" s="363"/>
      <c r="Y7" s="363"/>
      <c r="Z7" s="363"/>
      <c r="AA7" s="363"/>
      <c r="AB7" s="363"/>
      <c r="AC7" s="363"/>
      <c r="AD7" s="363"/>
      <c r="AE7" s="363"/>
      <c r="AF7" s="363"/>
      <c r="AG7" s="363"/>
      <c r="AH7" s="363"/>
      <c r="AI7" s="363"/>
      <c r="AJ7" s="363"/>
      <c r="AK7" s="363"/>
      <c r="AL7" s="363"/>
      <c r="AM7" s="363"/>
      <c r="AN7" s="363"/>
      <c r="AO7" s="363"/>
      <c r="AP7" s="363"/>
      <c r="AQ7" s="363"/>
      <c r="AR7" s="363"/>
      <c r="AS7" s="363"/>
      <c r="AT7" s="363"/>
      <c r="AU7" s="363"/>
      <c r="AV7" s="363"/>
      <c r="AW7" s="363"/>
      <c r="AX7" s="363"/>
      <c r="AY7" s="363"/>
      <c r="AZ7" s="363"/>
      <c r="BA7" s="363"/>
      <c r="BB7" s="363"/>
      <c r="BC7" s="363"/>
      <c r="BD7" s="363"/>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row>
    <row r="8" spans="1:82" ht="30" customHeight="1">
      <c r="D8" s="367" t="s">
        <v>42</v>
      </c>
      <c r="E8" s="368"/>
      <c r="F8" s="368"/>
      <c r="G8" s="369"/>
      <c r="H8" s="362" t="s">
        <v>418</v>
      </c>
      <c r="I8" s="363"/>
      <c r="J8" s="363"/>
      <c r="K8" s="363"/>
      <c r="L8" s="363"/>
      <c r="M8" s="363"/>
      <c r="N8" s="363"/>
      <c r="O8" s="363"/>
      <c r="P8" s="363"/>
      <c r="Q8" s="363"/>
      <c r="R8" s="363"/>
      <c r="S8" s="363"/>
      <c r="T8" s="363"/>
      <c r="U8" s="363"/>
      <c r="V8" s="363"/>
      <c r="W8" s="363"/>
      <c r="X8" s="363"/>
      <c r="Y8" s="363"/>
      <c r="Z8" s="363"/>
      <c r="AA8" s="363"/>
      <c r="AB8" s="363"/>
      <c r="AC8" s="363"/>
      <c r="AD8" s="363"/>
      <c r="AE8" s="363"/>
      <c r="AF8" s="363"/>
      <c r="AG8" s="363"/>
      <c r="AH8" s="363"/>
      <c r="AI8" s="363"/>
      <c r="AJ8" s="363"/>
      <c r="AK8" s="363"/>
      <c r="AL8" s="363"/>
      <c r="AM8" s="363"/>
      <c r="AN8" s="363"/>
      <c r="AO8" s="363"/>
      <c r="AP8" s="363"/>
      <c r="AQ8" s="363"/>
      <c r="AR8" s="363"/>
      <c r="AS8" s="363"/>
      <c r="AT8" s="363"/>
      <c r="AU8" s="363"/>
      <c r="AV8" s="363"/>
      <c r="AW8" s="363"/>
      <c r="AX8" s="363"/>
      <c r="AY8" s="363"/>
      <c r="AZ8" s="363"/>
      <c r="BA8" s="363"/>
      <c r="BB8" s="363"/>
      <c r="BC8" s="363"/>
      <c r="BD8" s="36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row>
    <row r="9" spans="1:82" ht="24" customHeight="1">
      <c r="D9" s="367" t="s">
        <v>43</v>
      </c>
      <c r="E9" s="368"/>
      <c r="F9" s="368"/>
      <c r="G9" s="369"/>
      <c r="H9" s="362" t="s">
        <v>419</v>
      </c>
      <c r="I9" s="363"/>
      <c r="J9" s="363"/>
      <c r="K9" s="363"/>
      <c r="L9" s="363"/>
      <c r="M9" s="363"/>
      <c r="N9" s="363"/>
      <c r="O9" s="363"/>
      <c r="P9" s="363"/>
      <c r="Q9" s="363"/>
      <c r="R9" s="363"/>
      <c r="S9" s="363"/>
      <c r="T9" s="363"/>
      <c r="U9" s="363"/>
      <c r="V9" s="363"/>
      <c r="W9" s="363"/>
      <c r="X9" s="363"/>
      <c r="Y9" s="363"/>
      <c r="Z9" s="363"/>
      <c r="AA9" s="363"/>
      <c r="AB9" s="363"/>
      <c r="AC9" s="363"/>
      <c r="AD9" s="363"/>
      <c r="AE9" s="363"/>
      <c r="AF9" s="363"/>
      <c r="AG9" s="363"/>
      <c r="AH9" s="363"/>
      <c r="AI9" s="363"/>
      <c r="AJ9" s="363"/>
      <c r="AK9" s="363"/>
      <c r="AL9" s="363"/>
      <c r="AM9" s="363"/>
      <c r="AN9" s="363"/>
      <c r="AO9" s="363"/>
      <c r="AP9" s="363"/>
      <c r="AQ9" s="363"/>
      <c r="AR9" s="363"/>
      <c r="AS9" s="363"/>
      <c r="AT9" s="363"/>
      <c r="AU9" s="363"/>
      <c r="AV9" s="363"/>
      <c r="AW9" s="363"/>
      <c r="AX9" s="363"/>
      <c r="AY9" s="363"/>
      <c r="AZ9" s="363"/>
      <c r="BA9" s="363"/>
      <c r="BB9" s="363"/>
      <c r="BC9" s="363"/>
      <c r="BD9" s="36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row>
    <row r="10" spans="1:82" s="174" customFormat="1" ht="24" customHeight="1">
      <c r="D10" s="175"/>
      <c r="E10" s="176"/>
      <c r="F10" s="177"/>
      <c r="G10" s="177"/>
      <c r="H10" s="175"/>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212"/>
      <c r="AT10" s="212"/>
      <c r="AU10" s="212"/>
      <c r="AV10" s="212"/>
      <c r="AW10" s="212"/>
      <c r="AX10" s="212"/>
      <c r="AY10" s="212"/>
      <c r="AZ10" s="179"/>
      <c r="BA10" s="179"/>
      <c r="BB10" s="179"/>
      <c r="BC10" s="179"/>
      <c r="BD10" s="179"/>
    </row>
    <row r="11" spans="1:82" s="174" customFormat="1" ht="25.5" customHeight="1">
      <c r="A11" s="396" t="s">
        <v>9</v>
      </c>
      <c r="B11" s="396"/>
      <c r="C11" s="397"/>
      <c r="D11" s="332" t="s">
        <v>44</v>
      </c>
      <c r="E11" s="333"/>
      <c r="F11" s="333"/>
      <c r="G11" s="333"/>
      <c r="H11" s="333"/>
      <c r="I11" s="333"/>
      <c r="J11" s="333"/>
      <c r="K11" s="333"/>
      <c r="L11" s="333"/>
      <c r="M11" s="333"/>
      <c r="N11" s="333"/>
      <c r="O11" s="333"/>
      <c r="P11" s="333"/>
      <c r="Q11" s="333"/>
      <c r="R11" s="333"/>
      <c r="S11" s="333"/>
      <c r="T11" s="333"/>
      <c r="U11" s="333"/>
      <c r="V11" s="333"/>
      <c r="W11" s="333"/>
      <c r="X11" s="333"/>
      <c r="Y11" s="333"/>
      <c r="Z11" s="333"/>
      <c r="AA11" s="333"/>
      <c r="AB11" s="333"/>
      <c r="AC11" s="333"/>
      <c r="AD11" s="333"/>
      <c r="AE11" s="333"/>
      <c r="AF11" s="333"/>
      <c r="AG11" s="333"/>
      <c r="AH11" s="333"/>
      <c r="AI11" s="333"/>
      <c r="AJ11" s="333"/>
      <c r="AK11" s="333"/>
      <c r="AL11" s="333"/>
      <c r="AM11" s="333"/>
      <c r="AN11" s="333"/>
      <c r="AO11" s="333"/>
      <c r="AP11" s="333"/>
      <c r="AQ11" s="333"/>
      <c r="AR11" s="380"/>
      <c r="AS11" s="383" t="s">
        <v>45</v>
      </c>
      <c r="AT11" s="383"/>
      <c r="AU11" s="383"/>
      <c r="AV11" s="383"/>
      <c r="AW11" s="383"/>
      <c r="AX11" s="383"/>
      <c r="AY11" s="383"/>
      <c r="AZ11" s="372" t="s">
        <v>46</v>
      </c>
      <c r="BA11" s="373"/>
      <c r="BB11" s="373"/>
      <c r="BC11" s="374" t="s">
        <v>47</v>
      </c>
      <c r="BD11" s="375"/>
    </row>
    <row r="12" spans="1:82" ht="27" customHeight="1">
      <c r="D12" s="365" t="s">
        <v>48</v>
      </c>
      <c r="E12" s="365"/>
      <c r="F12" s="365"/>
      <c r="G12" s="365"/>
      <c r="H12" s="365"/>
      <c r="I12" s="331"/>
      <c r="J12" s="331"/>
      <c r="K12" s="331"/>
      <c r="L12" s="331"/>
      <c r="M12" s="331"/>
      <c r="N12" s="331"/>
      <c r="O12" s="331"/>
      <c r="P12" s="331" t="s">
        <v>49</v>
      </c>
      <c r="Q12" s="331"/>
      <c r="R12" s="331"/>
      <c r="S12" s="331"/>
      <c r="T12" s="331"/>
      <c r="U12" s="331"/>
      <c r="V12" s="331" t="s">
        <v>50</v>
      </c>
      <c r="W12" s="331"/>
      <c r="X12" s="331"/>
      <c r="Y12" s="331"/>
      <c r="Z12" s="331"/>
      <c r="AA12" s="331"/>
      <c r="AB12" s="331"/>
      <c r="AC12" s="331"/>
      <c r="AD12" s="331"/>
      <c r="AE12" s="331"/>
      <c r="AF12" s="371" t="s">
        <v>51</v>
      </c>
      <c r="AG12" s="331" t="s">
        <v>52</v>
      </c>
      <c r="AH12" s="331"/>
      <c r="AI12" s="331"/>
      <c r="AJ12" s="331"/>
      <c r="AK12" s="331"/>
      <c r="AL12" s="331"/>
      <c r="AM12" s="331"/>
      <c r="AN12" s="213"/>
      <c r="AO12" s="332" t="s">
        <v>53</v>
      </c>
      <c r="AP12" s="333"/>
      <c r="AQ12" s="333"/>
      <c r="AR12" s="333"/>
      <c r="AS12" s="383"/>
      <c r="AT12" s="383"/>
      <c r="AU12" s="383"/>
      <c r="AV12" s="383"/>
      <c r="AW12" s="383"/>
      <c r="AX12" s="383"/>
      <c r="AY12" s="383"/>
      <c r="AZ12" s="372"/>
      <c r="BA12" s="373"/>
      <c r="BB12" s="373"/>
      <c r="BC12" s="376"/>
      <c r="BD12" s="377"/>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row>
    <row r="13" spans="1:82" ht="29" customHeight="1">
      <c r="D13" s="370" t="s">
        <v>54</v>
      </c>
      <c r="E13" s="329" t="s">
        <v>55</v>
      </c>
      <c r="F13" s="366" t="s">
        <v>56</v>
      </c>
      <c r="G13" s="330" t="s">
        <v>57</v>
      </c>
      <c r="H13" s="365" t="s">
        <v>58</v>
      </c>
      <c r="I13" s="329" t="s">
        <v>59</v>
      </c>
      <c r="J13" s="329" t="s">
        <v>60</v>
      </c>
      <c r="K13" s="329" t="s">
        <v>61</v>
      </c>
      <c r="L13" s="330" t="s">
        <v>62</v>
      </c>
      <c r="M13" s="393" t="s">
        <v>63</v>
      </c>
      <c r="N13" s="394"/>
      <c r="O13" s="329" t="s">
        <v>64</v>
      </c>
      <c r="P13" s="329" t="s">
        <v>65</v>
      </c>
      <c r="Q13" s="365" t="s">
        <v>66</v>
      </c>
      <c r="R13" s="329" t="s">
        <v>67</v>
      </c>
      <c r="S13" s="329" t="s">
        <v>68</v>
      </c>
      <c r="T13" s="365" t="s">
        <v>66</v>
      </c>
      <c r="U13" s="329" t="s">
        <v>69</v>
      </c>
      <c r="V13" s="340" t="s">
        <v>70</v>
      </c>
      <c r="W13" s="329" t="s">
        <v>71</v>
      </c>
      <c r="X13" s="329" t="s">
        <v>72</v>
      </c>
      <c r="Y13" s="329" t="s">
        <v>73</v>
      </c>
      <c r="Z13" s="329" t="s">
        <v>74</v>
      </c>
      <c r="AA13" s="329"/>
      <c r="AB13" s="329"/>
      <c r="AC13" s="329"/>
      <c r="AD13" s="329"/>
      <c r="AE13" s="329"/>
      <c r="AF13" s="395"/>
      <c r="AG13" s="340" t="s">
        <v>75</v>
      </c>
      <c r="AH13" s="340" t="s">
        <v>76</v>
      </c>
      <c r="AI13" s="341" t="s">
        <v>66</v>
      </c>
      <c r="AJ13" s="340" t="s">
        <v>77</v>
      </c>
      <c r="AK13" s="340" t="s">
        <v>66</v>
      </c>
      <c r="AL13" s="340" t="s">
        <v>78</v>
      </c>
      <c r="AM13" s="340" t="s">
        <v>79</v>
      </c>
      <c r="AN13" s="340" t="s">
        <v>80</v>
      </c>
      <c r="AO13" s="329" t="s">
        <v>81</v>
      </c>
      <c r="AP13" s="329" t="s">
        <v>82</v>
      </c>
      <c r="AQ13" s="329" t="s">
        <v>83</v>
      </c>
      <c r="AR13" s="330" t="s">
        <v>84</v>
      </c>
      <c r="AS13" s="378" t="s">
        <v>85</v>
      </c>
      <c r="AT13" s="378" t="s">
        <v>86</v>
      </c>
      <c r="AU13" s="381" t="s">
        <v>451</v>
      </c>
      <c r="AV13" s="381" t="s">
        <v>87</v>
      </c>
      <c r="AW13" s="378" t="s">
        <v>452</v>
      </c>
      <c r="AX13" s="378" t="s">
        <v>88</v>
      </c>
      <c r="AY13" s="378" t="s">
        <v>89</v>
      </c>
      <c r="AZ13" s="329" t="s">
        <v>90</v>
      </c>
      <c r="BA13" s="329" t="s">
        <v>450</v>
      </c>
      <c r="BB13" s="329" t="s">
        <v>91</v>
      </c>
      <c r="BC13" s="378" t="s">
        <v>90</v>
      </c>
      <c r="BD13" s="378" t="s">
        <v>92</v>
      </c>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row>
    <row r="14" spans="1:82" s="182" customFormat="1" ht="29" customHeight="1" thickBot="1">
      <c r="A14" s="180"/>
      <c r="B14" s="180"/>
      <c r="C14" s="180"/>
      <c r="D14" s="371"/>
      <c r="E14" s="330"/>
      <c r="F14" s="398"/>
      <c r="G14" s="364"/>
      <c r="H14" s="366"/>
      <c r="I14" s="330"/>
      <c r="J14" s="330"/>
      <c r="K14" s="366"/>
      <c r="L14" s="364"/>
      <c r="M14" s="222" t="s">
        <v>93</v>
      </c>
      <c r="N14" s="222" t="s">
        <v>94</v>
      </c>
      <c r="O14" s="330"/>
      <c r="P14" s="330"/>
      <c r="Q14" s="366"/>
      <c r="R14" s="330"/>
      <c r="S14" s="366"/>
      <c r="T14" s="366"/>
      <c r="U14" s="330"/>
      <c r="V14" s="341"/>
      <c r="W14" s="330"/>
      <c r="X14" s="330"/>
      <c r="Y14" s="330"/>
      <c r="Z14" s="219" t="s">
        <v>95</v>
      </c>
      <c r="AA14" s="219" t="s">
        <v>96</v>
      </c>
      <c r="AB14" s="219" t="s">
        <v>97</v>
      </c>
      <c r="AC14" s="219" t="s">
        <v>51</v>
      </c>
      <c r="AD14" s="219" t="s">
        <v>98</v>
      </c>
      <c r="AE14" s="219" t="s">
        <v>99</v>
      </c>
      <c r="AF14" s="395"/>
      <c r="AG14" s="341"/>
      <c r="AH14" s="341"/>
      <c r="AI14" s="390"/>
      <c r="AJ14" s="341"/>
      <c r="AK14" s="341"/>
      <c r="AL14" s="341"/>
      <c r="AM14" s="341"/>
      <c r="AN14" s="341"/>
      <c r="AO14" s="330"/>
      <c r="AP14" s="330"/>
      <c r="AQ14" s="330"/>
      <c r="AR14" s="364"/>
      <c r="AS14" s="379"/>
      <c r="AT14" s="379"/>
      <c r="AU14" s="382"/>
      <c r="AV14" s="382"/>
      <c r="AW14" s="379"/>
      <c r="AX14" s="379"/>
      <c r="AY14" s="379"/>
      <c r="AZ14" s="330"/>
      <c r="BA14" s="330"/>
      <c r="BB14" s="330"/>
      <c r="BC14" s="379"/>
      <c r="BD14" s="379"/>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row>
    <row r="15" spans="1:82" s="188" customFormat="1" ht="85" customHeight="1">
      <c r="D15" s="309">
        <v>1</v>
      </c>
      <c r="E15" s="306" t="s">
        <v>143</v>
      </c>
      <c r="F15" s="306" t="s">
        <v>159</v>
      </c>
      <c r="G15" s="312"/>
      <c r="H15" s="306" t="s">
        <v>183</v>
      </c>
      <c r="I15" s="315" t="s">
        <v>421</v>
      </c>
      <c r="J15" s="315" t="s">
        <v>420</v>
      </c>
      <c r="K15" s="315" t="s">
        <v>422</v>
      </c>
      <c r="L15" s="318" t="s">
        <v>162</v>
      </c>
      <c r="M15" s="321"/>
      <c r="N15" s="321"/>
      <c r="O15" s="318">
        <f>291+18</f>
        <v>309</v>
      </c>
      <c r="P15" s="324" t="str">
        <f>IF(O15&lt;=0,"",IF(O15&lt;=2,"Muy Baja",IF(O15&lt;=24,"Baja",IF(O15&lt;=500,"Media",IF(O15&lt;=5000,"Alta","Muy Alta")))))</f>
        <v>Media</v>
      </c>
      <c r="Q15" s="327">
        <f>IF(P15="","",IF(P15="Muy Baja",0.2,IF(P15="Baja",0.4,IF(P15="Media",0.6,IF(P15="Alta",0.8,IF(P15="Muy Alta",1,))))))</f>
        <v>0.6</v>
      </c>
      <c r="R15" s="334" t="s">
        <v>127</v>
      </c>
      <c r="S15" s="337" t="str">
        <f>IFERROR(VLOOKUP(R15,Criterios[],2,FALSE),"")</f>
        <v>Menor</v>
      </c>
      <c r="T15" s="327">
        <f t="shared" ref="T15" si="0">IF(S15="","",IF(S15="Leve",0.2,IF(S15="Menor",0.4,IF(S15="Moderado",0.6,IF(S15="Mayor",0.8,IF(S15="Catastrófico",1,))))))</f>
        <v>0.4</v>
      </c>
      <c r="U15" s="337"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Moderado</v>
      </c>
      <c r="V15" s="223">
        <v>1</v>
      </c>
      <c r="W15" s="224" t="s">
        <v>423</v>
      </c>
      <c r="X15" s="225" t="s">
        <v>424</v>
      </c>
      <c r="Y15" s="226" t="str">
        <f>IF(OR(Z15="Preventivo",Z15="Detectivo"),"Probabilidad",IF(Z15="Correctivo","Impacto",""))</f>
        <v>Probabilidad</v>
      </c>
      <c r="Z15" s="227" t="s">
        <v>101</v>
      </c>
      <c r="AA15" s="227" t="s">
        <v>165</v>
      </c>
      <c r="AB15" s="228" t="str">
        <f t="shared" ref="AB15:AB20" si="1">IF(AND(Z15="Preventivo",AA15="Automático"),"50%",IF(AND(Z15="Preventivo",AA15="Manual"),"40%",IF(AND(Z15="Detectivo",AA15="Automático"),"40%",IF(AND(Z15="Detectivo",AA15="Manual"),"30%",IF(AND(Z15="Correctivo",AA15="Automático"),"35%",IF(AND(Z15="Correctivo",AA15="Manual"),"25%",""))))))</f>
        <v>30%</v>
      </c>
      <c r="AC15" s="227" t="s">
        <v>153</v>
      </c>
      <c r="AD15" s="227" t="s">
        <v>154</v>
      </c>
      <c r="AE15" s="227" t="s">
        <v>412</v>
      </c>
      <c r="AF15" s="229" t="s">
        <v>446</v>
      </c>
      <c r="AG15" s="387">
        <f>IFERROR(IF(Y15="Probabilidad",Q15-(Q15*((AB15+AB16)/2)),IF(Y15="Impacto",Q15,"")),"")</f>
        <v>0.39</v>
      </c>
      <c r="AH15" s="346" t="str">
        <f>IFERROR(IF(AG15="","",IF(AG15&lt;=0.2,"Muy Baja",IF(AG15&lt;=0.4,"Baja",IF(AG15&lt;=0.6,"Media",IF(AG15&lt;=0.8,"Alta","Muy Alta"))))),"")</f>
        <v>Baja</v>
      </c>
      <c r="AI15" s="327">
        <f>+AG15</f>
        <v>0.39</v>
      </c>
      <c r="AJ15" s="346" t="str">
        <f>IFERROR(IF(AK15="","",IF(AK15&lt;=0.2,"Leve",IF(AK15&lt;=0.4,"Menor",IF(AK15&lt;=0.6,"Moderado",IF(AK15&lt;=0.8,"Mayor","Catastrófico"))))),"")</f>
        <v>Menor</v>
      </c>
      <c r="AK15" s="327">
        <f>IFERROR(IF(Y15="Impacto",(T15-(T15*((AB15+AB16)/2))),IF(Y15="Probabilidad",T15,"")),"")</f>
        <v>0.4</v>
      </c>
      <c r="AL15" s="346" t="str">
        <f>IFERROR(IF(OR(AND(AH15="Muy Baja",AJ15="Leve"),AND(AH15="Muy Baja",AJ15="Menor"),
AND(AH15="Baja",AJ15="Leve")
),"Bajo",IF(OR(AND(AH15="Muy Baja",AJ15="Moderado"),AND(AH15="Baja",AJ15="Menor"),
AND(AH15="Baja",AJ15="Moderado"),AND(AH15="Media",AJ15="Leve"),
AND(AH15="Media",AJ15="Menor"),
AND(AH15="Media",AJ15="Moderado"),AND(AH15="Alta",AJ15="Leve"),
AND(AH15="Alta",AJ15="Menor")
),
"Moderado",
IF(
OR(
AND(AH15="Muy Baja",AJ15="Mayor"),
AND(AH15="Alta",AJ15="Moderado"),AND(AH15="Alta",AJ15="Mayor"),
AND(AH15="Muy Alta",AJ15="Leve"),AND(AH15="Muy Alta",AJ15="Menor"),
AND(AH15="Muy Alta",AJ15="Moderado"),
AND(AH15="Muy Alta",AJ15="Mayor"),
AND(AH15="Baja",AJ15="Mayor"),
AND(AH15="Media",AJ15="Mayor")
),"Alto",
IF(
AJ15="Catastrófico",
"Extremo",""
)
)
)
),
"")</f>
        <v>Moderado</v>
      </c>
      <c r="AM15" s="343" t="s">
        <v>102</v>
      </c>
      <c r="AN15" s="223">
        <v>1</v>
      </c>
      <c r="AO15" s="230" t="s">
        <v>431</v>
      </c>
      <c r="AP15" s="231" t="s">
        <v>430</v>
      </c>
      <c r="AQ15" s="232" t="s">
        <v>428</v>
      </c>
      <c r="AR15" s="247" t="s">
        <v>429</v>
      </c>
      <c r="AS15" s="302"/>
      <c r="AT15" s="303"/>
      <c r="AU15" s="220"/>
      <c r="AV15" s="220"/>
      <c r="AW15" s="221"/>
      <c r="AX15" s="221"/>
      <c r="AY15" s="221"/>
      <c r="AZ15" s="295"/>
      <c r="BA15" s="215"/>
      <c r="BB15" s="216"/>
      <c r="BC15" s="297"/>
      <c r="BD15" s="214"/>
      <c r="BE15" s="207"/>
      <c r="BF15" s="194"/>
      <c r="BG15" s="194"/>
      <c r="BH15" s="194"/>
      <c r="BI15" s="194"/>
      <c r="BJ15" s="194"/>
      <c r="BK15" s="194"/>
      <c r="BL15" s="194"/>
      <c r="BM15" s="194"/>
      <c r="BN15" s="194"/>
      <c r="BO15" s="194"/>
      <c r="BP15" s="194"/>
      <c r="BQ15" s="194"/>
      <c r="BR15" s="194"/>
      <c r="BS15" s="194"/>
      <c r="BT15" s="194"/>
      <c r="BU15" s="194"/>
      <c r="BV15" s="194"/>
      <c r="BW15" s="194"/>
      <c r="BX15" s="194"/>
      <c r="BY15" s="194"/>
      <c r="BZ15" s="194"/>
      <c r="CA15" s="194"/>
      <c r="CB15" s="194"/>
      <c r="CC15" s="194"/>
      <c r="CD15" s="194"/>
    </row>
    <row r="16" spans="1:82" s="188" customFormat="1" ht="80" customHeight="1" thickBot="1">
      <c r="D16" s="311"/>
      <c r="E16" s="308"/>
      <c r="F16" s="308"/>
      <c r="G16" s="314"/>
      <c r="H16" s="308"/>
      <c r="I16" s="317"/>
      <c r="J16" s="317"/>
      <c r="K16" s="317"/>
      <c r="L16" s="320"/>
      <c r="M16" s="323"/>
      <c r="N16" s="323"/>
      <c r="O16" s="320"/>
      <c r="P16" s="326"/>
      <c r="Q16" s="328"/>
      <c r="R16" s="336"/>
      <c r="S16" s="339"/>
      <c r="T16" s="328"/>
      <c r="U16" s="339"/>
      <c r="V16" s="233">
        <v>2</v>
      </c>
      <c r="W16" s="234" t="s">
        <v>425</v>
      </c>
      <c r="X16" s="235" t="s">
        <v>426</v>
      </c>
      <c r="Y16" s="236" t="str">
        <f t="shared" ref="Y16:Y20" si="2">IF(OR(Z16="Preventivo",Z16="Detectivo"),"Probabilidad",IF(Z16="Correctivo","Impacto",""))</f>
        <v>Probabilidad</v>
      </c>
      <c r="Z16" s="237" t="s">
        <v>151</v>
      </c>
      <c r="AA16" s="237" t="s">
        <v>165</v>
      </c>
      <c r="AB16" s="238" t="str">
        <f t="shared" si="1"/>
        <v>40%</v>
      </c>
      <c r="AC16" s="237" t="s">
        <v>166</v>
      </c>
      <c r="AD16" s="237" t="s">
        <v>154</v>
      </c>
      <c r="AE16" s="237" t="s">
        <v>412</v>
      </c>
      <c r="AF16" s="239" t="s">
        <v>427</v>
      </c>
      <c r="AG16" s="389"/>
      <c r="AH16" s="348"/>
      <c r="AI16" s="328"/>
      <c r="AJ16" s="348"/>
      <c r="AK16" s="328"/>
      <c r="AL16" s="348"/>
      <c r="AM16" s="345"/>
      <c r="AN16" s="233">
        <v>2</v>
      </c>
      <c r="AO16" s="240" t="s">
        <v>432</v>
      </c>
      <c r="AP16" s="241" t="s">
        <v>430</v>
      </c>
      <c r="AQ16" s="242" t="s">
        <v>433</v>
      </c>
      <c r="AR16" s="248" t="s">
        <v>429</v>
      </c>
      <c r="AS16" s="302"/>
      <c r="AT16" s="305"/>
      <c r="AU16" s="220"/>
      <c r="AV16" s="220"/>
      <c r="AW16" s="221"/>
      <c r="AX16" s="221"/>
      <c r="AY16" s="221"/>
      <c r="AZ16" s="296"/>
      <c r="BA16" s="215"/>
      <c r="BB16" s="217"/>
      <c r="BC16" s="298"/>
      <c r="BD16" s="214"/>
      <c r="BE16" s="208"/>
      <c r="BF16" s="194"/>
      <c r="BG16" s="194"/>
      <c r="BH16" s="194"/>
      <c r="BI16" s="194"/>
      <c r="BJ16" s="194"/>
      <c r="BK16" s="194"/>
      <c r="BL16" s="194"/>
      <c r="BM16" s="194"/>
      <c r="BN16" s="194"/>
      <c r="BO16" s="194"/>
      <c r="BP16" s="194"/>
      <c r="BQ16" s="194"/>
      <c r="BR16" s="194"/>
      <c r="BS16" s="194"/>
      <c r="BT16" s="194"/>
      <c r="BU16" s="194"/>
      <c r="BV16" s="194"/>
      <c r="BW16" s="194"/>
      <c r="BX16" s="194"/>
      <c r="BY16" s="194"/>
      <c r="BZ16" s="194"/>
      <c r="CA16" s="194"/>
      <c r="CB16" s="194"/>
      <c r="CC16" s="194"/>
      <c r="CD16" s="194"/>
    </row>
    <row r="17" spans="4:82" s="188" customFormat="1" ht="62" customHeight="1">
      <c r="D17" s="309">
        <v>2</v>
      </c>
      <c r="E17" s="306" t="s">
        <v>143</v>
      </c>
      <c r="F17" s="306" t="s">
        <v>159</v>
      </c>
      <c r="G17" s="312"/>
      <c r="H17" s="306" t="s">
        <v>183</v>
      </c>
      <c r="I17" s="315" t="s">
        <v>434</v>
      </c>
      <c r="J17" s="315" t="s">
        <v>436</v>
      </c>
      <c r="K17" s="315" t="s">
        <v>435</v>
      </c>
      <c r="L17" s="318" t="s">
        <v>162</v>
      </c>
      <c r="M17" s="321"/>
      <c r="N17" s="321"/>
      <c r="O17" s="318">
        <v>70</v>
      </c>
      <c r="P17" s="324" t="str">
        <f>IF(O17&lt;=0,"",IF(O17&lt;=2,"Muy Baja",IF(O17&lt;=24,"Baja",IF(O17&lt;=500,"Media",IF(O17&lt;=5000,"Alta","Muy Alta")))))</f>
        <v>Media</v>
      </c>
      <c r="Q17" s="327">
        <f t="shared" ref="Q17" si="3">IF(P17="","",IF(P17="Muy Baja",0.2,IF(P17="Baja",0.4,IF(P17="Media",0.6,IF(P17="Alta",0.8,IF(P17="Muy Alta",1,))))))</f>
        <v>0.6</v>
      </c>
      <c r="R17" s="334" t="s">
        <v>127</v>
      </c>
      <c r="S17" s="337" t="str">
        <f>IFERROR(VLOOKUP(R17,Criterios[],2,FALSE),"")</f>
        <v>Menor</v>
      </c>
      <c r="T17" s="327">
        <f t="shared" ref="T17" si="4">IF(S17="","",IF(S17="Leve",0.2,IF(S17="Menor",0.4,IF(S17="Moderado",0.6,IF(S17="Mayor",0.8,IF(S17="Catastrófico",1,))))))</f>
        <v>0.4</v>
      </c>
      <c r="U17" s="337" t="str">
        <f>IF(OR(AND(P17="Muy Baja",S17="Leve"),AND(P17="Muy Baja",S17="Menor"),AND(P17="Baja",S17="Leve")),"Bajo",IF(OR(AND(P17="Muy baja",S17="Moderado"),AND(P17="Baja",S17="Menor"),AND(P17="Baja",S17="Moderado"),AND(P17="Media",S17="Leve"),AND(P17="Media",S17="Menor"),AND(P17="Media",S17="Moderado"),AND(P17="Alta",S17="Leve"),AND(P17="Alta",S17="Menor")),"Moderado",IF(OR(AND(P17="Muy Baja",S17="Mayor"),AND(P17="Baja",S17="Mayor"),AND(P17="Media",S17="Mayor"),AND(P17="Alta",S17="Moderado"),AND(P17="Alta",S17="Mayor"),AND(P17="Muy Alta",S17="Leve"),AND(P17="Muy Alta",S17="Menor"),AND(P17="Muy Alta",S17="Moderado"),AND(P17="Muy Alta",S17="Mayor")),"Alto",IF(OR(AND(P17="Muy Baja",S17="Catastrófico"),AND(P17="Baja",S17="Catastrófico"),AND(P17="Media",S17="Catastrófico"),AND(P17="Alta",S17="Catastrófico"),AND(P17="Muy Alta",S17="Catastrófico")),"Extremo",""))))</f>
        <v>Moderado</v>
      </c>
      <c r="V17" s="223">
        <v>1</v>
      </c>
      <c r="W17" s="224" t="s">
        <v>437</v>
      </c>
      <c r="X17" s="243" t="s">
        <v>438</v>
      </c>
      <c r="Y17" s="226" t="str">
        <f t="shared" si="2"/>
        <v>Probabilidad</v>
      </c>
      <c r="Z17" s="227" t="s">
        <v>101</v>
      </c>
      <c r="AA17" s="227" t="s">
        <v>165</v>
      </c>
      <c r="AB17" s="228" t="str">
        <f t="shared" si="1"/>
        <v>30%</v>
      </c>
      <c r="AC17" s="227" t="s">
        <v>166</v>
      </c>
      <c r="AD17" s="227" t="s">
        <v>154</v>
      </c>
      <c r="AE17" s="227" t="s">
        <v>412</v>
      </c>
      <c r="AF17" s="229" t="s">
        <v>427</v>
      </c>
      <c r="AG17" s="387">
        <f>IFERROR(IF(Y15="Probabilidad",Q15-(Q15*((AB17+AB18+AB19+AB20)/4)),IF(Y15="Impacto",Q15,"")),"")</f>
        <v>0.40499999999999997</v>
      </c>
      <c r="AH17" s="346" t="str">
        <f>IFERROR(IF(AG17="","",IF(AG17&lt;=0.2,"Muy Baja",IF(AG17&lt;=0.4,"Baja",IF(AG17&lt;=0.6,"Media",IF(AG17&lt;=0.8,"Alta","Muy Alta"))))),"")</f>
        <v>Media</v>
      </c>
      <c r="AI17" s="327">
        <f t="shared" ref="AI17" si="5">+AG17</f>
        <v>0.40499999999999997</v>
      </c>
      <c r="AJ17" s="346" t="str">
        <f t="shared" ref="AJ17" si="6">IFERROR(IF(AK17="","",IF(AK17&lt;=0.2,"Leve",IF(AK17&lt;=0.4,"Menor",IF(AK17&lt;=0.6,"Moderado",IF(AK17&lt;=0.8,"Mayor","Catastrófico"))))),"")</f>
        <v>Menor</v>
      </c>
      <c r="AK17" s="327">
        <f>IFERROR(IF(Y17="Impacto",(T17-(T17*((AB17+AB18+AB19+AB20)/4))),IF(Y17="Probabilidad",T17,"")),"")</f>
        <v>0.4</v>
      </c>
      <c r="AL17" s="346" t="str">
        <f>IFERROR(IF(OR(AND(AH17="Muy Baja",AJ17="Leve"),AND(AH17="Muy Baja",AJ17="Menor"),
AND(AH17="Baja",AJ17="Leve")
),"Bajo",IF(OR(AND(AH17="Muy Baja",AJ17="Moderado"),AND(AH17="Baja",AJ17="Menor"),
AND(AH17="Baja",AJ17="Moderado"),AND(AH17="Media",AJ17="Leve"),
AND(AH17="Media",AJ17="Menor"),
AND(AH17="Media",AJ17="Moderado"),AND(AH17="Alta",AJ17="Leve"),
AND(AH17="Alta",AJ17="Menor")
),
"Moderado",
IF(
OR(
AND(AH17="Muy Baja",AJ17="Mayor"),
AND(AH17="Alta",AJ17="Moderado"),AND(AH17="Alta",AJ17="Mayor"),
AND(AH17="Muy Alta",AJ17="Leve"),AND(AH17="Muy Alta",AJ17="Menor"),
AND(AH17="Muy Alta",AJ17="Moderado"),
AND(AH17="Muy Alta",AJ17="Mayor"),
AND(AH17="Baja",AJ17="Mayor"),
AND(AH17="Media",AJ17="Mayor")
),"Alto",
IF(
AJ17="Catastrófico",
"Extremo",""
)
)
)
),
"")</f>
        <v>Moderado</v>
      </c>
      <c r="AM17" s="343" t="s">
        <v>102</v>
      </c>
      <c r="AN17" s="306">
        <v>1</v>
      </c>
      <c r="AO17" s="349" t="s">
        <v>449</v>
      </c>
      <c r="AP17" s="349" t="s">
        <v>430</v>
      </c>
      <c r="AQ17" s="349" t="s">
        <v>448</v>
      </c>
      <c r="AR17" s="299" t="s">
        <v>429</v>
      </c>
      <c r="AS17" s="302"/>
      <c r="AT17" s="303"/>
      <c r="AU17" s="220"/>
      <c r="AV17" s="220"/>
      <c r="AW17" s="221"/>
      <c r="AX17" s="221"/>
      <c r="AY17" s="221"/>
      <c r="AZ17" s="296"/>
      <c r="BA17" s="215"/>
      <c r="BB17" s="217"/>
      <c r="BC17" s="298"/>
      <c r="BD17" s="214"/>
      <c r="BE17" s="194"/>
      <c r="BF17" s="208"/>
      <c r="BG17" s="194"/>
      <c r="BH17" s="194"/>
      <c r="BI17" s="194"/>
      <c r="BJ17" s="194"/>
      <c r="BK17" s="194"/>
      <c r="BL17" s="194"/>
      <c r="BM17" s="194"/>
      <c r="BN17" s="194"/>
      <c r="BO17" s="194"/>
      <c r="BP17" s="194"/>
      <c r="BQ17" s="194"/>
      <c r="BR17" s="194"/>
      <c r="BS17" s="194"/>
      <c r="BT17" s="194"/>
      <c r="BU17" s="194"/>
      <c r="BV17" s="194"/>
      <c r="BW17" s="194"/>
      <c r="BX17" s="194"/>
      <c r="BY17" s="194"/>
      <c r="BZ17" s="194"/>
      <c r="CA17" s="194"/>
      <c r="CB17" s="194"/>
      <c r="CC17" s="194"/>
      <c r="CD17" s="194"/>
    </row>
    <row r="18" spans="4:82" s="188" customFormat="1" ht="78" customHeight="1">
      <c r="D18" s="310"/>
      <c r="E18" s="307"/>
      <c r="F18" s="307"/>
      <c r="G18" s="313"/>
      <c r="H18" s="307"/>
      <c r="I18" s="316"/>
      <c r="J18" s="316"/>
      <c r="K18" s="316"/>
      <c r="L18" s="319"/>
      <c r="M18" s="322"/>
      <c r="N18" s="322"/>
      <c r="O18" s="319"/>
      <c r="P18" s="325"/>
      <c r="Q18" s="342"/>
      <c r="R18" s="335"/>
      <c r="S18" s="338"/>
      <c r="T18" s="342"/>
      <c r="U18" s="338"/>
      <c r="V18" s="195">
        <v>2</v>
      </c>
      <c r="W18" s="189" t="s">
        <v>439</v>
      </c>
      <c r="X18" s="190" t="s">
        <v>441</v>
      </c>
      <c r="Y18" s="191" t="str">
        <f t="shared" si="2"/>
        <v>Probabilidad</v>
      </c>
      <c r="Z18" s="192" t="s">
        <v>101</v>
      </c>
      <c r="AA18" s="192" t="s">
        <v>165</v>
      </c>
      <c r="AB18" s="193" t="str">
        <f t="shared" si="1"/>
        <v>30%</v>
      </c>
      <c r="AC18" s="192" t="s">
        <v>153</v>
      </c>
      <c r="AD18" s="192" t="s">
        <v>154</v>
      </c>
      <c r="AE18" s="192" t="s">
        <v>412</v>
      </c>
      <c r="AF18" s="211" t="s">
        <v>447</v>
      </c>
      <c r="AG18" s="388"/>
      <c r="AH18" s="347"/>
      <c r="AI18" s="342"/>
      <c r="AJ18" s="347"/>
      <c r="AK18" s="342"/>
      <c r="AL18" s="347"/>
      <c r="AM18" s="344"/>
      <c r="AN18" s="307"/>
      <c r="AO18" s="350"/>
      <c r="AP18" s="350"/>
      <c r="AQ18" s="350"/>
      <c r="AR18" s="300"/>
      <c r="AS18" s="302"/>
      <c r="AT18" s="304"/>
      <c r="AU18" s="220"/>
      <c r="AV18" s="220"/>
      <c r="AW18" s="221"/>
      <c r="AX18" s="221"/>
      <c r="AY18" s="221"/>
      <c r="AZ18" s="296"/>
      <c r="BA18" s="215"/>
      <c r="BB18" s="217"/>
      <c r="BC18" s="298"/>
      <c r="BD18" s="214"/>
      <c r="BE18" s="194"/>
      <c r="BF18" s="208"/>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row>
    <row r="19" spans="4:82" s="188" customFormat="1" ht="72" customHeight="1">
      <c r="D19" s="310"/>
      <c r="E19" s="307"/>
      <c r="F19" s="307"/>
      <c r="G19" s="313"/>
      <c r="H19" s="307"/>
      <c r="I19" s="316"/>
      <c r="J19" s="316"/>
      <c r="K19" s="316"/>
      <c r="L19" s="319"/>
      <c r="M19" s="322"/>
      <c r="N19" s="322"/>
      <c r="O19" s="319"/>
      <c r="P19" s="325"/>
      <c r="Q19" s="342"/>
      <c r="R19" s="335"/>
      <c r="S19" s="338"/>
      <c r="T19" s="342"/>
      <c r="U19" s="338"/>
      <c r="V19" s="195">
        <v>3</v>
      </c>
      <c r="W19" s="189" t="s">
        <v>440</v>
      </c>
      <c r="X19" s="190" t="s">
        <v>442</v>
      </c>
      <c r="Y19" s="191" t="str">
        <f t="shared" ref="Y19" si="7">IF(OR(Z19="Preventivo",Z19="Detectivo"),"Probabilidad",IF(Z19="Correctivo","Impacto",""))</f>
        <v>Probabilidad</v>
      </c>
      <c r="Z19" s="192" t="s">
        <v>151</v>
      </c>
      <c r="AA19" s="192" t="s">
        <v>165</v>
      </c>
      <c r="AB19" s="193" t="str">
        <f t="shared" ref="AB19" si="8">IF(AND(Z19="Preventivo",AA19="Automático"),"50%",IF(AND(Z19="Preventivo",AA19="Manual"),"40%",IF(AND(Z19="Detectivo",AA19="Automático"),"40%",IF(AND(Z19="Detectivo",AA19="Manual"),"30%",IF(AND(Z19="Correctivo",AA19="Automático"),"35%",IF(AND(Z19="Correctivo",AA19="Manual"),"25%",""))))))</f>
        <v>40%</v>
      </c>
      <c r="AC19" s="192" t="s">
        <v>153</v>
      </c>
      <c r="AD19" s="192" t="s">
        <v>154</v>
      </c>
      <c r="AE19" s="192" t="s">
        <v>412</v>
      </c>
      <c r="AF19" s="211" t="s">
        <v>445</v>
      </c>
      <c r="AG19" s="388"/>
      <c r="AH19" s="347"/>
      <c r="AI19" s="342"/>
      <c r="AJ19" s="347"/>
      <c r="AK19" s="342"/>
      <c r="AL19" s="347"/>
      <c r="AM19" s="344"/>
      <c r="AN19" s="307"/>
      <c r="AO19" s="350"/>
      <c r="AP19" s="350"/>
      <c r="AQ19" s="350"/>
      <c r="AR19" s="300"/>
      <c r="AS19" s="302"/>
      <c r="AT19" s="304"/>
      <c r="AU19" s="220"/>
      <c r="AV19" s="220"/>
      <c r="AW19" s="221"/>
      <c r="AX19" s="221"/>
      <c r="AY19" s="221"/>
      <c r="AZ19" s="296"/>
      <c r="BA19" s="215"/>
      <c r="BB19" s="217"/>
      <c r="BC19" s="298"/>
      <c r="BD19" s="214"/>
      <c r="BE19" s="194"/>
      <c r="BF19" s="208"/>
      <c r="BG19" s="194"/>
      <c r="BH19" s="194"/>
      <c r="BI19" s="194"/>
      <c r="BJ19" s="194"/>
      <c r="BK19" s="194"/>
      <c r="BL19" s="194"/>
      <c r="BM19" s="194"/>
      <c r="BN19" s="194"/>
      <c r="BO19" s="194"/>
      <c r="BP19" s="194"/>
      <c r="BQ19" s="194"/>
      <c r="BR19" s="194"/>
      <c r="BS19" s="194"/>
      <c r="BT19" s="194"/>
      <c r="BU19" s="194"/>
      <c r="BV19" s="194"/>
      <c r="BW19" s="194"/>
      <c r="BX19" s="194"/>
      <c r="BY19" s="194"/>
      <c r="BZ19" s="194"/>
      <c r="CA19" s="194"/>
      <c r="CB19" s="194"/>
      <c r="CC19" s="194"/>
      <c r="CD19" s="194"/>
    </row>
    <row r="20" spans="4:82" s="188" customFormat="1" ht="77" customHeight="1" thickBot="1">
      <c r="D20" s="311"/>
      <c r="E20" s="308"/>
      <c r="F20" s="308"/>
      <c r="G20" s="314"/>
      <c r="H20" s="308"/>
      <c r="I20" s="317"/>
      <c r="J20" s="317"/>
      <c r="K20" s="317"/>
      <c r="L20" s="320"/>
      <c r="M20" s="323"/>
      <c r="N20" s="323"/>
      <c r="O20" s="320"/>
      <c r="P20" s="326"/>
      <c r="Q20" s="328"/>
      <c r="R20" s="336"/>
      <c r="S20" s="339"/>
      <c r="T20" s="328"/>
      <c r="U20" s="339"/>
      <c r="V20" s="233">
        <v>4</v>
      </c>
      <c r="W20" s="234" t="s">
        <v>443</v>
      </c>
      <c r="X20" s="235" t="s">
        <v>444</v>
      </c>
      <c r="Y20" s="236" t="str">
        <f t="shared" si="2"/>
        <v>Probabilidad</v>
      </c>
      <c r="Z20" s="237" t="s">
        <v>101</v>
      </c>
      <c r="AA20" s="237" t="s">
        <v>165</v>
      </c>
      <c r="AB20" s="238" t="str">
        <f t="shared" si="1"/>
        <v>30%</v>
      </c>
      <c r="AC20" s="237" t="s">
        <v>153</v>
      </c>
      <c r="AD20" s="237" t="s">
        <v>154</v>
      </c>
      <c r="AE20" s="237" t="s">
        <v>412</v>
      </c>
      <c r="AF20" s="239" t="s">
        <v>427</v>
      </c>
      <c r="AG20" s="389"/>
      <c r="AH20" s="348"/>
      <c r="AI20" s="328"/>
      <c r="AJ20" s="348"/>
      <c r="AK20" s="328"/>
      <c r="AL20" s="348"/>
      <c r="AM20" s="345"/>
      <c r="AN20" s="308"/>
      <c r="AO20" s="351"/>
      <c r="AP20" s="351"/>
      <c r="AQ20" s="351"/>
      <c r="AR20" s="301"/>
      <c r="AS20" s="302"/>
      <c r="AT20" s="305"/>
      <c r="AU20" s="220"/>
      <c r="AV20" s="220"/>
      <c r="AW20" s="221"/>
      <c r="AX20" s="221"/>
      <c r="AY20" s="221"/>
      <c r="AZ20" s="296"/>
      <c r="BA20" s="215"/>
      <c r="BB20" s="217"/>
      <c r="BC20" s="298"/>
      <c r="BD20" s="214"/>
      <c r="BE20" s="194"/>
      <c r="BF20" s="208"/>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row>
    <row r="21" spans="4:82" ht="49.5" customHeight="1">
      <c r="D21" s="183"/>
      <c r="E21" s="184"/>
      <c r="F21" s="184"/>
      <c r="G21" s="184"/>
      <c r="H21" s="184"/>
      <c r="I21" s="386" t="s">
        <v>104</v>
      </c>
      <c r="J21" s="386"/>
      <c r="K21" s="386"/>
      <c r="L21" s="386"/>
      <c r="M21" s="386"/>
      <c r="N21" s="386"/>
      <c r="O21" s="386"/>
      <c r="P21" s="386"/>
      <c r="Q21" s="386"/>
      <c r="R21" s="386"/>
      <c r="S21" s="386"/>
      <c r="T21" s="386"/>
      <c r="U21" s="386"/>
      <c r="V21" s="386"/>
      <c r="W21" s="386"/>
      <c r="X21" s="386"/>
      <c r="Y21" s="386"/>
      <c r="Z21" s="386"/>
      <c r="AA21" s="386"/>
      <c r="AB21" s="386"/>
      <c r="AC21" s="386"/>
      <c r="AD21" s="386"/>
      <c r="AE21" s="386"/>
      <c r="AF21" s="386"/>
      <c r="AG21" s="386"/>
      <c r="AH21" s="386"/>
      <c r="AI21" s="386"/>
      <c r="AJ21" s="386"/>
      <c r="AK21" s="386"/>
      <c r="AL21" s="386"/>
      <c r="AM21" s="386"/>
      <c r="AN21" s="386"/>
      <c r="AO21" s="386"/>
      <c r="AP21" s="386"/>
      <c r="AQ21" s="386"/>
      <c r="AR21" s="386"/>
      <c r="AS21" s="386"/>
      <c r="AT21" s="386"/>
      <c r="AU21" s="386"/>
      <c r="AV21" s="386"/>
      <c r="AW21" s="386"/>
      <c r="AX21" s="386"/>
      <c r="AY21" s="386"/>
    </row>
    <row r="23" spans="4:82" ht="16">
      <c r="D23" s="104"/>
      <c r="E23" s="105"/>
      <c r="F23" s="105"/>
      <c r="G23" s="105"/>
      <c r="H23" s="105"/>
      <c r="I23" s="105"/>
      <c r="J23" s="105"/>
      <c r="K23" s="105"/>
      <c r="L23" s="169"/>
      <c r="M23" s="169"/>
      <c r="N23" s="169"/>
      <c r="P23" s="106"/>
      <c r="Q23" s="105"/>
      <c r="R23" s="105"/>
      <c r="S23" s="105"/>
      <c r="T23" s="105"/>
      <c r="U23" s="105"/>
      <c r="V23" s="105"/>
      <c r="W23" s="105"/>
      <c r="X23" s="105"/>
      <c r="Y23" s="107"/>
      <c r="Z23" s="107"/>
      <c r="AA23" s="105"/>
      <c r="AB23" s="105"/>
      <c r="AC23" s="105"/>
      <c r="AD23" s="105"/>
      <c r="AE23" s="105"/>
      <c r="AF23" s="105"/>
      <c r="AG23" s="105"/>
      <c r="AH23" s="105"/>
      <c r="AI23" s="105"/>
      <c r="AJ23" s="105"/>
      <c r="AK23" s="105"/>
      <c r="AL23" s="105"/>
      <c r="AM23" s="108"/>
      <c r="AN23" s="108"/>
      <c r="AO23" s="108"/>
      <c r="AP23" s="105"/>
      <c r="AQ23" s="105"/>
      <c r="AR23" s="105"/>
      <c r="AS23" s="105"/>
      <c r="AT23" s="105"/>
      <c r="AU23" s="105"/>
      <c r="AV23" s="105"/>
      <c r="AW23" s="105"/>
      <c r="AX23" s="105"/>
      <c r="AY23" s="105"/>
      <c r="AZ23" s="105"/>
      <c r="BA23" s="105"/>
    </row>
    <row r="24" spans="4:82" ht="18">
      <c r="D24" s="402" t="s">
        <v>453</v>
      </c>
      <c r="E24" s="402"/>
      <c r="F24" s="402"/>
      <c r="G24" s="402"/>
      <c r="H24" s="402"/>
      <c r="I24" s="402"/>
      <c r="J24" s="402"/>
      <c r="K24" s="402"/>
      <c r="L24" s="169"/>
      <c r="M24" s="169"/>
      <c r="N24" s="169"/>
      <c r="O24" s="399"/>
      <c r="P24" s="400"/>
      <c r="Q24" s="400"/>
      <c r="R24" s="401"/>
      <c r="S24" s="105"/>
      <c r="T24" s="105"/>
      <c r="U24" s="105"/>
      <c r="V24" s="105"/>
      <c r="W24" s="105"/>
      <c r="X24" s="108"/>
      <c r="Y24" s="107"/>
      <c r="Z24" s="107"/>
      <c r="AA24" s="105"/>
      <c r="AB24" s="107"/>
      <c r="AC24" s="107"/>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H24" s="169" t="s">
        <v>105</v>
      </c>
    </row>
    <row r="25" spans="4:82" ht="15" thickBot="1">
      <c r="D25" s="169"/>
      <c r="E25" s="169"/>
      <c r="F25" s="169"/>
      <c r="G25" s="169"/>
      <c r="H25" s="169"/>
      <c r="I25" s="169"/>
      <c r="J25" s="169"/>
      <c r="L25" s="169"/>
      <c r="M25" s="169"/>
      <c r="N25" s="169"/>
      <c r="P25" s="171" t="str">
        <f>+IFERROR(VLOOKUP(L25,$L$180:$P$184,3,FALSE)*VLOOKUP(O25,$O$180:$P$184,3,FALSE),"")</f>
        <v/>
      </c>
      <c r="Y25" s="171"/>
      <c r="Z25" s="185"/>
      <c r="AB25" s="185"/>
      <c r="AC25" s="185"/>
      <c r="AD25" s="186"/>
      <c r="AE25" s="186"/>
      <c r="AF25" s="186"/>
      <c r="AG25" s="186"/>
      <c r="AH25" s="186"/>
      <c r="AI25" s="109"/>
      <c r="AJ25" s="109"/>
      <c r="AK25" s="186"/>
      <c r="AL25" s="187"/>
      <c r="AQ25" s="186"/>
      <c r="AY25" s="186"/>
      <c r="AZ25" s="186"/>
      <c r="BH25" s="169" t="s">
        <v>106</v>
      </c>
    </row>
    <row r="26" spans="4:82" ht="17.75" customHeight="1" thickTop="1" thickBot="1">
      <c r="D26" s="384" t="s">
        <v>107</v>
      </c>
      <c r="E26" s="384"/>
      <c r="F26" s="384"/>
      <c r="G26" s="384"/>
      <c r="H26" s="384"/>
      <c r="I26" s="384"/>
      <c r="J26" s="384"/>
      <c r="K26" s="202" t="s">
        <v>108</v>
      </c>
      <c r="L26" s="384" t="s">
        <v>109</v>
      </c>
      <c r="M26" s="384"/>
      <c r="N26" s="384"/>
      <c r="O26" s="384"/>
      <c r="P26" s="384"/>
      <c r="Q26" s="384"/>
      <c r="R26" s="384"/>
      <c r="S26" s="385" t="s">
        <v>110</v>
      </c>
      <c r="T26" s="385"/>
      <c r="U26" s="385"/>
      <c r="V26" s="384" t="s">
        <v>111</v>
      </c>
      <c r="W26" s="384"/>
      <c r="X26" s="384"/>
      <c r="Y26" s="384"/>
      <c r="Z26" s="385">
        <v>1</v>
      </c>
      <c r="AA26" s="385"/>
      <c r="AB26" s="385"/>
      <c r="AC26" s="385"/>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0"/>
      <c r="BH26" s="169" t="s">
        <v>112</v>
      </c>
    </row>
    <row r="27" spans="4:82" ht="13.5" customHeight="1" thickTop="1">
      <c r="D27" s="391" t="s">
        <v>113</v>
      </c>
      <c r="E27" s="392"/>
      <c r="F27" s="392"/>
      <c r="G27" s="392"/>
      <c r="H27" s="392"/>
      <c r="I27" s="392"/>
      <c r="J27" s="392"/>
      <c r="K27" s="392"/>
      <c r="L27" s="392"/>
      <c r="M27" s="392"/>
      <c r="N27" s="392"/>
      <c r="O27" s="392"/>
      <c r="P27" s="392"/>
      <c r="Q27" s="392"/>
      <c r="R27" s="392"/>
      <c r="S27" s="392"/>
      <c r="T27" s="392"/>
      <c r="U27" s="392"/>
      <c r="V27" s="392"/>
      <c r="W27" s="392"/>
      <c r="X27" s="392"/>
      <c r="Y27" s="392"/>
      <c r="Z27" s="392"/>
      <c r="AA27" s="392"/>
      <c r="AB27" s="392"/>
      <c r="AC27" s="392"/>
      <c r="BH27" s="169" t="s">
        <v>114</v>
      </c>
    </row>
  </sheetData>
  <sheetProtection formatCells="0" formatColumns="0" formatRows="0" selectLockedCells="1"/>
  <protectedRanges>
    <protectedRange sqref="P1:P1048576" name="Rango1"/>
  </protectedRanges>
  <dataConsolidate/>
  <mergeCells count="135">
    <mergeCell ref="D27:AC27"/>
    <mergeCell ref="M13:N13"/>
    <mergeCell ref="AF12:AF14"/>
    <mergeCell ref="A11:C11"/>
    <mergeCell ref="F13:F14"/>
    <mergeCell ref="G13:G14"/>
    <mergeCell ref="AH13:AH14"/>
    <mergeCell ref="O13:O14"/>
    <mergeCell ref="P13:P14"/>
    <mergeCell ref="Q13:Q14"/>
    <mergeCell ref="S13:S14"/>
    <mergeCell ref="T13:T14"/>
    <mergeCell ref="L15:L16"/>
    <mergeCell ref="M15:M16"/>
    <mergeCell ref="D15:D16"/>
    <mergeCell ref="E15:E16"/>
    <mergeCell ref="U15:U16"/>
    <mergeCell ref="AG15:AG16"/>
    <mergeCell ref="AH15:AH16"/>
    <mergeCell ref="D26:J26"/>
    <mergeCell ref="O24:R24"/>
    <mergeCell ref="L26:R26"/>
    <mergeCell ref="S26:U26"/>
    <mergeCell ref="D24:K24"/>
    <mergeCell ref="AZ13:AZ14"/>
    <mergeCell ref="AU13:AU14"/>
    <mergeCell ref="AV13:AV14"/>
    <mergeCell ref="AT13:AT14"/>
    <mergeCell ref="W13:W14"/>
    <mergeCell ref="AS11:AY12"/>
    <mergeCell ref="V26:Y26"/>
    <mergeCell ref="Z26:AC26"/>
    <mergeCell ref="I21:AY21"/>
    <mergeCell ref="AM15:AM16"/>
    <mergeCell ref="AN17:AN20"/>
    <mergeCell ref="AH17:AH20"/>
    <mergeCell ref="AI15:AI16"/>
    <mergeCell ref="AG17:AG20"/>
    <mergeCell ref="AI13:AI14"/>
    <mergeCell ref="AI17:AI20"/>
    <mergeCell ref="AK15:AK16"/>
    <mergeCell ref="AJ15:AJ16"/>
    <mergeCell ref="AL15:AL16"/>
    <mergeCell ref="AK17:AK20"/>
    <mergeCell ref="V13:V14"/>
    <mergeCell ref="Q17:Q20"/>
    <mergeCell ref="D8:G8"/>
    <mergeCell ref="D9:G9"/>
    <mergeCell ref="H9:BD9"/>
    <mergeCell ref="H8:BD8"/>
    <mergeCell ref="D13:D14"/>
    <mergeCell ref="AZ11:BB12"/>
    <mergeCell ref="BC11:BD12"/>
    <mergeCell ref="U13:U14"/>
    <mergeCell ref="AX13:AX14"/>
    <mergeCell ref="AR13:AR14"/>
    <mergeCell ref="AQ13:AQ14"/>
    <mergeCell ref="AP13:AP14"/>
    <mergeCell ref="AJ13:AJ14"/>
    <mergeCell ref="D11:AR11"/>
    <mergeCell ref="AS13:AS14"/>
    <mergeCell ref="BA13:BA14"/>
    <mergeCell ref="AW13:AW14"/>
    <mergeCell ref="AY13:AY14"/>
    <mergeCell ref="BC13:BC14"/>
    <mergeCell ref="E13:E14"/>
    <mergeCell ref="Y13:Y14"/>
    <mergeCell ref="H13:H14"/>
    <mergeCell ref="BB13:BB14"/>
    <mergeCell ref="BD13:BD14"/>
    <mergeCell ref="F15:F16"/>
    <mergeCell ref="N15:N16"/>
    <mergeCell ref="O15:O16"/>
    <mergeCell ref="P15:P16"/>
    <mergeCell ref="Q15:Q16"/>
    <mergeCell ref="S15:S16"/>
    <mergeCell ref="G15:G16"/>
    <mergeCell ref="H15:H16"/>
    <mergeCell ref="D2:H5"/>
    <mergeCell ref="I2:BC5"/>
    <mergeCell ref="H7:BD7"/>
    <mergeCell ref="AM13:AM14"/>
    <mergeCell ref="AL13:AL14"/>
    <mergeCell ref="AK13:AK14"/>
    <mergeCell ref="AG13:AG14"/>
    <mergeCell ref="X13:X14"/>
    <mergeCell ref="L13:L14"/>
    <mergeCell ref="D12:O12"/>
    <mergeCell ref="P12:U12"/>
    <mergeCell ref="K13:K14"/>
    <mergeCell ref="J13:J14"/>
    <mergeCell ref="I13:I14"/>
    <mergeCell ref="R13:R14"/>
    <mergeCell ref="D7:G7"/>
    <mergeCell ref="AO13:AO14"/>
    <mergeCell ref="AG12:AM12"/>
    <mergeCell ref="Z13:AE13"/>
    <mergeCell ref="AO12:AR12"/>
    <mergeCell ref="R17:R20"/>
    <mergeCell ref="S17:S20"/>
    <mergeCell ref="U17:U20"/>
    <mergeCell ref="AN13:AN14"/>
    <mergeCell ref="R15:R16"/>
    <mergeCell ref="T17:T20"/>
    <mergeCell ref="AM17:AM20"/>
    <mergeCell ref="AJ17:AJ20"/>
    <mergeCell ref="AL17:AL20"/>
    <mergeCell ref="AP17:AP20"/>
    <mergeCell ref="AQ17:AQ20"/>
    <mergeCell ref="AO17:AO20"/>
    <mergeCell ref="V12:AE12"/>
    <mergeCell ref="AZ15:AZ20"/>
    <mergeCell ref="BC15:BC20"/>
    <mergeCell ref="AR17:AR20"/>
    <mergeCell ref="AS15:AS16"/>
    <mergeCell ref="AT17:AT20"/>
    <mergeCell ref="AS17:AS20"/>
    <mergeCell ref="AT15:AT16"/>
    <mergeCell ref="E17:E20"/>
    <mergeCell ref="D17:D20"/>
    <mergeCell ref="F17:F20"/>
    <mergeCell ref="G17:G20"/>
    <mergeCell ref="H17:H20"/>
    <mergeCell ref="J17:J20"/>
    <mergeCell ref="L17:L20"/>
    <mergeCell ref="N17:N20"/>
    <mergeCell ref="P17:P20"/>
    <mergeCell ref="I17:I20"/>
    <mergeCell ref="O17:O20"/>
    <mergeCell ref="K17:K20"/>
    <mergeCell ref="M17:M20"/>
    <mergeCell ref="T15:T16"/>
    <mergeCell ref="I15:I16"/>
    <mergeCell ref="J15:J16"/>
    <mergeCell ref="K15:K16"/>
  </mergeCells>
  <conditionalFormatting sqref="P15 AH15 P17 AH17">
    <cfRule type="cellIs" dxfId="18" priority="51" operator="equal">
      <formula>"Muy Alta"</formula>
    </cfRule>
    <cfRule type="cellIs" dxfId="17" priority="52" operator="equal">
      <formula>"Alta"</formula>
    </cfRule>
    <cfRule type="cellIs" dxfId="16" priority="53" operator="equal">
      <formula>"Media"</formula>
    </cfRule>
    <cfRule type="cellIs" dxfId="15" priority="54" operator="equal">
      <formula>"Baja"</formula>
    </cfRule>
    <cfRule type="cellIs" dxfId="14" priority="55" operator="equal">
      <formula>"Muy Baja"</formula>
    </cfRule>
  </conditionalFormatting>
  <conditionalFormatting sqref="S15 AJ15 S17 AJ17">
    <cfRule type="cellIs" dxfId="13" priority="46" operator="equal">
      <formula>"Catastrófico"</formula>
    </cfRule>
    <cfRule type="cellIs" dxfId="12" priority="47" operator="equal">
      <formula>"Mayor"</formula>
    </cfRule>
    <cfRule type="cellIs" dxfId="11" priority="48" operator="equal">
      <formula>"Moderado"</formula>
    </cfRule>
    <cfRule type="cellIs" dxfId="10" priority="49" operator="equal">
      <formula>"Menor"</formula>
    </cfRule>
    <cfRule type="cellIs" dxfId="9" priority="50" operator="equal">
      <formula>"Leve"</formula>
    </cfRule>
  </conditionalFormatting>
  <conditionalFormatting sqref="U15 AL15 U17 AL17">
    <cfRule type="cellIs" dxfId="8" priority="42" operator="equal">
      <formula>"Extremo"</formula>
    </cfRule>
    <cfRule type="cellIs" dxfId="7" priority="43" operator="equal">
      <formula>"Alto"</formula>
    </cfRule>
    <cfRule type="cellIs" dxfId="6" priority="44" operator="equal">
      <formula>"Moderado"</formula>
    </cfRule>
    <cfRule type="cellIs" dxfId="5" priority="45" operator="equal">
      <formula>"Bajo"</formula>
    </cfRule>
  </conditionalFormatting>
  <conditionalFormatting sqref="AI23:AI25">
    <cfRule type="cellIs" dxfId="4" priority="16" operator="equal">
      <formula>#REF!</formula>
    </cfRule>
    <cfRule type="cellIs" dxfId="3" priority="17" operator="equal">
      <formula>#REF!</formula>
    </cfRule>
  </conditionalFormatting>
  <conditionalFormatting sqref="AI23:AJ25">
    <cfRule type="cellIs" dxfId="2" priority="15" stopIfTrue="1" operator="equal">
      <formula>#REF!</formula>
    </cfRule>
  </conditionalFormatting>
  <conditionalFormatting sqref="AJ23:AJ25">
    <cfRule type="cellIs" dxfId="1" priority="19" stopIfTrue="1" operator="equal">
      <formula>#REF!</formula>
    </cfRule>
    <cfRule type="cellIs" dxfId="0" priority="20" stopIfTrue="1" operator="equal">
      <formula>#REF!</formula>
    </cfRule>
  </conditionalFormatting>
  <dataValidations count="9">
    <dataValidation type="list" allowBlank="1" showInputMessage="1" showErrorMessage="1" sqref="K23" xr:uid="{DD6567DD-B173-4C49-932A-A1B71A989FAF}">
      <formula1>$K$180:$K$189</formula1>
    </dataValidation>
    <dataValidation type="list" allowBlank="1" showInputMessage="1" showErrorMessage="1" sqref="K25 AI25:AJ25" xr:uid="{3C284ECF-4914-644C-801D-BEEDBCCEA058}">
      <formula1>#REF!</formula1>
    </dataValidation>
    <dataValidation type="list" allowBlank="1" showInputMessage="1" showErrorMessage="1" sqref="Y25" xr:uid="{E92C6589-AE21-0643-842E-0D8CABD6E8F4}">
      <formula1>$R$180:$R$181</formula1>
    </dataValidation>
    <dataValidation type="list" allowBlank="1" showInputMessage="1" showErrorMessage="1" sqref="O25" xr:uid="{FA4E7FF4-BE73-DE48-85B9-41059F23BF45}">
      <formula1>$O$180:$O$184</formula1>
    </dataValidation>
    <dataValidation type="list" allowBlank="1" showInputMessage="1" showErrorMessage="1" sqref="L25:N25" xr:uid="{B6D4C8A8-A4C4-B448-8C63-47807C98A2F2}">
      <formula1>$L$180:$L$184</formula1>
    </dataValidation>
    <dataValidation type="list" allowBlank="1" showInputMessage="1" showErrorMessage="1" sqref="AB25:AH25 AY25:AZ25 AQ25 Z25" xr:uid="{0D701101-FAC1-6942-9AD3-DA31EBFF288B}">
      <formula1>$AQ$180:$AQ$187</formula1>
    </dataValidation>
    <dataValidation type="custom" allowBlank="1" showInputMessage="1" showErrorMessage="1" error="Recuerde que las acciones se generan bajo la medida de mitigar el riesgo" sqref="AP15:AP17" xr:uid="{86FC7E47-C7BC-A349-A65E-CB99DDAD0D48}"/>
    <dataValidation type="list" allowBlank="1" showInputMessage="1" showErrorMessage="1" error="Recuerde que las acciones se generan bajo la medida de mitigar el riesgo" sqref="AY15:AY20" xr:uid="{FC13C465-B0E3-CD41-BA43-8E240BF70268}">
      <formula1>$BH$24:$BH$27</formula1>
    </dataValidation>
    <dataValidation type="list" allowBlank="1" showInputMessage="1" showErrorMessage="1" sqref="R15:R20" xr:uid="{CDFDFD69-EDC2-AA4E-ADD0-B7946AD5DBF1}">
      <formula1>Criterios_Impacto</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1">
        <x14:dataValidation type="list" allowBlank="1" showInputMessage="1" showErrorMessage="1" xr:uid="{9B8E05E7-6BFB-E14B-978F-BC94541018CA}">
          <x14:formula1>
            <xm:f>'Opciones Tratamiento'!$B$13:$B$19</xm:f>
          </x14:formula1>
          <xm:sqref>L15 L17:L20</xm:sqref>
        </x14:dataValidation>
        <x14:dataValidation type="list" allowBlank="1" showInputMessage="1" showErrorMessage="1" xr:uid="{03A45EC4-6FA2-7D48-A66E-87326DD56287}">
          <x14:formula1>
            <xm:f>'Opciones Tratamiento'!$B$2:$B$5</xm:f>
          </x14:formula1>
          <xm:sqref>AM15 AM17</xm:sqref>
        </x14:dataValidation>
        <x14:dataValidation type="list" allowBlank="1" showInputMessage="1" showErrorMessage="1" xr:uid="{1F20624E-A936-4E41-BE16-E94D09CF52C4}">
          <x14:formula1>
            <xm:f>Listas!$B$2:$B$7</xm:f>
          </x14:formula1>
          <xm:sqref>H15 H17:H20</xm:sqref>
        </x14:dataValidation>
        <x14:dataValidation type="list" allowBlank="1" showInputMessage="1" showErrorMessage="1" xr:uid="{E36E96AD-A24C-4A4E-AFD4-ECEC315C79DE}">
          <x14:formula1>
            <xm:f>Listas!$C$2:$C$6</xm:f>
          </x14:formula1>
          <xm:sqref>M15 M17:M20</xm:sqref>
        </x14:dataValidation>
        <x14:dataValidation type="list" allowBlank="1" showInputMessage="1" showErrorMessage="1" xr:uid="{CC52C606-3B51-1148-AE03-A748A80A3F47}">
          <x14:formula1>
            <xm:f>Listas!$D$2:$D$5</xm:f>
          </x14:formula1>
          <xm:sqref>N15 N17:N20</xm:sqref>
        </x14:dataValidation>
        <x14:dataValidation type="list" allowBlank="1" showInputMessage="1" showErrorMessage="1" xr:uid="{931CAE9D-AE28-C64A-BA37-80475FDDFF7D}">
          <x14:formula1>
            <xm:f>Formulas!$B$3:$B$18</xm:f>
          </x14:formula1>
          <xm:sqref>E17:E20</xm:sqref>
        </x14:dataValidation>
        <x14:dataValidation type="list" allowBlank="1" showInputMessage="1" showErrorMessage="1" xr:uid="{8AED8506-A52D-954C-A1D5-2782FA6A00F8}">
          <x14:formula1>
            <xm:f>Formulas!$E$3:$E$23</xm:f>
          </x14:formula1>
          <xm:sqref>G17:G20</xm:sqref>
        </x14:dataValidation>
        <x14:dataValidation type="custom" allowBlank="1" showInputMessage="1" showErrorMessage="1" error="Recuerde que las acciones se generan bajo la medida de mitigar el riesgo" xr:uid="{4E4BAC52-D285-E54F-895B-B5B39B34E9AA}">
          <x14:formula1>
            <xm:f>IF(OR(AM16='Opciones Tratamiento'!$B$2,AM16='Opciones Tratamiento'!$B$3,AM16='Opciones Tratamiento'!$B$4),ISBLANK(AM16),ISTEXT(AM16))</xm:f>
          </x14:formula1>
          <xm:sqref>AU15:AX15 AU16 AU18:AU20 AR15:AR17</xm:sqref>
        </x14:dataValidation>
        <x14:dataValidation type="custom" allowBlank="1" showInputMessage="1" showErrorMessage="1" error="Recuerde que las acciones se generan bajo la medida de mitigar el riesgo" xr:uid="{425F59FC-AF96-CC47-95A4-41CFDB853D0A}">
          <x14:formula1>
            <xm:f>IF(OR(#REF!='Opciones Tratamiento'!$B$2,#REF!='Opciones Tratamiento'!$B$3,#REF!='Opciones Tratamiento'!$B$4),ISBLANK(#REF!),ISTEXT(#REF!))</xm:f>
          </x14:formula1>
          <xm:sqref>BC15 BD15:BD20</xm:sqref>
        </x14:dataValidation>
        <x14:dataValidation type="custom" allowBlank="1" showInputMessage="1" showErrorMessage="1" error="Recuerde que las acciones se generan bajo la medida de mitigar el riesgo" xr:uid="{E58F0B47-7053-EC48-8AEC-10150A65CDEB}">
          <x14:formula1>
            <xm:f>IF(OR(AM16='Opciones Tratamiento'!$B$2,AM16='Opciones Tratamiento'!$B$3,AM16='Opciones Tratamiento'!$B$4),ISBLANK(AM16),ISTEXT(AM16))</xm:f>
          </x14:formula1>
          <xm:sqref>AQ15</xm:sqref>
        </x14:dataValidation>
        <x14:dataValidation type="list" allowBlank="1" showInputMessage="1" showErrorMessage="1" xr:uid="{B941438B-18D6-814F-A318-F31600C355BE}">
          <x14:formula1>
            <xm:f>'Tabla Valoración controles'!$D$4:$D$6</xm:f>
          </x14:formula1>
          <xm:sqref>Z15:Z20</xm:sqref>
        </x14:dataValidation>
        <x14:dataValidation type="list" allowBlank="1" showInputMessage="1" showErrorMessage="1" xr:uid="{003CB800-FDA2-9141-8AE5-DDDC1263CF3F}">
          <x14:formula1>
            <xm:f>'Tabla Valoración controles'!$D$7:$D$8</xm:f>
          </x14:formula1>
          <xm:sqref>AA15:AA20</xm:sqref>
        </x14:dataValidation>
        <x14:dataValidation type="list" allowBlank="1" showInputMessage="1" showErrorMessage="1" xr:uid="{85CB9FF7-3B97-194F-9E9E-01599FEF30B3}">
          <x14:formula1>
            <xm:f>'Tabla Valoración controles'!$D$9:$D$10</xm:f>
          </x14:formula1>
          <xm:sqref>AC15:AC20</xm:sqref>
        </x14:dataValidation>
        <x14:dataValidation type="list" allowBlank="1" showInputMessage="1" showErrorMessage="1" xr:uid="{31F89737-5B0D-AC42-B7A4-A6B882253EFA}">
          <x14:formula1>
            <xm:f>'Tabla Valoración controles'!$D$11:$D$12</xm:f>
          </x14:formula1>
          <xm:sqref>AD15:AD20</xm:sqref>
        </x14:dataValidation>
        <x14:dataValidation type="list" allowBlank="1" showInputMessage="1" showErrorMessage="1" xr:uid="{1EC54EB6-8052-814B-8461-D682FA610AF5}">
          <x14:formula1>
            <xm:f>'Tabla Valoración controles'!$D$13:$D$14</xm:f>
          </x14:formula1>
          <xm:sqref>AE15:AE20</xm:sqref>
        </x14:dataValidation>
        <x14:dataValidation type="list" allowBlank="1" showInputMessage="1" showErrorMessage="1" xr:uid="{9DD7C633-E89A-7C41-B6F3-E591FBB1A3BD}">
          <x14:formula1>
            <xm:f>Formulas!$B$3:$B$6</xm:f>
          </x14:formula1>
          <xm:sqref>E15:E16</xm:sqref>
        </x14:dataValidation>
        <x14:dataValidation type="list" allowBlank="1" showInputMessage="1" showErrorMessage="1" xr:uid="{02C1B9AB-5B6B-4A47-A119-446C84F023AF}">
          <x14:formula1>
            <xm:f>Formulas!$D$3:$D$6</xm:f>
          </x14:formula1>
          <xm:sqref>F15:F20</xm:sqref>
        </x14:dataValidation>
        <x14:dataValidation type="list" allowBlank="1" showInputMessage="1" showErrorMessage="1" xr:uid="{2B28370E-25FC-DC41-8707-62E70D170538}">
          <x14:formula1>
            <xm:f>Formulas!$E$3:$E$5</xm:f>
          </x14:formula1>
          <xm:sqref>G15:G16</xm:sqref>
        </x14:dataValidation>
        <x14:dataValidation type="list" allowBlank="1" showInputMessage="1" showErrorMessage="1" error="Recuerde que las acciones se generan bajo la medida de mitigar el riesgo" xr:uid="{95516994-4A10-D14B-9C47-378D8B2ECCE8}">
          <x14:formula1>
            <xm:f>Formulas!$H$3:$H$4</xm:f>
          </x14:formula1>
          <xm:sqref>AT15 AT17</xm:sqref>
        </x14:dataValidation>
        <x14:dataValidation type="custom" allowBlank="1" showInputMessage="1" showErrorMessage="1" error="Recuerde que las acciones se generan bajo la medida de mitigar el riesgo" xr:uid="{8D9C3C0B-CA7F-3649-B82C-A34A2ADA9E6A}">
          <x14:formula1>
            <xm:f>IF(OR(AM20='Opciones Tratamiento'!$B$2,AM20='Opciones Tratamiento'!$B$3,AM20='Opciones Tratamiento'!$B$4),ISBLANK(AM20),ISTEXT(AM20))</xm:f>
          </x14:formula1>
          <xm:sqref>AU17 AQ17</xm:sqref>
        </x14:dataValidation>
        <x14:dataValidation type="custom" allowBlank="1" showInputMessage="1" showErrorMessage="1" error="Recuerde que las acciones se generan bajo la medida de mitigar el riesgo" xr:uid="{FF5E55B6-7417-FC40-923D-C459BF326AE0}">
          <x14:formula1>
            <xm:f>IF(OR(AQ17='Opciones Tratamiento'!$B$2,AQ17='Opciones Tratamiento'!$B$3,AQ17='Opciones Tratamiento'!$B$4),ISBLANK(AQ17),ISTEXT(AQ17))</xm:f>
          </x14:formula1>
          <xm:sqref>AV17:AX20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65A79-E3BF-4801-A67D-CFEFB6AABDB4}">
  <dimension ref="A1:B14"/>
  <sheetViews>
    <sheetView workbookViewId="0">
      <selection activeCell="A31" sqref="A31"/>
    </sheetView>
  </sheetViews>
  <sheetFormatPr baseColWidth="10" defaultColWidth="11.5" defaultRowHeight="15"/>
  <cols>
    <col min="1" max="1" width="129.6640625" bestFit="1" customWidth="1"/>
  </cols>
  <sheetData>
    <row r="1" spans="1:2">
      <c r="A1" t="s">
        <v>115</v>
      </c>
      <c r="B1" t="s">
        <v>97</v>
      </c>
    </row>
    <row r="2" spans="1:2">
      <c r="A2" t="s">
        <v>116</v>
      </c>
      <c r="B2" t="s">
        <v>117</v>
      </c>
    </row>
    <row r="3" spans="1:2">
      <c r="A3" t="s">
        <v>118</v>
      </c>
      <c r="B3" t="s">
        <v>119</v>
      </c>
    </row>
    <row r="4" spans="1:2">
      <c r="A4" t="s">
        <v>120</v>
      </c>
      <c r="B4" t="s">
        <v>121</v>
      </c>
    </row>
    <row r="5" spans="1:2">
      <c r="A5" t="s">
        <v>122</v>
      </c>
      <c r="B5" t="s">
        <v>123</v>
      </c>
    </row>
    <row r="6" spans="1:2">
      <c r="A6" t="s">
        <v>124</v>
      </c>
      <c r="B6" t="s">
        <v>125</v>
      </c>
    </row>
    <row r="7" spans="1:2">
      <c r="A7" t="s">
        <v>126</v>
      </c>
      <c r="B7" t="s">
        <v>117</v>
      </c>
    </row>
    <row r="8" spans="1:2">
      <c r="A8" t="s">
        <v>127</v>
      </c>
      <c r="B8" t="s">
        <v>119</v>
      </c>
    </row>
    <row r="9" spans="1:2">
      <c r="A9" t="s">
        <v>128</v>
      </c>
      <c r="B9" t="s">
        <v>121</v>
      </c>
    </row>
    <row r="10" spans="1:2">
      <c r="A10" t="s">
        <v>129</v>
      </c>
      <c r="B10" t="s">
        <v>123</v>
      </c>
    </row>
    <row r="11" spans="1:2">
      <c r="A11" t="s">
        <v>130</v>
      </c>
      <c r="B11" t="s">
        <v>125</v>
      </c>
    </row>
    <row r="12" spans="1:2">
      <c r="A12" t="s">
        <v>131</v>
      </c>
      <c r="B12" t="s">
        <v>121</v>
      </c>
    </row>
    <row r="13" spans="1:2">
      <c r="A13" t="s">
        <v>132</v>
      </c>
      <c r="B13" t="s">
        <v>123</v>
      </c>
    </row>
    <row r="14" spans="1:2">
      <c r="A14" t="s">
        <v>133</v>
      </c>
      <c r="B14" t="s">
        <v>125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R13"/>
  <sheetViews>
    <sheetView workbookViewId="0">
      <selection activeCell="D22" sqref="D22"/>
    </sheetView>
  </sheetViews>
  <sheetFormatPr baseColWidth="10" defaultColWidth="11.5" defaultRowHeight="15"/>
  <cols>
    <col min="1" max="1" width="4" customWidth="1"/>
    <col min="2" max="3" width="31.33203125" customWidth="1"/>
    <col min="4" max="4" width="30.5" customWidth="1"/>
    <col min="5" max="5" width="24.5" customWidth="1"/>
    <col min="6" max="6" width="22.6640625" customWidth="1"/>
    <col min="7" max="7" width="37" customWidth="1"/>
    <col min="8" max="8" width="21.33203125" customWidth="1"/>
    <col min="9" max="9" width="13.6640625" customWidth="1"/>
    <col min="10" max="10" width="17.33203125" customWidth="1"/>
    <col min="13" max="13" width="15.6640625" customWidth="1"/>
    <col min="14" max="14" width="14.6640625" customWidth="1"/>
    <col min="17" max="17" width="24.6640625" customWidth="1"/>
    <col min="18" max="18" width="29.5" customWidth="1"/>
  </cols>
  <sheetData>
    <row r="1" spans="2:18">
      <c r="B1" s="403" t="s">
        <v>48</v>
      </c>
      <c r="C1" s="403"/>
      <c r="D1" s="403"/>
      <c r="E1" s="403"/>
      <c r="F1" s="403"/>
      <c r="G1" s="403"/>
      <c r="H1" s="403"/>
      <c r="I1" s="403"/>
      <c r="J1" s="403"/>
      <c r="L1" s="403" t="s">
        <v>50</v>
      </c>
      <c r="M1" s="403"/>
      <c r="N1" s="403"/>
      <c r="O1" s="403"/>
      <c r="P1" s="403"/>
      <c r="Q1" s="403"/>
      <c r="R1" s="403"/>
    </row>
    <row r="2" spans="2:18" ht="50.25" customHeight="1">
      <c r="B2" s="167" t="s">
        <v>134</v>
      </c>
      <c r="C2" s="167" t="s">
        <v>135</v>
      </c>
      <c r="D2" s="166" t="s">
        <v>56</v>
      </c>
      <c r="E2" s="166" t="s">
        <v>136</v>
      </c>
      <c r="F2" s="166" t="s">
        <v>137</v>
      </c>
      <c r="G2" s="167" t="s">
        <v>138</v>
      </c>
      <c r="H2" s="167" t="s">
        <v>139</v>
      </c>
      <c r="I2" s="167" t="s">
        <v>140</v>
      </c>
      <c r="J2" s="166" t="s">
        <v>141</v>
      </c>
      <c r="L2" s="165" t="s">
        <v>95</v>
      </c>
      <c r="M2" s="165" t="s">
        <v>96</v>
      </c>
      <c r="N2" s="165" t="s">
        <v>51</v>
      </c>
      <c r="O2" s="165" t="s">
        <v>98</v>
      </c>
      <c r="P2" s="165" t="s">
        <v>99</v>
      </c>
      <c r="Q2" s="165" t="s">
        <v>79</v>
      </c>
      <c r="R2" s="168" t="s">
        <v>142</v>
      </c>
    </row>
    <row r="3" spans="2:18" ht="28">
      <c r="B3" s="18" t="s">
        <v>143</v>
      </c>
      <c r="C3" s="18" t="s">
        <v>144</v>
      </c>
      <c r="D3" s="111" t="s">
        <v>145</v>
      </c>
      <c r="E3" s="111" t="s">
        <v>146</v>
      </c>
      <c r="F3" t="s">
        <v>147</v>
      </c>
      <c r="G3" s="111" t="s">
        <v>148</v>
      </c>
      <c r="H3" t="s">
        <v>14</v>
      </c>
      <c r="I3" t="s">
        <v>149</v>
      </c>
      <c r="J3" t="s">
        <v>150</v>
      </c>
      <c r="L3" s="2" t="s">
        <v>151</v>
      </c>
      <c r="M3" s="2" t="s">
        <v>152</v>
      </c>
      <c r="N3" s="2" t="s">
        <v>153</v>
      </c>
      <c r="O3" s="2" t="s">
        <v>154</v>
      </c>
      <c r="P3" s="2" t="s">
        <v>155</v>
      </c>
      <c r="Q3" s="2" t="s">
        <v>156</v>
      </c>
      <c r="R3" t="s">
        <v>157</v>
      </c>
    </row>
    <row r="4" spans="2:18" ht="31.5" customHeight="1">
      <c r="B4" s="18" t="s">
        <v>100</v>
      </c>
      <c r="C4" s="18" t="s">
        <v>158</v>
      </c>
      <c r="D4" s="111" t="s">
        <v>159</v>
      </c>
      <c r="E4" s="111" t="s">
        <v>160</v>
      </c>
      <c r="F4" t="s">
        <v>161</v>
      </c>
      <c r="G4" s="111" t="s">
        <v>162</v>
      </c>
      <c r="H4" t="s">
        <v>15</v>
      </c>
      <c r="I4" t="s">
        <v>163</v>
      </c>
      <c r="J4" t="s">
        <v>164</v>
      </c>
      <c r="L4" s="2" t="s">
        <v>101</v>
      </c>
      <c r="M4" s="2" t="s">
        <v>165</v>
      </c>
      <c r="N4" s="2" t="s">
        <v>166</v>
      </c>
      <c r="O4" s="2" t="s">
        <v>167</v>
      </c>
      <c r="P4" s="2" t="s">
        <v>168</v>
      </c>
      <c r="Q4" s="2" t="s">
        <v>169</v>
      </c>
      <c r="R4" t="s">
        <v>170</v>
      </c>
    </row>
    <row r="5" spans="2:18" ht="26.25" customHeight="1">
      <c r="B5" s="18" t="s">
        <v>171</v>
      </c>
      <c r="C5" s="18" t="s">
        <v>172</v>
      </c>
      <c r="D5" s="111" t="s">
        <v>173</v>
      </c>
      <c r="E5" s="111" t="s">
        <v>174</v>
      </c>
      <c r="F5" t="s">
        <v>175</v>
      </c>
      <c r="G5" s="111" t="s">
        <v>176</v>
      </c>
      <c r="I5" t="s">
        <v>177</v>
      </c>
      <c r="J5" t="s">
        <v>178</v>
      </c>
      <c r="L5" s="2" t="s">
        <v>179</v>
      </c>
      <c r="P5" s="2" t="s">
        <v>180</v>
      </c>
      <c r="Q5" s="2" t="s">
        <v>181</v>
      </c>
    </row>
    <row r="6" spans="2:18" ht="24.75" customHeight="1">
      <c r="B6" s="18" t="s">
        <v>63</v>
      </c>
      <c r="C6" s="18" t="s">
        <v>182</v>
      </c>
      <c r="D6" s="111"/>
      <c r="F6" t="s">
        <v>183</v>
      </c>
      <c r="G6" s="111" t="s">
        <v>184</v>
      </c>
      <c r="I6" t="s">
        <v>185</v>
      </c>
      <c r="J6" t="s">
        <v>186</v>
      </c>
      <c r="Q6" s="2" t="s">
        <v>102</v>
      </c>
    </row>
    <row r="7" spans="2:18" ht="26.25" customHeight="1">
      <c r="B7" s="18"/>
      <c r="C7" s="18" t="s">
        <v>187</v>
      </c>
      <c r="D7" s="111"/>
      <c r="F7" t="s">
        <v>188</v>
      </c>
      <c r="G7" s="111" t="s">
        <v>189</v>
      </c>
      <c r="I7" t="s">
        <v>190</v>
      </c>
      <c r="Q7" s="2" t="s">
        <v>191</v>
      </c>
    </row>
    <row r="8" spans="2:18" ht="32">
      <c r="B8" s="18"/>
      <c r="C8" s="18"/>
      <c r="D8" s="111"/>
      <c r="F8" t="s">
        <v>192</v>
      </c>
      <c r="G8" s="111" t="s">
        <v>193</v>
      </c>
      <c r="I8" s="111" t="s">
        <v>194</v>
      </c>
    </row>
    <row r="9" spans="2:18" ht="31.5" customHeight="1">
      <c r="B9" s="18"/>
      <c r="C9" s="18"/>
      <c r="D9" s="111"/>
      <c r="G9" s="111" t="s">
        <v>195</v>
      </c>
      <c r="I9" t="s">
        <v>196</v>
      </c>
    </row>
    <row r="10" spans="2:18">
      <c r="B10" s="18"/>
      <c r="C10" s="18"/>
      <c r="D10" s="111"/>
      <c r="I10" t="s">
        <v>197</v>
      </c>
    </row>
    <row r="11" spans="2:18">
      <c r="B11" s="18"/>
      <c r="C11" s="18"/>
      <c r="D11" s="111"/>
    </row>
    <row r="12" spans="2:18">
      <c r="B12" s="18"/>
      <c r="C12" s="18"/>
      <c r="I12" t="s">
        <v>197</v>
      </c>
    </row>
    <row r="13" spans="2:18">
      <c r="B13" s="18"/>
      <c r="C13" s="18"/>
    </row>
  </sheetData>
  <mergeCells count="2">
    <mergeCell ref="B1:J1"/>
    <mergeCell ref="L1:R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B30"/>
  <sheetViews>
    <sheetView zoomScale="70" zoomScaleNormal="70" workbookViewId="0">
      <selection activeCell="G93" sqref="G93"/>
    </sheetView>
  </sheetViews>
  <sheetFormatPr baseColWidth="10" defaultColWidth="11.5" defaultRowHeight="15"/>
  <sheetData>
    <row r="2" spans="2:2">
      <c r="B2" t="s">
        <v>198</v>
      </c>
    </row>
    <row r="30" spans="2:2">
      <c r="B30" t="s">
        <v>199</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1:D75"/>
  <sheetViews>
    <sheetView topLeftCell="K64" workbookViewId="0">
      <selection activeCell="C41" sqref="C41"/>
    </sheetView>
  </sheetViews>
  <sheetFormatPr baseColWidth="10" defaultColWidth="11.5" defaultRowHeight="15"/>
  <cols>
    <col min="3" max="3" width="119" customWidth="1"/>
    <col min="4" max="4" width="33.33203125" customWidth="1"/>
  </cols>
  <sheetData>
    <row r="1" spans="3:4" ht="16" thickBot="1"/>
    <row r="2" spans="3:4">
      <c r="C2" s="404" t="s">
        <v>200</v>
      </c>
      <c r="D2" s="405"/>
    </row>
    <row r="3" spans="3:4">
      <c r="C3" s="406"/>
      <c r="D3" s="407"/>
    </row>
    <row r="4" spans="3:4" ht="16" thickBot="1">
      <c r="C4" s="150" t="s">
        <v>201</v>
      </c>
      <c r="D4" s="151" t="s">
        <v>202</v>
      </c>
    </row>
    <row r="5" spans="3:4" ht="30" customHeight="1">
      <c r="C5" s="152" t="s">
        <v>203</v>
      </c>
      <c r="D5" s="153">
        <v>1</v>
      </c>
    </row>
    <row r="6" spans="3:4" ht="28.5" customHeight="1">
      <c r="C6" s="154" t="s">
        <v>204</v>
      </c>
      <c r="D6" s="155">
        <v>1</v>
      </c>
    </row>
    <row r="7" spans="3:4" ht="28.5" customHeight="1">
      <c r="C7" s="156" t="s">
        <v>205</v>
      </c>
      <c r="D7" s="155">
        <v>1</v>
      </c>
    </row>
    <row r="8" spans="3:4" ht="28.5" customHeight="1">
      <c r="C8" s="156" t="s">
        <v>206</v>
      </c>
      <c r="D8" s="155">
        <v>1</v>
      </c>
    </row>
    <row r="9" spans="3:4" ht="18.5" customHeight="1">
      <c r="C9" s="156" t="s">
        <v>207</v>
      </c>
      <c r="D9" s="155">
        <v>1</v>
      </c>
    </row>
    <row r="10" spans="3:4" ht="28.5" customHeight="1">
      <c r="C10" s="156" t="s">
        <v>208</v>
      </c>
      <c r="D10" s="155">
        <v>1</v>
      </c>
    </row>
    <row r="11" spans="3:4" ht="21" customHeight="1">
      <c r="C11" s="154" t="s">
        <v>209</v>
      </c>
      <c r="D11" s="155">
        <v>1</v>
      </c>
    </row>
    <row r="12" spans="3:4" ht="21" customHeight="1">
      <c r="C12" s="154" t="s">
        <v>210</v>
      </c>
      <c r="D12" s="155">
        <v>1</v>
      </c>
    </row>
    <row r="13" spans="3:4" ht="21.5" customHeight="1">
      <c r="C13" s="154" t="s">
        <v>211</v>
      </c>
      <c r="D13" s="155">
        <v>1</v>
      </c>
    </row>
    <row r="14" spans="3:4" ht="28.5" customHeight="1">
      <c r="C14" s="154" t="s">
        <v>212</v>
      </c>
      <c r="D14" s="155">
        <v>1</v>
      </c>
    </row>
    <row r="15" spans="3:4" ht="22.5" customHeight="1">
      <c r="C15" s="157"/>
      <c r="D15" s="155">
        <v>1</v>
      </c>
    </row>
    <row r="16" spans="3:4" ht="28.5" customHeight="1">
      <c r="C16" s="158" t="s">
        <v>213</v>
      </c>
      <c r="D16" s="159"/>
    </row>
    <row r="17" spans="3:4" ht="28.5" customHeight="1">
      <c r="C17" s="152" t="s">
        <v>214</v>
      </c>
      <c r="D17" s="155">
        <v>1</v>
      </c>
    </row>
    <row r="18" spans="3:4" ht="28.5" customHeight="1">
      <c r="C18" s="152" t="s">
        <v>215</v>
      </c>
      <c r="D18" s="155">
        <v>1</v>
      </c>
    </row>
    <row r="19" spans="3:4" ht="28.5" customHeight="1">
      <c r="C19" s="152" t="s">
        <v>216</v>
      </c>
      <c r="D19" s="155">
        <v>1</v>
      </c>
    </row>
    <row r="20" spans="3:4" ht="28.5" customHeight="1">
      <c r="C20" s="154" t="s">
        <v>217</v>
      </c>
      <c r="D20" s="155">
        <v>1</v>
      </c>
    </row>
    <row r="21" spans="3:4" ht="28.5" customHeight="1">
      <c r="C21" s="152" t="s">
        <v>218</v>
      </c>
      <c r="D21" s="155">
        <v>1</v>
      </c>
    </row>
    <row r="22" spans="3:4" ht="28.5" customHeight="1">
      <c r="C22" s="160" t="s">
        <v>219</v>
      </c>
      <c r="D22" s="155">
        <v>1</v>
      </c>
    </row>
    <row r="23" spans="3:4" ht="28.5" customHeight="1">
      <c r="C23" s="152" t="s">
        <v>220</v>
      </c>
      <c r="D23" s="155">
        <v>1</v>
      </c>
    </row>
    <row r="24" spans="3:4" ht="28.5" customHeight="1">
      <c r="C24" s="152" t="s">
        <v>221</v>
      </c>
      <c r="D24" s="155">
        <v>1</v>
      </c>
    </row>
    <row r="25" spans="3:4" ht="28.5" customHeight="1">
      <c r="C25" s="157"/>
      <c r="D25" s="155">
        <v>1</v>
      </c>
    </row>
    <row r="26" spans="3:4" ht="28.5" customHeight="1">
      <c r="C26" s="157"/>
      <c r="D26" s="155">
        <v>1</v>
      </c>
    </row>
    <row r="27" spans="3:4" ht="28.5" customHeight="1">
      <c r="C27" s="158" t="s">
        <v>222</v>
      </c>
      <c r="D27" s="161"/>
    </row>
    <row r="28" spans="3:4" ht="28.5" customHeight="1">
      <c r="C28" s="156" t="s">
        <v>223</v>
      </c>
      <c r="D28" s="155">
        <v>1</v>
      </c>
    </row>
    <row r="29" spans="3:4" ht="28.5" customHeight="1">
      <c r="C29" s="156" t="s">
        <v>224</v>
      </c>
      <c r="D29" s="155">
        <v>1</v>
      </c>
    </row>
    <row r="30" spans="3:4" ht="28.5" customHeight="1">
      <c r="C30" s="156" t="s">
        <v>225</v>
      </c>
      <c r="D30" s="155">
        <v>1</v>
      </c>
    </row>
    <row r="31" spans="3:4" ht="28.5" customHeight="1">
      <c r="C31" s="156" t="s">
        <v>226</v>
      </c>
      <c r="D31" s="155">
        <v>1</v>
      </c>
    </row>
    <row r="32" spans="3:4" ht="28.5" customHeight="1">
      <c r="C32" s="156" t="s">
        <v>227</v>
      </c>
      <c r="D32" s="155">
        <v>1</v>
      </c>
    </row>
    <row r="33" spans="3:4" ht="28.5" customHeight="1">
      <c r="C33" s="162" t="s">
        <v>228</v>
      </c>
      <c r="D33" s="155">
        <v>1</v>
      </c>
    </row>
    <row r="34" spans="3:4" ht="28.5" customHeight="1">
      <c r="C34" s="154" t="s">
        <v>229</v>
      </c>
      <c r="D34" s="155">
        <v>1</v>
      </c>
    </row>
    <row r="35" spans="3:4" ht="28.5" customHeight="1">
      <c r="C35" s="156" t="s">
        <v>230</v>
      </c>
      <c r="D35" s="155">
        <v>1</v>
      </c>
    </row>
    <row r="36" spans="3:4" ht="28.5" customHeight="1">
      <c r="C36" s="156" t="s">
        <v>231</v>
      </c>
      <c r="D36" s="155">
        <v>1</v>
      </c>
    </row>
    <row r="37" spans="3:4" ht="28.5" customHeight="1">
      <c r="C37" s="156" t="s">
        <v>232</v>
      </c>
      <c r="D37" s="155">
        <v>1</v>
      </c>
    </row>
    <row r="38" spans="3:4" ht="28.5" customHeight="1">
      <c r="C38" s="154" t="s">
        <v>233</v>
      </c>
      <c r="D38" s="155">
        <v>1</v>
      </c>
    </row>
    <row r="39" spans="3:4" ht="28.5" customHeight="1">
      <c r="C39" s="162" t="s">
        <v>234</v>
      </c>
      <c r="D39" s="155">
        <v>1</v>
      </c>
    </row>
    <row r="40" spans="3:4" ht="28.5" customHeight="1">
      <c r="C40" s="162" t="s">
        <v>235</v>
      </c>
      <c r="D40" s="155">
        <v>1</v>
      </c>
    </row>
    <row r="41" spans="3:4" ht="28.5" customHeight="1">
      <c r="C41" s="162" t="s">
        <v>236</v>
      </c>
      <c r="D41" s="155">
        <v>1</v>
      </c>
    </row>
    <row r="42" spans="3:4" ht="28.5" customHeight="1">
      <c r="C42" s="162" t="s">
        <v>237</v>
      </c>
      <c r="D42" s="155">
        <v>1</v>
      </c>
    </row>
    <row r="43" spans="3:4" ht="28.5" customHeight="1">
      <c r="C43" s="163"/>
      <c r="D43" s="155"/>
    </row>
    <row r="44" spans="3:4" ht="28.5" customHeight="1">
      <c r="C44" s="163"/>
      <c r="D44" s="155"/>
    </row>
    <row r="45" spans="3:4" ht="28.5" customHeight="1">
      <c r="C45" s="158" t="s">
        <v>238</v>
      </c>
      <c r="D45" s="161"/>
    </row>
    <row r="46" spans="3:4" ht="28.5" customHeight="1">
      <c r="C46" s="162" t="s">
        <v>239</v>
      </c>
      <c r="D46" s="155">
        <v>1</v>
      </c>
    </row>
    <row r="47" spans="3:4" ht="28.5" customHeight="1">
      <c r="C47" s="162" t="s">
        <v>240</v>
      </c>
      <c r="D47" s="155">
        <v>1</v>
      </c>
    </row>
    <row r="48" spans="3:4" ht="28.5" customHeight="1">
      <c r="C48" s="162" t="s">
        <v>241</v>
      </c>
      <c r="D48" s="155">
        <v>1</v>
      </c>
    </row>
    <row r="49" spans="3:4" ht="28.5" customHeight="1">
      <c r="C49" s="162" t="s">
        <v>242</v>
      </c>
      <c r="D49" s="155">
        <v>1</v>
      </c>
    </row>
    <row r="50" spans="3:4" ht="28.5" customHeight="1">
      <c r="C50" s="164" t="s">
        <v>243</v>
      </c>
      <c r="D50" s="155">
        <v>1</v>
      </c>
    </row>
    <row r="51" spans="3:4" ht="28.5" customHeight="1">
      <c r="C51" s="164" t="s">
        <v>244</v>
      </c>
      <c r="D51" s="155">
        <v>1</v>
      </c>
    </row>
    <row r="52" spans="3:4" ht="28.5" customHeight="1">
      <c r="C52" s="164" t="s">
        <v>245</v>
      </c>
      <c r="D52" s="155">
        <v>1</v>
      </c>
    </row>
    <row r="53" spans="3:4" ht="28.5" customHeight="1">
      <c r="C53" s="152" t="s">
        <v>246</v>
      </c>
      <c r="D53" s="155">
        <v>1</v>
      </c>
    </row>
    <row r="54" spans="3:4" ht="28.5" customHeight="1">
      <c r="C54" s="152" t="s">
        <v>247</v>
      </c>
      <c r="D54" s="155">
        <v>1</v>
      </c>
    </row>
    <row r="55" spans="3:4" ht="28.5" customHeight="1"/>
    <row r="56" spans="3:4" ht="11" customHeight="1"/>
    <row r="57" spans="3:4" ht="11" customHeight="1"/>
    <row r="58" spans="3:4" ht="11" customHeight="1"/>
    <row r="59" spans="3:4" ht="11" customHeight="1"/>
    <row r="60" spans="3:4" ht="11" customHeight="1"/>
    <row r="61" spans="3:4" ht="11" customHeight="1"/>
    <row r="62" spans="3:4" ht="11" customHeight="1"/>
    <row r="63" spans="3:4" ht="11" customHeight="1"/>
    <row r="64" spans="3:4" ht="11" customHeight="1"/>
    <row r="65" ht="11" customHeight="1"/>
    <row r="66" ht="11" customHeight="1"/>
    <row r="67" ht="11" customHeight="1"/>
    <row r="68" ht="11" customHeight="1"/>
    <row r="69" ht="11" customHeight="1"/>
    <row r="70" ht="11" customHeight="1"/>
    <row r="71" ht="11" customHeight="1"/>
    <row r="72" ht="11" customHeight="1"/>
    <row r="73" ht="11" customHeight="1"/>
    <row r="74" ht="11" customHeight="1"/>
    <row r="75" ht="11" customHeight="1"/>
  </sheetData>
  <mergeCells count="1">
    <mergeCell ref="C2:D3"/>
  </mergeCells>
  <conditionalFormatting sqref="D5:D15 D17:D26 D43:D44">
    <cfRule type="iconSet" priority="6">
      <iconSet>
        <cfvo type="percent" val="0"/>
        <cfvo type="percent" val="33"/>
        <cfvo type="percent" val="67"/>
      </iconSet>
    </cfRule>
  </conditionalFormatting>
  <conditionalFormatting sqref="D28:D42">
    <cfRule type="iconSet" priority="4">
      <iconSet>
        <cfvo type="percent" val="0"/>
        <cfvo type="percent" val="33"/>
        <cfvo type="percent" val="67"/>
      </iconSet>
    </cfRule>
  </conditionalFormatting>
  <conditionalFormatting sqref="D46:D54">
    <cfRule type="iconSet" priority="2">
      <iconSet>
        <cfvo type="percent" val="0"/>
        <cfvo type="percent" val="33"/>
        <cfvo type="percent" val="67"/>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5" id="{06EB6435-C432-4D19-A0A0-EA03417474CA}">
            <x14:iconSet showValue="0" custom="1">
              <x14:cfvo type="percent">
                <xm:f>0</xm:f>
              </x14:cfvo>
              <x14:cfvo type="percent">
                <xm:f>0</xm:f>
              </x14:cfvo>
              <x14:cfvo type="num">
                <xm:f>1</xm:f>
              </x14:cfvo>
              <x14:cfIcon iconSet="3Symbols" iconId="0"/>
              <x14:cfIcon iconSet="3Symbols" iconId="0"/>
              <x14:cfIcon iconSet="3Symbols" iconId="2"/>
            </x14:iconSet>
          </x14:cfRule>
          <xm:sqref>D5:D15 D17:D26 D43:D44</xm:sqref>
        </x14:conditionalFormatting>
        <x14:conditionalFormatting xmlns:xm="http://schemas.microsoft.com/office/excel/2006/main">
          <x14:cfRule type="iconSet" priority="3" id="{381B375A-42D7-49A6-A52D-2130434D1021}">
            <x14:iconSet showValue="0" custom="1">
              <x14:cfvo type="percent">
                <xm:f>0</xm:f>
              </x14:cfvo>
              <x14:cfvo type="percent">
                <xm:f>0</xm:f>
              </x14:cfvo>
              <x14:cfvo type="num">
                <xm:f>1</xm:f>
              </x14:cfvo>
              <x14:cfIcon iconSet="3Symbols" iconId="0"/>
              <x14:cfIcon iconSet="3Symbols" iconId="0"/>
              <x14:cfIcon iconSet="3Symbols" iconId="2"/>
            </x14:iconSet>
          </x14:cfRule>
          <xm:sqref>D28:D42</xm:sqref>
        </x14:conditionalFormatting>
        <x14:conditionalFormatting xmlns:xm="http://schemas.microsoft.com/office/excel/2006/main">
          <x14:cfRule type="iconSet" priority="1" id="{05A66E2B-23A5-4AC3-BFE1-977F769F42E5}">
            <x14:iconSet showValue="0" custom="1">
              <x14:cfvo type="percent">
                <xm:f>0</xm:f>
              </x14:cfvo>
              <x14:cfvo type="percent">
                <xm:f>0</xm:f>
              </x14:cfvo>
              <x14:cfvo type="num">
                <xm:f>1</xm:f>
              </x14:cfvo>
              <x14:cfIcon iconSet="3Symbols" iconId="0"/>
              <x14:cfIcon iconSet="3Symbols" iconId="0"/>
              <x14:cfIcon iconSet="3Symbols" iconId="2"/>
            </x14:iconSet>
          </x14:cfRule>
          <xm:sqref>D46:D54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W145"/>
  <sheetViews>
    <sheetView showGridLines="0" showRowColHeaders="0" zoomScale="60" zoomScaleNormal="60" workbookViewId="0">
      <pane ySplit="7" topLeftCell="A8" activePane="bottomLeft" state="frozen"/>
      <selection pane="bottomLeft" activeCell="AP3" sqref="AP3:AV3"/>
    </sheetView>
  </sheetViews>
  <sheetFormatPr baseColWidth="10" defaultColWidth="11.5" defaultRowHeight="15"/>
  <cols>
    <col min="1" max="1" width="5.33203125" customWidth="1"/>
    <col min="2" max="2" width="8.6640625" customWidth="1"/>
    <col min="3" max="3" width="9" customWidth="1"/>
    <col min="4" max="41" width="5.6640625" customWidth="1"/>
    <col min="43" max="48" width="5.6640625" customWidth="1"/>
  </cols>
  <sheetData>
    <row r="1" spans="1:101" ht="16" thickBot="1"/>
    <row r="2" spans="1:101" ht="15" customHeight="1">
      <c r="D2" s="420" t="s">
        <v>248</v>
      </c>
      <c r="E2" s="421"/>
      <c r="F2" s="421"/>
      <c r="G2" s="421"/>
      <c r="H2" s="421"/>
      <c r="I2" s="421"/>
      <c r="J2" s="421"/>
      <c r="K2" s="422"/>
      <c r="L2" s="411" t="s">
        <v>38</v>
      </c>
      <c r="M2" s="412"/>
      <c r="N2" s="412"/>
      <c r="O2" s="412"/>
      <c r="P2" s="412"/>
      <c r="Q2" s="412"/>
      <c r="R2" s="412"/>
      <c r="S2" s="412"/>
      <c r="T2" s="412"/>
      <c r="U2" s="412"/>
      <c r="V2" s="412"/>
      <c r="W2" s="412"/>
      <c r="X2" s="412"/>
      <c r="Y2" s="412"/>
      <c r="Z2" s="412"/>
      <c r="AA2" s="412"/>
      <c r="AB2" s="412"/>
      <c r="AC2" s="412"/>
      <c r="AD2" s="412"/>
      <c r="AE2" s="412"/>
      <c r="AF2" s="412"/>
      <c r="AG2" s="412"/>
      <c r="AH2" s="412"/>
      <c r="AI2" s="412"/>
      <c r="AJ2" s="412"/>
      <c r="AK2" s="412"/>
      <c r="AL2" s="412"/>
      <c r="AM2" s="412"/>
      <c r="AN2" s="412"/>
      <c r="AO2" s="413"/>
      <c r="AP2" s="292" t="s">
        <v>249</v>
      </c>
      <c r="AQ2" s="408"/>
      <c r="AR2" s="408"/>
      <c r="AS2" s="408"/>
      <c r="AT2" s="408"/>
      <c r="AU2" s="408"/>
      <c r="AV2" s="266"/>
    </row>
    <row r="3" spans="1:101">
      <c r="D3" s="423"/>
      <c r="E3" s="424"/>
      <c r="F3" s="424"/>
      <c r="G3" s="424"/>
      <c r="H3" s="424"/>
      <c r="I3" s="424"/>
      <c r="J3" s="424"/>
      <c r="K3" s="425"/>
      <c r="L3" s="414"/>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5"/>
      <c r="AL3" s="415"/>
      <c r="AM3" s="415"/>
      <c r="AN3" s="415"/>
      <c r="AO3" s="416"/>
      <c r="AP3" s="293" t="s">
        <v>3</v>
      </c>
      <c r="AQ3" s="409"/>
      <c r="AR3" s="409"/>
      <c r="AS3" s="409"/>
      <c r="AT3" s="409"/>
      <c r="AU3" s="409"/>
      <c r="AV3" s="268"/>
    </row>
    <row r="4" spans="1:101">
      <c r="D4" s="423"/>
      <c r="E4" s="424"/>
      <c r="F4" s="424"/>
      <c r="G4" s="424"/>
      <c r="H4" s="424"/>
      <c r="I4" s="424"/>
      <c r="J4" s="424"/>
      <c r="K4" s="425"/>
      <c r="L4" s="414"/>
      <c r="M4" s="415"/>
      <c r="N4" s="415"/>
      <c r="O4" s="415"/>
      <c r="P4" s="415"/>
      <c r="Q4" s="415"/>
      <c r="R4" s="415"/>
      <c r="S4" s="415"/>
      <c r="T4" s="415"/>
      <c r="U4" s="415"/>
      <c r="V4" s="415"/>
      <c r="W4" s="415"/>
      <c r="X4" s="415"/>
      <c r="Y4" s="415"/>
      <c r="Z4" s="415"/>
      <c r="AA4" s="415"/>
      <c r="AB4" s="415"/>
      <c r="AC4" s="415"/>
      <c r="AD4" s="415"/>
      <c r="AE4" s="415"/>
      <c r="AF4" s="415"/>
      <c r="AG4" s="415"/>
      <c r="AH4" s="415"/>
      <c r="AI4" s="415"/>
      <c r="AJ4" s="415"/>
      <c r="AK4" s="415"/>
      <c r="AL4" s="415"/>
      <c r="AM4" s="415"/>
      <c r="AN4" s="415"/>
      <c r="AO4" s="416"/>
      <c r="AP4" s="293" t="s">
        <v>4</v>
      </c>
      <c r="AQ4" s="409" t="s">
        <v>250</v>
      </c>
      <c r="AR4" s="409"/>
      <c r="AS4" s="409"/>
      <c r="AT4" s="409"/>
      <c r="AU4" s="409"/>
      <c r="AV4" s="268"/>
    </row>
    <row r="5" spans="1:101" ht="16" thickBot="1">
      <c r="D5" s="426"/>
      <c r="E5" s="427"/>
      <c r="F5" s="427"/>
      <c r="G5" s="427"/>
      <c r="H5" s="427"/>
      <c r="I5" s="427"/>
      <c r="J5" s="427"/>
      <c r="K5" s="428"/>
      <c r="L5" s="417"/>
      <c r="M5" s="418"/>
      <c r="N5" s="418"/>
      <c r="O5" s="418"/>
      <c r="P5" s="418"/>
      <c r="Q5" s="418"/>
      <c r="R5" s="418"/>
      <c r="S5" s="418"/>
      <c r="T5" s="418"/>
      <c r="U5" s="418"/>
      <c r="V5" s="418"/>
      <c r="W5" s="418"/>
      <c r="X5" s="418"/>
      <c r="Y5" s="418"/>
      <c r="Z5" s="418"/>
      <c r="AA5" s="418"/>
      <c r="AB5" s="418"/>
      <c r="AC5" s="418"/>
      <c r="AD5" s="418"/>
      <c r="AE5" s="418"/>
      <c r="AF5" s="418"/>
      <c r="AG5" s="418"/>
      <c r="AH5" s="418"/>
      <c r="AI5" s="418"/>
      <c r="AJ5" s="418"/>
      <c r="AK5" s="418"/>
      <c r="AL5" s="418"/>
      <c r="AM5" s="418"/>
      <c r="AN5" s="418"/>
      <c r="AO5" s="419"/>
      <c r="AP5" s="294" t="s">
        <v>5</v>
      </c>
      <c r="AQ5" s="410" t="s">
        <v>5</v>
      </c>
      <c r="AR5" s="410"/>
      <c r="AS5" s="410"/>
      <c r="AT5" s="410"/>
      <c r="AU5" s="410"/>
      <c r="AV5" s="270"/>
    </row>
    <row r="7" spans="1:101" ht="18" customHeight="1">
      <c r="C7" s="68"/>
      <c r="D7" s="515" t="s">
        <v>251</v>
      </c>
      <c r="E7" s="515"/>
      <c r="F7" s="515"/>
      <c r="G7" s="515"/>
      <c r="H7" s="515"/>
      <c r="I7" s="515"/>
      <c r="J7" s="515"/>
      <c r="K7" s="515"/>
      <c r="L7" s="473" t="s">
        <v>56</v>
      </c>
      <c r="M7" s="473"/>
      <c r="N7" s="473"/>
      <c r="O7" s="473"/>
      <c r="P7" s="473"/>
      <c r="Q7" s="473"/>
      <c r="R7" s="473"/>
      <c r="S7" s="473"/>
      <c r="T7" s="473"/>
      <c r="U7" s="473"/>
      <c r="V7" s="473"/>
      <c r="W7" s="473"/>
      <c r="X7" s="473"/>
      <c r="Y7" s="473"/>
      <c r="Z7" s="473"/>
      <c r="AA7" s="473"/>
      <c r="AB7" s="473"/>
      <c r="AC7" s="473"/>
      <c r="AD7" s="473"/>
      <c r="AE7" s="473"/>
      <c r="AF7" s="473"/>
      <c r="AG7" s="473"/>
      <c r="AH7" s="473"/>
      <c r="AI7" s="473"/>
      <c r="AJ7" s="473"/>
      <c r="AK7" s="473"/>
      <c r="AL7" s="473"/>
      <c r="AM7" s="473"/>
      <c r="AN7" s="473"/>
      <c r="AO7" s="473"/>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row>
    <row r="8" spans="1:101" ht="18.75" customHeight="1">
      <c r="A8" s="396" t="s">
        <v>9</v>
      </c>
      <c r="B8" s="396"/>
      <c r="C8" s="397"/>
      <c r="D8" s="515"/>
      <c r="E8" s="515"/>
      <c r="F8" s="515"/>
      <c r="G8" s="515"/>
      <c r="H8" s="515"/>
      <c r="I8" s="515"/>
      <c r="J8" s="515"/>
      <c r="K8" s="515"/>
      <c r="L8" s="473"/>
      <c r="M8" s="473"/>
      <c r="N8" s="473"/>
      <c r="O8" s="473"/>
      <c r="P8" s="473"/>
      <c r="Q8" s="473"/>
      <c r="R8" s="473"/>
      <c r="S8" s="473"/>
      <c r="T8" s="473"/>
      <c r="U8" s="473"/>
      <c r="V8" s="473"/>
      <c r="W8" s="473"/>
      <c r="X8" s="473"/>
      <c r="Y8" s="473"/>
      <c r="Z8" s="473"/>
      <c r="AA8" s="473"/>
      <c r="AB8" s="473"/>
      <c r="AC8" s="473"/>
      <c r="AD8" s="473"/>
      <c r="AE8" s="473"/>
      <c r="AF8" s="473"/>
      <c r="AG8" s="473"/>
      <c r="AH8" s="473"/>
      <c r="AI8" s="473"/>
      <c r="AJ8" s="473"/>
      <c r="AK8" s="473"/>
      <c r="AL8" s="473"/>
      <c r="AM8" s="473"/>
      <c r="AN8" s="473"/>
      <c r="AO8" s="473"/>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row>
    <row r="9" spans="1:101" ht="15" customHeight="1">
      <c r="C9" s="68"/>
      <c r="D9" s="515"/>
      <c r="E9" s="515"/>
      <c r="F9" s="515"/>
      <c r="G9" s="515"/>
      <c r="H9" s="515"/>
      <c r="I9" s="515"/>
      <c r="J9" s="515"/>
      <c r="K9" s="515"/>
      <c r="L9" s="473"/>
      <c r="M9" s="473"/>
      <c r="N9" s="473"/>
      <c r="O9" s="473"/>
      <c r="P9" s="473"/>
      <c r="Q9" s="473"/>
      <c r="R9" s="473"/>
      <c r="S9" s="473"/>
      <c r="T9" s="473"/>
      <c r="U9" s="473"/>
      <c r="V9" s="473"/>
      <c r="W9" s="473"/>
      <c r="X9" s="473"/>
      <c r="Y9" s="473"/>
      <c r="Z9" s="473"/>
      <c r="AA9" s="473"/>
      <c r="AB9" s="473"/>
      <c r="AC9" s="473"/>
      <c r="AD9" s="473"/>
      <c r="AE9" s="473"/>
      <c r="AF9" s="473"/>
      <c r="AG9" s="473"/>
      <c r="AH9" s="473"/>
      <c r="AI9" s="473"/>
      <c r="AJ9" s="473"/>
      <c r="AK9" s="473"/>
      <c r="AL9" s="473"/>
      <c r="AM9" s="473"/>
      <c r="AN9" s="473"/>
      <c r="AO9" s="473"/>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row>
    <row r="10" spans="1:101" ht="16" thickBot="1">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row>
    <row r="11" spans="1:101" ht="15" customHeight="1">
      <c r="C11" s="68"/>
      <c r="D11" s="429" t="s">
        <v>252</v>
      </c>
      <c r="E11" s="429"/>
      <c r="F11" s="430"/>
      <c r="G11" s="467" t="s">
        <v>253</v>
      </c>
      <c r="H11" s="468"/>
      <c r="I11" s="468"/>
      <c r="J11" s="468"/>
      <c r="K11" s="468"/>
      <c r="L11" s="475"/>
      <c r="M11" s="476"/>
      <c r="N11" s="476" t="str">
        <f>IF(AND('Mapa final'!$K$15="Muy Alta",'Mapa final'!$O$15="Leve"),CONCATENATE("R",'Mapa final'!$A$16),"")</f>
        <v/>
      </c>
      <c r="O11" s="476"/>
      <c r="P11" s="476" t="str">
        <f>IF(AND('Mapa final'!$K$17="Muy Alta",'Mapa final'!$O$17="Leve"),CONCATENATE("R",'Mapa final'!$A$17),"")</f>
        <v/>
      </c>
      <c r="Q11" s="489"/>
      <c r="R11" s="475"/>
      <c r="S11" s="476"/>
      <c r="T11" s="476" t="str">
        <f>IF(AND('Mapa final'!$P$15="Muy Alta",'Mapa final'!$S$15="Menor"),CONCATENATE("R",'Mapa final'!$A$16),"")</f>
        <v/>
      </c>
      <c r="U11" s="476"/>
      <c r="V11" s="476" t="str">
        <f>IF(AND('Mapa final'!$P$17="Muy Alta",'Mapa final'!$S$17="Menor"),CONCATENATE("R",'Mapa final'!$A$17),"")</f>
        <v/>
      </c>
      <c r="W11" s="476"/>
      <c r="X11" s="475"/>
      <c r="Y11" s="476"/>
      <c r="Z11" s="476" t="str">
        <f>IF(AND('Mapa final'!P$15="Muy Alta",'Mapa final'!$S$15="Moderado"),CONCATENATE("R",'Mapa final'!$A$16),"")</f>
        <v/>
      </c>
      <c r="AA11" s="476"/>
      <c r="AB11" s="476" t="str">
        <f>IF(AND('Mapa final'!$P$17="Muy Alta",'Mapa final'!$S$17="Moderado"),CONCATENATE("R",'Mapa final'!$A$17),"")</f>
        <v/>
      </c>
      <c r="AC11" s="476"/>
      <c r="AD11" s="475"/>
      <c r="AE11" s="476"/>
      <c r="AF11" s="476" t="str">
        <f>IF(AND('Mapa final'!$P$15="Muy Alta",'Mapa final'!$S$15="Mayor"),CONCATENATE("R",'Mapa final'!$A$16),"")</f>
        <v/>
      </c>
      <c r="AG11" s="476"/>
      <c r="AH11" s="476" t="str">
        <f>IF(AND('Mapa final'!$P$17="Muy Alta",'Mapa final'!$S$17="Mayor"),CONCATENATE("R",'Mapa final'!$A$17),"")</f>
        <v/>
      </c>
      <c r="AI11" s="476"/>
      <c r="AJ11" s="493"/>
      <c r="AK11" s="494"/>
      <c r="AL11" s="494" t="str">
        <f>IF(AND('Mapa final'!$P$15="Muy Alta",'Mapa final'!$S$15="Catastrófico"),CONCATENATE("R",'Mapa final'!$A$16),"")</f>
        <v/>
      </c>
      <c r="AM11" s="494"/>
      <c r="AN11" s="494" t="str">
        <f>IF(AND('Mapa final'!$P$17="Muy Alta",'Mapa final'!$S$17="Catastrófico"),CONCATENATE("R",'Mapa final'!$A$17),"")</f>
        <v/>
      </c>
      <c r="AO11" s="495"/>
      <c r="AQ11" s="431" t="s">
        <v>254</v>
      </c>
      <c r="AR11" s="432"/>
      <c r="AS11" s="432"/>
      <c r="AT11" s="432"/>
      <c r="AU11" s="432"/>
      <c r="AV11" s="433"/>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row>
    <row r="12" spans="1:101" ht="15" customHeight="1">
      <c r="C12" s="68"/>
      <c r="D12" s="429"/>
      <c r="E12" s="429"/>
      <c r="F12" s="430"/>
      <c r="G12" s="469"/>
      <c r="H12" s="470"/>
      <c r="I12" s="470"/>
      <c r="J12" s="470"/>
      <c r="K12" s="470"/>
      <c r="L12" s="477"/>
      <c r="M12" s="474"/>
      <c r="N12" s="474"/>
      <c r="O12" s="474"/>
      <c r="P12" s="474"/>
      <c r="Q12" s="482"/>
      <c r="R12" s="477"/>
      <c r="S12" s="474"/>
      <c r="T12" s="474"/>
      <c r="U12" s="474"/>
      <c r="V12" s="474"/>
      <c r="W12" s="474"/>
      <c r="X12" s="477"/>
      <c r="Y12" s="474"/>
      <c r="Z12" s="474"/>
      <c r="AA12" s="474"/>
      <c r="AB12" s="474"/>
      <c r="AC12" s="474"/>
      <c r="AD12" s="477"/>
      <c r="AE12" s="474"/>
      <c r="AF12" s="474"/>
      <c r="AG12" s="474"/>
      <c r="AH12" s="474"/>
      <c r="AI12" s="474"/>
      <c r="AJ12" s="490"/>
      <c r="AK12" s="491"/>
      <c r="AL12" s="491"/>
      <c r="AM12" s="491"/>
      <c r="AN12" s="491"/>
      <c r="AO12" s="492"/>
      <c r="AP12" s="68"/>
      <c r="AQ12" s="434"/>
      <c r="AR12" s="435"/>
      <c r="AS12" s="435"/>
      <c r="AT12" s="435"/>
      <c r="AU12" s="435"/>
      <c r="AV12" s="436"/>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row>
    <row r="13" spans="1:101" ht="15" customHeight="1">
      <c r="C13" s="68"/>
      <c r="D13" s="429"/>
      <c r="E13" s="429"/>
      <c r="F13" s="430"/>
      <c r="G13" s="469"/>
      <c r="H13" s="470"/>
      <c r="I13" s="470"/>
      <c r="J13" s="470"/>
      <c r="K13" s="470"/>
      <c r="L13" s="477" t="e">
        <f>IF(AND('Mapa final'!#REF!="Muy Alta",'Mapa final'!#REF!="Leve"),CONCATENATE("R",'Mapa final'!#REF!),"")</f>
        <v>#REF!</v>
      </c>
      <c r="M13" s="474"/>
      <c r="N13" s="474" t="e">
        <f>IF(AND('Mapa final'!#REF!="Muy Alta",'Mapa final'!#REF!="Leve"),CONCATENATE("R",'Mapa final'!#REF!),"")</f>
        <v>#REF!</v>
      </c>
      <c r="O13" s="474"/>
      <c r="P13" s="474" t="e">
        <f>IF(AND('Mapa final'!#REF!="Muy Alta",'Mapa final'!#REF!="Leve"),CONCATENATE("R",'Mapa final'!#REF!),"")</f>
        <v>#REF!</v>
      </c>
      <c r="Q13" s="482"/>
      <c r="R13" s="477" t="e">
        <f>IF(AND('Mapa final'!#REF!="Muy Alta",'Mapa final'!#REF!="Menor"),CONCATENATE("R",'Mapa final'!#REF!),"")</f>
        <v>#REF!</v>
      </c>
      <c r="S13" s="474"/>
      <c r="T13" s="474" t="e">
        <f>IF(AND('Mapa final'!#REF!="Muy Alta",'Mapa final'!#REF!="Menor"),CONCATENATE("R",'Mapa final'!#REF!),"")</f>
        <v>#REF!</v>
      </c>
      <c r="U13" s="474"/>
      <c r="V13" s="474" t="e">
        <f>IF(AND('Mapa final'!#REF!="Muy Alta",'Mapa final'!#REF!="Menor"),CONCATENATE("R",'Mapa final'!#REF!),"")</f>
        <v>#REF!</v>
      </c>
      <c r="W13" s="474"/>
      <c r="X13" s="477" t="e">
        <f>IF(AND('Mapa final'!#REF!="Muy Alta",'Mapa final'!#REF!="Moderado"),CONCATENATE("R",'Mapa final'!#REF!),"")</f>
        <v>#REF!</v>
      </c>
      <c r="Y13" s="474"/>
      <c r="Z13" s="474" t="e">
        <f>IF(AND('Mapa final'!#REF!="Muy Alta",'Mapa final'!#REF!="Moderado"),CONCATENATE("R",'Mapa final'!#REF!),"")</f>
        <v>#REF!</v>
      </c>
      <c r="AA13" s="474"/>
      <c r="AB13" s="474" t="e">
        <f>IF(AND('Mapa final'!#REF!="Muy Alta",'Mapa final'!#REF!="Moderado"),CONCATENATE("R",'Mapa final'!#REF!),"")</f>
        <v>#REF!</v>
      </c>
      <c r="AC13" s="474"/>
      <c r="AD13" s="477" t="e">
        <f>IF(AND('Mapa final'!#REF!="Muy Alta",'Mapa final'!#REF!="Mayor"),CONCATENATE("R",'Mapa final'!#REF!),"")</f>
        <v>#REF!</v>
      </c>
      <c r="AE13" s="474"/>
      <c r="AF13" s="474" t="e">
        <f>IF(AND('Mapa final'!#REF!="Muy Alta",'Mapa final'!#REF!="Mayor"),CONCATENATE("R",'Mapa final'!#REF!),"")</f>
        <v>#REF!</v>
      </c>
      <c r="AG13" s="474"/>
      <c r="AH13" s="474" t="e">
        <f>IF(AND('Mapa final'!#REF!="Muy Alta",'Mapa final'!#REF!="Mayor"),CONCATENATE("R",'Mapa final'!#REF!),"")</f>
        <v>#REF!</v>
      </c>
      <c r="AI13" s="474"/>
      <c r="AJ13" s="490" t="e">
        <f>IF(AND('Mapa final'!#REF!="Muy Alta",'Mapa final'!#REF!="Catastrófico"),CONCATENATE("R",'Mapa final'!#REF!),"")</f>
        <v>#REF!</v>
      </c>
      <c r="AK13" s="491"/>
      <c r="AL13" s="491" t="e">
        <f>IF(AND('Mapa final'!#REF!="Muy Alta",'Mapa final'!#REF!="Catastrófico"),CONCATENATE("R",'Mapa final'!#REF!),"")</f>
        <v>#REF!</v>
      </c>
      <c r="AM13" s="491"/>
      <c r="AN13" s="491" t="e">
        <f>IF(AND('Mapa final'!#REF!="Muy Alta",'Mapa final'!#REF!="Catastrófico"),CONCATENATE("R",'Mapa final'!#REF!),"")</f>
        <v>#REF!</v>
      </c>
      <c r="AO13" s="492"/>
      <c r="AP13" s="68"/>
      <c r="AQ13" s="434"/>
      <c r="AR13" s="435"/>
      <c r="AS13" s="435"/>
      <c r="AT13" s="435"/>
      <c r="AU13" s="435"/>
      <c r="AV13" s="436"/>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row>
    <row r="14" spans="1:101" ht="15" customHeight="1">
      <c r="C14" s="68"/>
      <c r="D14" s="429"/>
      <c r="E14" s="429"/>
      <c r="F14" s="430"/>
      <c r="G14" s="469"/>
      <c r="H14" s="470"/>
      <c r="I14" s="470"/>
      <c r="J14" s="470"/>
      <c r="K14" s="470"/>
      <c r="L14" s="477"/>
      <c r="M14" s="474"/>
      <c r="N14" s="474"/>
      <c r="O14" s="474"/>
      <c r="P14" s="474"/>
      <c r="Q14" s="482"/>
      <c r="R14" s="477"/>
      <c r="S14" s="474"/>
      <c r="T14" s="474"/>
      <c r="U14" s="474"/>
      <c r="V14" s="474"/>
      <c r="W14" s="474"/>
      <c r="X14" s="477"/>
      <c r="Y14" s="474"/>
      <c r="Z14" s="474"/>
      <c r="AA14" s="474"/>
      <c r="AB14" s="474"/>
      <c r="AC14" s="474"/>
      <c r="AD14" s="477"/>
      <c r="AE14" s="474"/>
      <c r="AF14" s="474"/>
      <c r="AG14" s="474"/>
      <c r="AH14" s="474"/>
      <c r="AI14" s="474"/>
      <c r="AJ14" s="490"/>
      <c r="AK14" s="491"/>
      <c r="AL14" s="491"/>
      <c r="AM14" s="491"/>
      <c r="AN14" s="491"/>
      <c r="AO14" s="492"/>
      <c r="AP14" s="68"/>
      <c r="AQ14" s="434"/>
      <c r="AR14" s="435"/>
      <c r="AS14" s="435"/>
      <c r="AT14" s="435"/>
      <c r="AU14" s="435"/>
      <c r="AV14" s="436"/>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row>
    <row r="15" spans="1:101" ht="15" customHeight="1">
      <c r="C15" s="68"/>
      <c r="D15" s="429"/>
      <c r="E15" s="429"/>
      <c r="F15" s="430"/>
      <c r="G15" s="469"/>
      <c r="H15" s="470"/>
      <c r="I15" s="470"/>
      <c r="J15" s="470"/>
      <c r="K15" s="470"/>
      <c r="L15" s="477" t="e">
        <f>IF(AND('Mapa final'!#REF!="Muy Alta",'Mapa final'!#REF!="Leve"),CONCATENATE("R",'Mapa final'!#REF!),"")</f>
        <v>#REF!</v>
      </c>
      <c r="M15" s="474"/>
      <c r="N15" s="474" t="e">
        <f>IF(AND('Mapa final'!#REF!="Muy Alta",'Mapa final'!#REF!="Leve"),CONCATENATE("R",'Mapa final'!#REF!),"")</f>
        <v>#REF!</v>
      </c>
      <c r="O15" s="474"/>
      <c r="P15" s="474" t="str">
        <f>IF(AND('Mapa final'!$K$21="Muy Alta",'Mapa final'!$O$21="Leve"),CONCATENATE("R",'Mapa final'!$A$21),"")</f>
        <v/>
      </c>
      <c r="Q15" s="482"/>
      <c r="R15" s="477" t="e">
        <f>IF(AND('Mapa final'!#REF!="Muy Alta",'Mapa final'!#REF!="Menor"),CONCATENATE("R",'Mapa final'!#REF!),"")</f>
        <v>#REF!</v>
      </c>
      <c r="S15" s="474"/>
      <c r="T15" s="474" t="e">
        <f>IF(AND('Mapa final'!#REF!="Muy Alta",'Mapa final'!#REF!="Menor"),CONCATENATE("R",'Mapa final'!#REF!),"")</f>
        <v>#REF!</v>
      </c>
      <c r="U15" s="474"/>
      <c r="V15" s="474" t="str">
        <f>IF(AND('Mapa final'!$P$21="Muy Alta",'Mapa final'!$S$21="Menor"),CONCATENATE("R",'Mapa final'!$A$21),"")</f>
        <v/>
      </c>
      <c r="W15" s="474"/>
      <c r="X15" s="477" t="e">
        <f>IF(AND('Mapa final'!#REF!="Muy Alta",'Mapa final'!#REF!="Moderado"),CONCATENATE("R",'Mapa final'!#REF!),"")</f>
        <v>#REF!</v>
      </c>
      <c r="Y15" s="474"/>
      <c r="Z15" s="474" t="e">
        <f>IF(AND('Mapa final'!#REF!="Muy Alta",'Mapa final'!#REF!="Moderado"),CONCATENATE("R",'Mapa final'!#REF!),"")</f>
        <v>#REF!</v>
      </c>
      <c r="AA15" s="474"/>
      <c r="AB15" s="474" t="str">
        <f>IF(AND('Mapa final'!$P$21="Muy Alta",'Mapa final'!$S$21="Moderado"),CONCATENATE("R",'Mapa final'!$A$21),"")</f>
        <v/>
      </c>
      <c r="AC15" s="474"/>
      <c r="AD15" s="477" t="e">
        <f>IF(AND('Mapa final'!#REF!="Muy Alta",'Mapa final'!#REF!="Mayor"),CONCATENATE("R",'Mapa final'!#REF!),"")</f>
        <v>#REF!</v>
      </c>
      <c r="AE15" s="474"/>
      <c r="AF15" s="474" t="e">
        <f>IF(AND('Mapa final'!#REF!="Muy Alta",'Mapa final'!#REF!="Mayor"),CONCATENATE("R",'Mapa final'!#REF!),"")</f>
        <v>#REF!</v>
      </c>
      <c r="AG15" s="474"/>
      <c r="AH15" s="474" t="str">
        <f>IF(AND('Mapa final'!$P$21="Muy Alta",'Mapa final'!$S$21="Mayor"),CONCATENATE("R",'Mapa final'!$A$21),"")</f>
        <v/>
      </c>
      <c r="AI15" s="474"/>
      <c r="AJ15" s="490" t="e">
        <f>IF(AND('Mapa final'!#REF!="Muy Alta",'Mapa final'!#REF!="Catastrófico"),CONCATENATE("R",'Mapa final'!#REF!),"")</f>
        <v>#REF!</v>
      </c>
      <c r="AK15" s="491"/>
      <c r="AL15" s="491" t="e">
        <f>IF(AND('Mapa final'!#REF!="Muy Alta",'Mapa final'!#REF!="Catastrófico"),CONCATENATE("R",'Mapa final'!#REF!),"")</f>
        <v>#REF!</v>
      </c>
      <c r="AM15" s="491"/>
      <c r="AN15" s="491" t="str">
        <f>IF(AND('Mapa final'!$P$21="Muy Alta",'Mapa final'!$S$21="Catastrófico"),CONCATENATE("R",'Mapa final'!$A$21),"")</f>
        <v/>
      </c>
      <c r="AO15" s="492"/>
      <c r="AP15" s="68"/>
      <c r="AQ15" s="434"/>
      <c r="AR15" s="435"/>
      <c r="AS15" s="435"/>
      <c r="AT15" s="435"/>
      <c r="AU15" s="435"/>
      <c r="AV15" s="436"/>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row>
    <row r="16" spans="1:101" ht="15" customHeight="1">
      <c r="C16" s="68"/>
      <c r="D16" s="429"/>
      <c r="E16" s="429"/>
      <c r="F16" s="430"/>
      <c r="G16" s="469"/>
      <c r="H16" s="470"/>
      <c r="I16" s="470"/>
      <c r="J16" s="470"/>
      <c r="K16" s="470"/>
      <c r="L16" s="477"/>
      <c r="M16" s="474"/>
      <c r="N16" s="474"/>
      <c r="O16" s="474"/>
      <c r="P16" s="474"/>
      <c r="Q16" s="482"/>
      <c r="R16" s="477"/>
      <c r="S16" s="474"/>
      <c r="T16" s="474"/>
      <c r="U16" s="474"/>
      <c r="V16" s="474"/>
      <c r="W16" s="474"/>
      <c r="X16" s="477"/>
      <c r="Y16" s="474"/>
      <c r="Z16" s="474"/>
      <c r="AA16" s="474"/>
      <c r="AB16" s="474"/>
      <c r="AC16" s="474"/>
      <c r="AD16" s="477"/>
      <c r="AE16" s="474"/>
      <c r="AF16" s="474"/>
      <c r="AG16" s="474"/>
      <c r="AH16" s="474"/>
      <c r="AI16" s="474"/>
      <c r="AJ16" s="490"/>
      <c r="AK16" s="491"/>
      <c r="AL16" s="491"/>
      <c r="AM16" s="491"/>
      <c r="AN16" s="491"/>
      <c r="AO16" s="492"/>
      <c r="AP16" s="68"/>
      <c r="AQ16" s="434"/>
      <c r="AR16" s="435"/>
      <c r="AS16" s="435"/>
      <c r="AT16" s="435"/>
      <c r="AU16" s="435"/>
      <c r="AV16" s="436"/>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row>
    <row r="17" spans="3:82" ht="15" customHeight="1">
      <c r="C17" s="68"/>
      <c r="D17" s="429"/>
      <c r="E17" s="429"/>
      <c r="F17" s="430"/>
      <c r="G17" s="469"/>
      <c r="H17" s="470"/>
      <c r="I17" s="470"/>
      <c r="J17" s="470"/>
      <c r="K17" s="470"/>
      <c r="L17" s="477" t="str">
        <f>IF(AND('Mapa final'!$P$22="Muy Alta",'Mapa final'!$S$22="Leve"),CONCATENATE("R",'Mapa final'!$A$22),"")</f>
        <v/>
      </c>
      <c r="M17" s="474"/>
      <c r="N17" s="474" t="str">
        <f>IF(AND('Mapa final'!$K$23="Muy Alta",'Mapa final'!$O$23="Leve"),CONCATENATE("R",'Mapa final'!$A$23),"")</f>
        <v/>
      </c>
      <c r="O17" s="474"/>
      <c r="P17" s="474" t="str">
        <f>IF(AND('Mapa final'!$K$24="Muy Alta",'Mapa final'!$O$24="Leve"),CONCATENATE("R",'Mapa final'!$A$24),"")</f>
        <v/>
      </c>
      <c r="Q17" s="482"/>
      <c r="R17" s="477" t="str">
        <f>IF(AND('Mapa final'!$P$22="Muy Alta",'Mapa final'!$S$22="Menor"),CONCATENATE("R",'Mapa final'!$A$22),"")</f>
        <v/>
      </c>
      <c r="S17" s="474"/>
      <c r="T17" s="474" t="str">
        <f>IF(AND('Mapa final'!$P$23="Muy Alta",'Mapa final'!$S$23="Menor"),CONCATENATE("R",'Mapa final'!$A$23),"")</f>
        <v/>
      </c>
      <c r="U17" s="474"/>
      <c r="V17" s="474" t="str">
        <f>IF(AND('Mapa final'!$P$24="Muy Alta",'Mapa final'!$S$24="Menor"),CONCATENATE("R",'Mapa final'!$A$24),"")</f>
        <v/>
      </c>
      <c r="W17" s="474"/>
      <c r="X17" s="477" t="str">
        <f>IF(AND('Mapa final'!$P$22="Muy Alta",'Mapa final'!$S$22="Moderado"),CONCATENATE("R",'Mapa final'!$A$22),"")</f>
        <v/>
      </c>
      <c r="Y17" s="474"/>
      <c r="Z17" s="474" t="str">
        <f>IF(AND('Mapa final'!$P$23="Muy Alta",'Mapa final'!$S$23="Moderado"),CONCATENATE("R",'Mapa final'!$A$23),"")</f>
        <v/>
      </c>
      <c r="AA17" s="474"/>
      <c r="AB17" s="474" t="str">
        <f>IF(AND('Mapa final'!$P$24="Muy Alta",'Mapa final'!$S$24="Moderado"),CONCATENATE("R",'Mapa final'!$A$24),"")</f>
        <v/>
      </c>
      <c r="AC17" s="474"/>
      <c r="AD17" s="477" t="str">
        <f>IF(AND('Mapa final'!$P$22="Muy Alta",'Mapa final'!$S$22="Mayor"),CONCATENATE("R",'Mapa final'!$A$22),"")</f>
        <v/>
      </c>
      <c r="AE17" s="474"/>
      <c r="AF17" s="474" t="str">
        <f>IF(AND('Mapa final'!$P$23="Muy Alta",'Mapa final'!$S$23="Mayor"),CONCATENATE("R",'Mapa final'!$A$23),"")</f>
        <v/>
      </c>
      <c r="AG17" s="474"/>
      <c r="AH17" s="474" t="str">
        <f>IF(AND('Mapa final'!$P$24="Muy Alta",'Mapa final'!$S$24="Mayor"),CONCATENATE("R",'Mapa final'!$A$24),"")</f>
        <v/>
      </c>
      <c r="AI17" s="474"/>
      <c r="AJ17" s="490" t="str">
        <f>IF(AND('Mapa final'!$P$22="Muy Alta",'Mapa final'!$S$22="Catastrófico"),CONCATENATE("R",'Mapa final'!$A$22),"")</f>
        <v/>
      </c>
      <c r="AK17" s="491"/>
      <c r="AL17" s="491" t="str">
        <f>IF(AND('Mapa final'!$P$23="Muy Alta",'Mapa final'!$S$23="Catastrófico"),CONCATENATE("R",'Mapa final'!$A$23),"")</f>
        <v/>
      </c>
      <c r="AM17" s="491"/>
      <c r="AN17" s="491" t="str">
        <f>IF(AND('Mapa final'!$P$24="Muy Alta",'Mapa final'!$S$24="Catastrófico"),CONCATENATE("R",'Mapa final'!$A$24),"")</f>
        <v/>
      </c>
      <c r="AO17" s="492"/>
      <c r="AP17" s="68"/>
      <c r="AQ17" s="434"/>
      <c r="AR17" s="435"/>
      <c r="AS17" s="435"/>
      <c r="AT17" s="435"/>
      <c r="AU17" s="435"/>
      <c r="AV17" s="436"/>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row>
    <row r="18" spans="3:82" ht="15.75" customHeight="1" thickBot="1">
      <c r="C18" s="68"/>
      <c r="D18" s="429"/>
      <c r="E18" s="429"/>
      <c r="F18" s="430"/>
      <c r="G18" s="471"/>
      <c r="H18" s="472"/>
      <c r="I18" s="472"/>
      <c r="J18" s="472"/>
      <c r="K18" s="472"/>
      <c r="L18" s="488"/>
      <c r="M18" s="483"/>
      <c r="N18" s="483"/>
      <c r="O18" s="483"/>
      <c r="P18" s="483"/>
      <c r="Q18" s="484"/>
      <c r="R18" s="488"/>
      <c r="S18" s="483"/>
      <c r="T18" s="483"/>
      <c r="U18" s="483"/>
      <c r="V18" s="483"/>
      <c r="W18" s="483"/>
      <c r="X18" s="477"/>
      <c r="Y18" s="474"/>
      <c r="Z18" s="474"/>
      <c r="AA18" s="474"/>
      <c r="AB18" s="474"/>
      <c r="AC18" s="474"/>
      <c r="AD18" s="477"/>
      <c r="AE18" s="474"/>
      <c r="AF18" s="474"/>
      <c r="AG18" s="474"/>
      <c r="AH18" s="474"/>
      <c r="AI18" s="474"/>
      <c r="AJ18" s="490"/>
      <c r="AK18" s="491"/>
      <c r="AL18" s="491"/>
      <c r="AM18" s="491"/>
      <c r="AN18" s="491"/>
      <c r="AO18" s="492"/>
      <c r="AP18" s="68"/>
      <c r="AQ18" s="437"/>
      <c r="AR18" s="438"/>
      <c r="AS18" s="438"/>
      <c r="AT18" s="438"/>
      <c r="AU18" s="438"/>
      <c r="AV18" s="439"/>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row>
    <row r="19" spans="3:82" ht="15" customHeight="1">
      <c r="C19" s="68"/>
      <c r="D19" s="429"/>
      <c r="E19" s="429"/>
      <c r="F19" s="430"/>
      <c r="G19" s="467" t="s">
        <v>255</v>
      </c>
      <c r="H19" s="468"/>
      <c r="I19" s="468"/>
      <c r="J19" s="468"/>
      <c r="K19" s="468"/>
      <c r="L19" s="503"/>
      <c r="M19" s="504"/>
      <c r="N19" s="504" t="str">
        <f>IF(AND('Mapa final'!$K$15="Alta",'Mapa final'!$O$15="Leve"),CONCATENATE("R",'Mapa final'!$A$16),"")</f>
        <v/>
      </c>
      <c r="O19" s="504"/>
      <c r="P19" s="504" t="str">
        <f>IF(AND('Mapa final'!$K$17="Alta",'Mapa final'!$O$17="Leve"),CONCATENATE("R",'Mapa final'!$A$17),"")</f>
        <v/>
      </c>
      <c r="Q19" s="505"/>
      <c r="R19" s="503"/>
      <c r="S19" s="504"/>
      <c r="T19" s="486" t="str">
        <f>IF(AND('Mapa final'!$P$15="Alta",'Mapa final'!$S$15="Menor"),CONCATENATE("R",'Mapa final'!$A$16),"")</f>
        <v/>
      </c>
      <c r="U19" s="486"/>
      <c r="V19" s="486" t="str">
        <f>IF(AND('Mapa final'!$P$17="Alta",'Mapa final'!$S$17="Menor"),CONCATENATE("R",'Mapa final'!$A$17),"")</f>
        <v/>
      </c>
      <c r="W19" s="486"/>
      <c r="X19" s="475"/>
      <c r="Y19" s="476"/>
      <c r="Z19" s="476" t="str">
        <f>IF(AND('Mapa final'!P$15="Alta",'Mapa final'!$S$15="Moderado"),CONCATENATE("R",'Mapa final'!$A$16),"")</f>
        <v/>
      </c>
      <c r="AA19" s="476"/>
      <c r="AB19" s="476" t="str">
        <f>IF(AND('Mapa final'!$P$17="Alta",'Mapa final'!$S$17="Moderado"),CONCATENATE("R",'Mapa final'!$A$17),"")</f>
        <v/>
      </c>
      <c r="AC19" s="476"/>
      <c r="AD19" s="475"/>
      <c r="AE19" s="476"/>
      <c r="AF19" s="476" t="str">
        <f>IF(AND('Mapa final'!$P$15="Alta",'Mapa final'!$S$15="Mayor"),CONCATENATE("R",'Mapa final'!$A$16),"")</f>
        <v/>
      </c>
      <c r="AG19" s="476"/>
      <c r="AH19" s="476" t="str">
        <f>IF(AND('Mapa final'!$P$17="Alta",'Mapa final'!$S$17="Mayor"),CONCATENATE("R",'Mapa final'!$A$17),"")</f>
        <v/>
      </c>
      <c r="AI19" s="476"/>
      <c r="AJ19" s="493"/>
      <c r="AK19" s="494"/>
      <c r="AL19" s="494" t="str">
        <f>IF(AND('Mapa final'!$P$15="Alta",'Mapa final'!$S$15="Catastrófico"),CONCATENATE("R",'Mapa final'!$A$16),"")</f>
        <v/>
      </c>
      <c r="AM19" s="494"/>
      <c r="AN19" s="494" t="str">
        <f>IF(AND('Mapa final'!$P$17="Alta",'Mapa final'!$S$17="Catastrófico"),CONCATENATE("R",'Mapa final'!$A$17),"")</f>
        <v/>
      </c>
      <c r="AO19" s="495"/>
      <c r="AP19" s="68"/>
      <c r="AQ19" s="440" t="s">
        <v>256</v>
      </c>
      <c r="AR19" s="441"/>
      <c r="AS19" s="441"/>
      <c r="AT19" s="441"/>
      <c r="AU19" s="441"/>
      <c r="AV19" s="442"/>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row>
    <row r="20" spans="3:82" ht="15" customHeight="1">
      <c r="C20" s="68"/>
      <c r="D20" s="429"/>
      <c r="E20" s="429"/>
      <c r="F20" s="430"/>
      <c r="G20" s="469"/>
      <c r="H20" s="470"/>
      <c r="I20" s="470"/>
      <c r="J20" s="470"/>
      <c r="K20" s="470"/>
      <c r="L20" s="485"/>
      <c r="M20" s="486"/>
      <c r="N20" s="486"/>
      <c r="O20" s="486"/>
      <c r="P20" s="486"/>
      <c r="Q20" s="499"/>
      <c r="R20" s="485"/>
      <c r="S20" s="486"/>
      <c r="T20" s="486"/>
      <c r="U20" s="486"/>
      <c r="V20" s="486"/>
      <c r="W20" s="486"/>
      <c r="X20" s="477"/>
      <c r="Y20" s="474"/>
      <c r="Z20" s="474"/>
      <c r="AA20" s="474"/>
      <c r="AB20" s="474"/>
      <c r="AC20" s="474"/>
      <c r="AD20" s="477"/>
      <c r="AE20" s="474"/>
      <c r="AF20" s="474"/>
      <c r="AG20" s="474"/>
      <c r="AH20" s="474"/>
      <c r="AI20" s="474"/>
      <c r="AJ20" s="490"/>
      <c r="AK20" s="491"/>
      <c r="AL20" s="491"/>
      <c r="AM20" s="491"/>
      <c r="AN20" s="491"/>
      <c r="AO20" s="492"/>
      <c r="AP20" s="68"/>
      <c r="AQ20" s="443"/>
      <c r="AR20" s="444"/>
      <c r="AS20" s="444"/>
      <c r="AT20" s="444"/>
      <c r="AU20" s="444"/>
      <c r="AV20" s="445"/>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row>
    <row r="21" spans="3:82" ht="15" customHeight="1">
      <c r="C21" s="68"/>
      <c r="D21" s="429"/>
      <c r="E21" s="429"/>
      <c r="F21" s="430"/>
      <c r="G21" s="469"/>
      <c r="H21" s="470"/>
      <c r="I21" s="470"/>
      <c r="J21" s="470"/>
      <c r="K21" s="470"/>
      <c r="L21" s="485" t="e">
        <f>IF(AND('Mapa final'!#REF!="Alta",'Mapa final'!#REF!="Leve"),CONCATENATE("R",'Mapa final'!#REF!),"")</f>
        <v>#REF!</v>
      </c>
      <c r="M21" s="486"/>
      <c r="N21" s="486" t="e">
        <f>IF(AND('Mapa final'!#REF!="Alta",'Mapa final'!#REF!="Leve"),CONCATENATE("R",'Mapa final'!#REF!),"")</f>
        <v>#REF!</v>
      </c>
      <c r="O21" s="486"/>
      <c r="P21" s="486" t="e">
        <f>IF(AND('Mapa final'!#REF!="Alta",'Mapa final'!#REF!="Leve"),CONCATENATE("R",'Mapa final'!#REF!),"")</f>
        <v>#REF!</v>
      </c>
      <c r="Q21" s="499"/>
      <c r="R21" s="485" t="e">
        <f>IF(AND('Mapa final'!#REF!="Alta",'Mapa final'!#REF!="Menor"),CONCATENATE("R",'Mapa final'!#REF!),"")</f>
        <v>#REF!</v>
      </c>
      <c r="S21" s="486"/>
      <c r="T21" s="486" t="e">
        <f>IF(AND('Mapa final'!#REF!="Alta",'Mapa final'!#REF!="Menor"),CONCATENATE("R",'Mapa final'!#REF!),"")</f>
        <v>#REF!</v>
      </c>
      <c r="U21" s="486"/>
      <c r="V21" s="486" t="e">
        <f>IF(AND('Mapa final'!#REF!="Alta",'Mapa final'!#REF!="Menor"),CONCATENATE("R",'Mapa final'!#REF!),"")</f>
        <v>#REF!</v>
      </c>
      <c r="W21" s="486"/>
      <c r="X21" s="477" t="e">
        <f>IF(AND('Mapa final'!#REF!="Alta",'Mapa final'!#REF!="Moderado"),CONCATENATE("R",'Mapa final'!#REF!),"")</f>
        <v>#REF!</v>
      </c>
      <c r="Y21" s="474"/>
      <c r="Z21" s="474" t="e">
        <f>IF(AND('Mapa final'!#REF!="Alta",'Mapa final'!#REF!="Moderado"),CONCATENATE("R",'Mapa final'!#REF!),"")</f>
        <v>#REF!</v>
      </c>
      <c r="AA21" s="474"/>
      <c r="AB21" s="474" t="e">
        <f>IF(AND('Mapa final'!#REF!="Alta",'Mapa final'!#REF!="Moderado"),CONCATENATE("R",'Mapa final'!#REF!),"")</f>
        <v>#REF!</v>
      </c>
      <c r="AC21" s="474"/>
      <c r="AD21" s="477" t="e">
        <f>IF(AND('Mapa final'!#REF!="Alta",'Mapa final'!#REF!="Mayor"),CONCATENATE("R",'Mapa final'!#REF!),"")</f>
        <v>#REF!</v>
      </c>
      <c r="AE21" s="474"/>
      <c r="AF21" s="474" t="e">
        <f>IF(AND('Mapa final'!#REF!="Alta",'Mapa final'!#REF!="Mayor"),CONCATENATE("R",'Mapa final'!#REF!),"")</f>
        <v>#REF!</v>
      </c>
      <c r="AG21" s="474"/>
      <c r="AH21" s="474" t="e">
        <f>IF(AND('Mapa final'!#REF!="Alta",'Mapa final'!#REF!="Mayor"),CONCATENATE("R",'Mapa final'!#REF!),"")</f>
        <v>#REF!</v>
      </c>
      <c r="AI21" s="474"/>
      <c r="AJ21" s="490" t="e">
        <f>IF(AND('Mapa final'!#REF!="Alta",'Mapa final'!#REF!="Catastrófico"),CONCATENATE("R",'Mapa final'!#REF!),"")</f>
        <v>#REF!</v>
      </c>
      <c r="AK21" s="491"/>
      <c r="AL21" s="491" t="e">
        <f>IF(AND('Mapa final'!#REF!="Alta",'Mapa final'!#REF!="Catastrófico"),CONCATENATE("R",'Mapa final'!#REF!),"")</f>
        <v>#REF!</v>
      </c>
      <c r="AM21" s="491"/>
      <c r="AN21" s="491" t="e">
        <f>IF(AND('Mapa final'!#REF!="Alta",'Mapa final'!#REF!="Catastrófico"),CONCATENATE("R",'Mapa final'!#REF!),"")</f>
        <v>#REF!</v>
      </c>
      <c r="AO21" s="492"/>
      <c r="AP21" s="68"/>
      <c r="AQ21" s="443"/>
      <c r="AR21" s="444"/>
      <c r="AS21" s="444"/>
      <c r="AT21" s="444"/>
      <c r="AU21" s="444"/>
      <c r="AV21" s="445"/>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row>
    <row r="22" spans="3:82" ht="15" customHeight="1">
      <c r="C22" s="68"/>
      <c r="D22" s="429"/>
      <c r="E22" s="429"/>
      <c r="F22" s="430"/>
      <c r="G22" s="469"/>
      <c r="H22" s="470"/>
      <c r="I22" s="470"/>
      <c r="J22" s="470"/>
      <c r="K22" s="470"/>
      <c r="L22" s="485"/>
      <c r="M22" s="486"/>
      <c r="N22" s="486"/>
      <c r="O22" s="486"/>
      <c r="P22" s="486"/>
      <c r="Q22" s="499"/>
      <c r="R22" s="485"/>
      <c r="S22" s="486"/>
      <c r="T22" s="486"/>
      <c r="U22" s="486"/>
      <c r="V22" s="486"/>
      <c r="W22" s="486"/>
      <c r="X22" s="477"/>
      <c r="Y22" s="474"/>
      <c r="Z22" s="474"/>
      <c r="AA22" s="474"/>
      <c r="AB22" s="474"/>
      <c r="AC22" s="474"/>
      <c r="AD22" s="477"/>
      <c r="AE22" s="474"/>
      <c r="AF22" s="474"/>
      <c r="AG22" s="474"/>
      <c r="AH22" s="474"/>
      <c r="AI22" s="474"/>
      <c r="AJ22" s="490"/>
      <c r="AK22" s="491"/>
      <c r="AL22" s="491"/>
      <c r="AM22" s="491"/>
      <c r="AN22" s="491"/>
      <c r="AO22" s="492"/>
      <c r="AP22" s="68"/>
      <c r="AQ22" s="443"/>
      <c r="AR22" s="444"/>
      <c r="AS22" s="444"/>
      <c r="AT22" s="444"/>
      <c r="AU22" s="444"/>
      <c r="AV22" s="445"/>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row>
    <row r="23" spans="3:82" ht="15" customHeight="1">
      <c r="C23" s="68"/>
      <c r="D23" s="429"/>
      <c r="E23" s="429"/>
      <c r="F23" s="430"/>
      <c r="G23" s="469"/>
      <c r="H23" s="470"/>
      <c r="I23" s="470"/>
      <c r="J23" s="470"/>
      <c r="K23" s="470"/>
      <c r="L23" s="485" t="e">
        <f>IF(AND('Mapa final'!#REF!="Alta",'Mapa final'!#REF!="Leve"),CONCATENATE("R",'Mapa final'!#REF!),"")</f>
        <v>#REF!</v>
      </c>
      <c r="M23" s="486"/>
      <c r="N23" s="486" t="e">
        <f>IF(AND('Mapa final'!#REF!="Alta",'Mapa final'!#REF!="Leve"),CONCATENATE("R",'Mapa final'!#REF!),"")</f>
        <v>#REF!</v>
      </c>
      <c r="O23" s="486"/>
      <c r="P23" s="486" t="str">
        <f>IF(AND('Mapa final'!$K$21="Alta",'Mapa final'!$O$21="Leve"),CONCATENATE("R",'Mapa final'!$A$21),"")</f>
        <v/>
      </c>
      <c r="Q23" s="499"/>
      <c r="R23" s="485" t="e">
        <f>IF(AND('Mapa final'!#REF!="Alta",'Mapa final'!#REF!="Menor"),CONCATENATE("R",'Mapa final'!#REF!),"")</f>
        <v>#REF!</v>
      </c>
      <c r="S23" s="486"/>
      <c r="T23" s="486" t="e">
        <f>IF(AND('Mapa final'!#REF!="Alta",'Mapa final'!#REF!="Menor"),CONCATENATE("R",'Mapa final'!#REF!),"")</f>
        <v>#REF!</v>
      </c>
      <c r="U23" s="486"/>
      <c r="V23" s="486" t="str">
        <f>IF(AND('Mapa final'!$P$21="Alta",'Mapa final'!$S$21="Menor"),CONCATENATE("R",'Mapa final'!$A$21),"")</f>
        <v/>
      </c>
      <c r="W23" s="486"/>
      <c r="X23" s="477" t="e">
        <f>IF(AND('Mapa final'!#REF!="Alta",'Mapa final'!#REF!="Moderado"),CONCATENATE("R",'Mapa final'!#REF!),"")</f>
        <v>#REF!</v>
      </c>
      <c r="Y23" s="474"/>
      <c r="Z23" s="474" t="e">
        <f>IF(AND('Mapa final'!#REF!="Alta",'Mapa final'!#REF!="Moderado"),CONCATENATE("R",'Mapa final'!#REF!),"")</f>
        <v>#REF!</v>
      </c>
      <c r="AA23" s="474"/>
      <c r="AB23" s="474" t="str">
        <f>IF(AND('Mapa final'!$P$21="Alta",'Mapa final'!$S$21="Moderado"),CONCATENATE("R",'Mapa final'!$A$21),"")</f>
        <v/>
      </c>
      <c r="AC23" s="474"/>
      <c r="AD23" s="477" t="e">
        <f>IF(AND('Mapa final'!#REF!="Alta",'Mapa final'!#REF!="Mayor"),CONCATENATE("R",'Mapa final'!#REF!),"")</f>
        <v>#REF!</v>
      </c>
      <c r="AE23" s="474"/>
      <c r="AF23" s="474" t="e">
        <f>IF(AND('Mapa final'!#REF!="Alta",'Mapa final'!#REF!="Mayor"),CONCATENATE("R",'Mapa final'!#REF!),"")</f>
        <v>#REF!</v>
      </c>
      <c r="AG23" s="474"/>
      <c r="AH23" s="474" t="str">
        <f>IF(AND('Mapa final'!$P$21="Alta",'Mapa final'!$S$21="Mayor"),CONCATENATE("R",'Mapa final'!$A$21),"")</f>
        <v/>
      </c>
      <c r="AI23" s="474"/>
      <c r="AJ23" s="490" t="e">
        <f>IF(AND('Mapa final'!#REF!="Alta",'Mapa final'!#REF!="Catastrófico"),CONCATENATE("R",'Mapa final'!#REF!),"")</f>
        <v>#REF!</v>
      </c>
      <c r="AK23" s="491"/>
      <c r="AL23" s="491" t="e">
        <f>IF(AND('Mapa final'!#REF!="Alta",'Mapa final'!#REF!="Catastrófico"),CONCATENATE("R",'Mapa final'!#REF!),"")</f>
        <v>#REF!</v>
      </c>
      <c r="AM23" s="491"/>
      <c r="AN23" s="491" t="str">
        <f>IF(AND('Mapa final'!$P$21="Alta",'Mapa final'!$S$21="Catastrófico"),CONCATENATE("R",'Mapa final'!$A$21),"")</f>
        <v/>
      </c>
      <c r="AO23" s="492"/>
      <c r="AP23" s="68"/>
      <c r="AQ23" s="443"/>
      <c r="AR23" s="444"/>
      <c r="AS23" s="444"/>
      <c r="AT23" s="444"/>
      <c r="AU23" s="444"/>
      <c r="AV23" s="445"/>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row>
    <row r="24" spans="3:82" ht="15" customHeight="1">
      <c r="C24" s="68"/>
      <c r="D24" s="429"/>
      <c r="E24" s="429"/>
      <c r="F24" s="430"/>
      <c r="G24" s="469"/>
      <c r="H24" s="470"/>
      <c r="I24" s="470"/>
      <c r="J24" s="470"/>
      <c r="K24" s="470"/>
      <c r="L24" s="485"/>
      <c r="M24" s="486"/>
      <c r="N24" s="486"/>
      <c r="O24" s="486"/>
      <c r="P24" s="486"/>
      <c r="Q24" s="499"/>
      <c r="R24" s="485"/>
      <c r="S24" s="486"/>
      <c r="T24" s="486"/>
      <c r="U24" s="486"/>
      <c r="V24" s="486"/>
      <c r="W24" s="486"/>
      <c r="X24" s="477"/>
      <c r="Y24" s="474"/>
      <c r="Z24" s="474"/>
      <c r="AA24" s="474"/>
      <c r="AB24" s="474"/>
      <c r="AC24" s="474"/>
      <c r="AD24" s="477"/>
      <c r="AE24" s="474"/>
      <c r="AF24" s="474"/>
      <c r="AG24" s="474"/>
      <c r="AH24" s="474"/>
      <c r="AI24" s="474"/>
      <c r="AJ24" s="490"/>
      <c r="AK24" s="491"/>
      <c r="AL24" s="491"/>
      <c r="AM24" s="491"/>
      <c r="AN24" s="491"/>
      <c r="AO24" s="492"/>
      <c r="AP24" s="68"/>
      <c r="AQ24" s="443"/>
      <c r="AR24" s="444"/>
      <c r="AS24" s="444"/>
      <c r="AT24" s="444"/>
      <c r="AU24" s="444"/>
      <c r="AV24" s="445"/>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row>
    <row r="25" spans="3:82" ht="15" customHeight="1">
      <c r="C25" s="68"/>
      <c r="D25" s="429"/>
      <c r="E25" s="429"/>
      <c r="F25" s="430"/>
      <c r="G25" s="469"/>
      <c r="H25" s="470"/>
      <c r="I25" s="470"/>
      <c r="J25" s="470"/>
      <c r="K25" s="470"/>
      <c r="L25" s="485" t="str">
        <f>IF(AND('Mapa final'!$P$22="Alta",'Mapa final'!$S$22="Leve"),CONCATENATE("R",'Mapa final'!$A$22),"")</f>
        <v/>
      </c>
      <c r="M25" s="486"/>
      <c r="N25" s="486" t="str">
        <f>IF(AND('Mapa final'!$K$23="Alta",'Mapa final'!$O$23="Leve"),CONCATENATE("R",'Mapa final'!$A$23),"")</f>
        <v/>
      </c>
      <c r="O25" s="486"/>
      <c r="P25" s="486" t="str">
        <f>IF(AND('Mapa final'!$K$24="Alta",'Mapa final'!$O$24="Leve"),CONCATENATE("R",'Mapa final'!$A$24),"")</f>
        <v/>
      </c>
      <c r="Q25" s="499"/>
      <c r="R25" s="485" t="str">
        <f>IF(AND('Mapa final'!$P$22="Alta",'Mapa final'!$S$22="Menor"),CONCATENATE("R",'Mapa final'!$A$22),"")</f>
        <v/>
      </c>
      <c r="S25" s="486"/>
      <c r="T25" s="486" t="str">
        <f>IF(AND('Mapa final'!$P$23="Alta",'Mapa final'!$S$23="Menor"),CONCATENATE("R",'Mapa final'!$A$23),"")</f>
        <v/>
      </c>
      <c r="U25" s="486"/>
      <c r="V25" s="486" t="str">
        <f>IF(AND('Mapa final'!$P$24="Alta",'Mapa final'!$S$24="Menor"),CONCATENATE("R",'Mapa final'!$A$24),"")</f>
        <v/>
      </c>
      <c r="W25" s="486"/>
      <c r="X25" s="477" t="str">
        <f>IF(AND('Mapa final'!$P$22="Alta",'Mapa final'!$S$22="Moderado"),CONCATENATE("R",'Mapa final'!$A$22),"")</f>
        <v/>
      </c>
      <c r="Y25" s="474"/>
      <c r="Z25" s="474" t="str">
        <f>IF(AND('Mapa final'!$P$23="Alta",'Mapa final'!$S$23="Moderado"),CONCATENATE("R",'Mapa final'!$A$23),"")</f>
        <v/>
      </c>
      <c r="AA25" s="474"/>
      <c r="AB25" s="474" t="str">
        <f>IF(AND('Mapa final'!$P$24="Alta",'Mapa final'!$S$24="Moderado"),CONCATENATE("R",'Mapa final'!$A$24),"")</f>
        <v/>
      </c>
      <c r="AC25" s="474"/>
      <c r="AD25" s="477" t="str">
        <f>IF(AND('Mapa final'!$P$22="Alta",'Mapa final'!$S$22="Mayor"),CONCATENATE("R",'Mapa final'!$A$22),"")</f>
        <v/>
      </c>
      <c r="AE25" s="474"/>
      <c r="AF25" s="474" t="str">
        <f>IF(AND('Mapa final'!$P$23="Alta",'Mapa final'!$S$23="Mayor"),CONCATENATE("R",'Mapa final'!$A$23),"")</f>
        <v/>
      </c>
      <c r="AG25" s="474"/>
      <c r="AH25" s="474" t="str">
        <f>IF(AND('Mapa final'!$P$24="Alta",'Mapa final'!$S$24="Mayor"),CONCATENATE("R",'Mapa final'!$A$24),"")</f>
        <v/>
      </c>
      <c r="AI25" s="474"/>
      <c r="AJ25" s="490" t="str">
        <f>IF(AND('Mapa final'!$P$22="Alta",'Mapa final'!$S$22="Catastrófico"),CONCATENATE("R",'Mapa final'!$A$22),"")</f>
        <v/>
      </c>
      <c r="AK25" s="491"/>
      <c r="AL25" s="491" t="str">
        <f>IF(AND('Mapa final'!$P$23="Alta",'Mapa final'!$S$23="Catastrófico"),CONCATENATE("R",'Mapa final'!$A$23),"")</f>
        <v/>
      </c>
      <c r="AM25" s="491"/>
      <c r="AN25" s="491" t="str">
        <f>IF(AND('Mapa final'!$P$24="Alta",'Mapa final'!$S$24="Catastrófico"),CONCATENATE("R",'Mapa final'!$A$24),"")</f>
        <v/>
      </c>
      <c r="AO25" s="492"/>
      <c r="AP25" s="68"/>
      <c r="AQ25" s="443"/>
      <c r="AR25" s="444"/>
      <c r="AS25" s="444"/>
      <c r="AT25" s="444"/>
      <c r="AU25" s="444"/>
      <c r="AV25" s="445"/>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row>
    <row r="26" spans="3:82" ht="15.75" customHeight="1" thickBot="1">
      <c r="C26" s="68"/>
      <c r="D26" s="429"/>
      <c r="E26" s="429"/>
      <c r="F26" s="430"/>
      <c r="G26" s="471"/>
      <c r="H26" s="472"/>
      <c r="I26" s="472"/>
      <c r="J26" s="472"/>
      <c r="K26" s="472"/>
      <c r="L26" s="500"/>
      <c r="M26" s="501"/>
      <c r="N26" s="501"/>
      <c r="O26" s="501"/>
      <c r="P26" s="501"/>
      <c r="Q26" s="502"/>
      <c r="R26" s="500"/>
      <c r="S26" s="501"/>
      <c r="T26" s="486"/>
      <c r="U26" s="486"/>
      <c r="V26" s="486"/>
      <c r="W26" s="486"/>
      <c r="X26" s="477"/>
      <c r="Y26" s="474"/>
      <c r="Z26" s="474"/>
      <c r="AA26" s="474"/>
      <c r="AB26" s="474"/>
      <c r="AC26" s="474"/>
      <c r="AD26" s="477"/>
      <c r="AE26" s="474"/>
      <c r="AF26" s="474"/>
      <c r="AG26" s="474"/>
      <c r="AH26" s="474"/>
      <c r="AI26" s="474"/>
      <c r="AJ26" s="490"/>
      <c r="AK26" s="491"/>
      <c r="AL26" s="491"/>
      <c r="AM26" s="491"/>
      <c r="AN26" s="491"/>
      <c r="AO26" s="492"/>
      <c r="AP26" s="68"/>
      <c r="AQ26" s="446"/>
      <c r="AR26" s="447"/>
      <c r="AS26" s="447"/>
      <c r="AT26" s="447"/>
      <c r="AU26" s="447"/>
      <c r="AV26" s="44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row>
    <row r="27" spans="3:82" ht="15" customHeight="1">
      <c r="C27" s="68"/>
      <c r="D27" s="429"/>
      <c r="E27" s="429"/>
      <c r="F27" s="430"/>
      <c r="G27" s="467" t="s">
        <v>257</v>
      </c>
      <c r="H27" s="468"/>
      <c r="I27" s="468"/>
      <c r="J27" s="468"/>
      <c r="K27" s="468"/>
      <c r="L27" s="503"/>
      <c r="M27" s="504"/>
      <c r="N27" s="504" t="str">
        <f>IF(AND('Mapa final'!$K$15="Media",'Mapa final'!$O$15="Leve"),CONCATENATE("R",'Mapa final'!$A$16),"")</f>
        <v/>
      </c>
      <c r="O27" s="504"/>
      <c r="P27" s="504" t="str">
        <f>IF(AND('Mapa final'!$K$17="Media",'Mapa final'!$O$17="Leve"),CONCATENATE("R",'Mapa final'!$A$17),"")</f>
        <v/>
      </c>
      <c r="Q27" s="505"/>
      <c r="R27" s="503"/>
      <c r="S27" s="504"/>
      <c r="T27" s="504" t="str">
        <f>IF(AND('Mapa final'!$P$15="Media",'Mapa final'!$S$15="Menor"),CONCATENATE("R",'Mapa final'!$A$16),"")</f>
        <v>R</v>
      </c>
      <c r="U27" s="504"/>
      <c r="V27" s="504" t="str">
        <f>IF(AND('Mapa final'!$P$17="Media",'Mapa final'!$S$17="Menor"),CONCATENATE("R",'Mapa final'!$A$17),"")</f>
        <v>R</v>
      </c>
      <c r="W27" s="504"/>
      <c r="X27" s="503"/>
      <c r="Y27" s="504"/>
      <c r="Z27" s="504" t="str">
        <f>IF(AND('Mapa final'!P$15="Media",'Mapa final'!$S$15="Moderado"),CONCATENATE("R",'Mapa final'!$A$16),"")</f>
        <v/>
      </c>
      <c r="AA27" s="504"/>
      <c r="AB27" s="504" t="str">
        <f>IF(AND('Mapa final'!$P$17="Media",'Mapa final'!$S$17="Moderado"),CONCATENATE("R",'Mapa final'!$A$17),"")</f>
        <v/>
      </c>
      <c r="AC27" s="504"/>
      <c r="AD27" s="475"/>
      <c r="AE27" s="476"/>
      <c r="AF27" s="476" t="str">
        <f>IF(AND('Mapa final'!$P$15="Media",'Mapa final'!$S$15="Mayor"),CONCATENATE("R",'Mapa final'!$A$16),"")</f>
        <v/>
      </c>
      <c r="AG27" s="476"/>
      <c r="AH27" s="476" t="str">
        <f>IF(AND('Mapa final'!$P$17="Media",'Mapa final'!$S$17="Mayor"),CONCATENATE("R",'Mapa final'!$A$17),"")</f>
        <v/>
      </c>
      <c r="AI27" s="476"/>
      <c r="AJ27" s="493"/>
      <c r="AK27" s="494"/>
      <c r="AL27" s="494" t="str">
        <f>IF(AND('Mapa final'!$P$15="Media",'Mapa final'!$S$15="Catastrófico"),CONCATENATE("R",'Mapa final'!$A$16),"")</f>
        <v/>
      </c>
      <c r="AM27" s="494"/>
      <c r="AN27" s="494" t="str">
        <f>IF(AND('Mapa final'!$P$17="Media",'Mapa final'!$S$17="Catastrófico"),CONCATENATE("R",'Mapa final'!$A$17),"")</f>
        <v/>
      </c>
      <c r="AO27" s="495"/>
      <c r="AP27" s="68"/>
      <c r="AQ27" s="449" t="s">
        <v>121</v>
      </c>
      <c r="AR27" s="450"/>
      <c r="AS27" s="450"/>
      <c r="AT27" s="450"/>
      <c r="AU27" s="450"/>
      <c r="AV27" s="451"/>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row>
    <row r="28" spans="3:82" ht="15" customHeight="1">
      <c r="C28" s="68"/>
      <c r="D28" s="429"/>
      <c r="E28" s="429"/>
      <c r="F28" s="430"/>
      <c r="G28" s="469"/>
      <c r="H28" s="470"/>
      <c r="I28" s="470"/>
      <c r="J28" s="470"/>
      <c r="K28" s="470"/>
      <c r="L28" s="485"/>
      <c r="M28" s="486"/>
      <c r="N28" s="486"/>
      <c r="O28" s="486"/>
      <c r="P28" s="486"/>
      <c r="Q28" s="499"/>
      <c r="R28" s="485"/>
      <c r="S28" s="486"/>
      <c r="T28" s="486"/>
      <c r="U28" s="486"/>
      <c r="V28" s="486"/>
      <c r="W28" s="486"/>
      <c r="X28" s="485"/>
      <c r="Y28" s="486"/>
      <c r="Z28" s="486"/>
      <c r="AA28" s="486"/>
      <c r="AB28" s="486"/>
      <c r="AC28" s="486"/>
      <c r="AD28" s="477"/>
      <c r="AE28" s="474"/>
      <c r="AF28" s="474"/>
      <c r="AG28" s="474"/>
      <c r="AH28" s="474"/>
      <c r="AI28" s="474"/>
      <c r="AJ28" s="490"/>
      <c r="AK28" s="491"/>
      <c r="AL28" s="491"/>
      <c r="AM28" s="491"/>
      <c r="AN28" s="491"/>
      <c r="AO28" s="492"/>
      <c r="AP28" s="68"/>
      <c r="AQ28" s="452"/>
      <c r="AR28" s="453"/>
      <c r="AS28" s="453"/>
      <c r="AT28" s="453"/>
      <c r="AU28" s="453"/>
      <c r="AV28" s="454"/>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row>
    <row r="29" spans="3:82" ht="15" customHeight="1">
      <c r="C29" s="68"/>
      <c r="D29" s="429"/>
      <c r="E29" s="429"/>
      <c r="F29" s="430"/>
      <c r="G29" s="469"/>
      <c r="H29" s="470"/>
      <c r="I29" s="470"/>
      <c r="J29" s="470"/>
      <c r="K29" s="470"/>
      <c r="L29" s="485" t="e">
        <f>IF(AND('Mapa final'!#REF!="Media",'Mapa final'!#REF!="Leve"),CONCATENATE("R",'Mapa final'!#REF!),"")</f>
        <v>#REF!</v>
      </c>
      <c r="M29" s="486"/>
      <c r="N29" s="486" t="e">
        <f>IF(AND('Mapa final'!#REF!="Media",'Mapa final'!#REF!="Leve"),CONCATENATE("R",'Mapa final'!#REF!),"")</f>
        <v>#REF!</v>
      </c>
      <c r="O29" s="486"/>
      <c r="P29" s="486" t="e">
        <f>IF(AND('Mapa final'!#REF!="Media",'Mapa final'!#REF!="Leve"),CONCATENATE("R",'Mapa final'!#REF!),"")</f>
        <v>#REF!</v>
      </c>
      <c r="Q29" s="499"/>
      <c r="R29" s="485" t="e">
        <f>IF(AND('Mapa final'!#REF!="Media",'Mapa final'!#REF!="Menor"),CONCATENATE("R",'Mapa final'!#REF!),"")</f>
        <v>#REF!</v>
      </c>
      <c r="S29" s="486"/>
      <c r="T29" s="486" t="e">
        <f>IF(AND('Mapa final'!#REF!="Media",'Mapa final'!#REF!="Menor"),CONCATENATE("R",'Mapa final'!#REF!),"")</f>
        <v>#REF!</v>
      </c>
      <c r="U29" s="486"/>
      <c r="V29" s="486" t="e">
        <f>IF(AND('Mapa final'!#REF!="Media",'Mapa final'!#REF!="Menor"),CONCATENATE("R",'Mapa final'!#REF!),"")</f>
        <v>#REF!</v>
      </c>
      <c r="W29" s="486"/>
      <c r="X29" s="485" t="e">
        <f>IF(AND('Mapa final'!#REF!="Media",'Mapa final'!#REF!="Moderado"),CONCATENATE("R",'Mapa final'!#REF!),"")</f>
        <v>#REF!</v>
      </c>
      <c r="Y29" s="486"/>
      <c r="Z29" s="486" t="e">
        <f>IF(AND('Mapa final'!#REF!="Media",'Mapa final'!#REF!="Moderado"),CONCATENATE("R",'Mapa final'!#REF!),"")</f>
        <v>#REF!</v>
      </c>
      <c r="AA29" s="486"/>
      <c r="AB29" s="486" t="e">
        <f>IF(AND('Mapa final'!#REF!="Media",'Mapa final'!#REF!="Moderado"),CONCATENATE("R",'Mapa final'!#REF!),"")</f>
        <v>#REF!</v>
      </c>
      <c r="AC29" s="486"/>
      <c r="AD29" s="477" t="e">
        <f>IF(AND('Mapa final'!#REF!="Media",'Mapa final'!#REF!="Mayor"),CONCATENATE("R",'Mapa final'!#REF!),"")</f>
        <v>#REF!</v>
      </c>
      <c r="AE29" s="474"/>
      <c r="AF29" s="474" t="e">
        <f>IF(AND('Mapa final'!#REF!="Media",'Mapa final'!#REF!="Mayor"),CONCATENATE("R",'Mapa final'!#REF!),"")</f>
        <v>#REF!</v>
      </c>
      <c r="AG29" s="474"/>
      <c r="AH29" s="474" t="e">
        <f>IF(AND('Mapa final'!#REF!="Media",'Mapa final'!#REF!="Mayor"),CONCATENATE("R",'Mapa final'!#REF!),"")</f>
        <v>#REF!</v>
      </c>
      <c r="AI29" s="474"/>
      <c r="AJ29" s="490" t="e">
        <f>IF(AND('Mapa final'!#REF!="Media",'Mapa final'!#REF!="Catastrófico"),CONCATENATE("R",'Mapa final'!#REF!),"")</f>
        <v>#REF!</v>
      </c>
      <c r="AK29" s="491"/>
      <c r="AL29" s="491" t="e">
        <f>IF(AND('Mapa final'!#REF!="Media",'Mapa final'!#REF!="Catastrófico"),CONCATENATE("R",'Mapa final'!#REF!),"")</f>
        <v>#REF!</v>
      </c>
      <c r="AM29" s="491"/>
      <c r="AN29" s="491" t="e">
        <f>IF(AND('Mapa final'!#REF!="Media",'Mapa final'!#REF!="Catastrófico"),CONCATENATE("R",'Mapa final'!#REF!),"")</f>
        <v>#REF!</v>
      </c>
      <c r="AO29" s="492"/>
      <c r="AP29" s="68"/>
      <c r="AQ29" s="452"/>
      <c r="AR29" s="453"/>
      <c r="AS29" s="453"/>
      <c r="AT29" s="453"/>
      <c r="AU29" s="453"/>
      <c r="AV29" s="454"/>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row>
    <row r="30" spans="3:82" ht="15" customHeight="1">
      <c r="C30" s="68"/>
      <c r="D30" s="429"/>
      <c r="E30" s="429"/>
      <c r="F30" s="430"/>
      <c r="G30" s="469"/>
      <c r="H30" s="470"/>
      <c r="I30" s="470"/>
      <c r="J30" s="470"/>
      <c r="K30" s="470"/>
      <c r="L30" s="485"/>
      <c r="M30" s="486"/>
      <c r="N30" s="486"/>
      <c r="O30" s="486"/>
      <c r="P30" s="486"/>
      <c r="Q30" s="499"/>
      <c r="R30" s="485"/>
      <c r="S30" s="486"/>
      <c r="T30" s="486"/>
      <c r="U30" s="486"/>
      <c r="V30" s="486"/>
      <c r="W30" s="486"/>
      <c r="X30" s="485"/>
      <c r="Y30" s="486"/>
      <c r="Z30" s="486"/>
      <c r="AA30" s="486"/>
      <c r="AB30" s="486"/>
      <c r="AC30" s="486"/>
      <c r="AD30" s="477"/>
      <c r="AE30" s="474"/>
      <c r="AF30" s="474"/>
      <c r="AG30" s="474"/>
      <c r="AH30" s="474"/>
      <c r="AI30" s="474"/>
      <c r="AJ30" s="490"/>
      <c r="AK30" s="491"/>
      <c r="AL30" s="491"/>
      <c r="AM30" s="491"/>
      <c r="AN30" s="491"/>
      <c r="AO30" s="492"/>
      <c r="AP30" s="68"/>
      <c r="AQ30" s="452"/>
      <c r="AR30" s="453"/>
      <c r="AS30" s="453"/>
      <c r="AT30" s="453"/>
      <c r="AU30" s="453"/>
      <c r="AV30" s="454"/>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row>
    <row r="31" spans="3:82" ht="15" customHeight="1">
      <c r="C31" s="68"/>
      <c r="D31" s="429"/>
      <c r="E31" s="429"/>
      <c r="F31" s="430"/>
      <c r="G31" s="469"/>
      <c r="H31" s="470"/>
      <c r="I31" s="470"/>
      <c r="J31" s="470"/>
      <c r="K31" s="470"/>
      <c r="L31" s="485" t="e">
        <f>IF(AND('Mapa final'!#REF!="Media",'Mapa final'!#REF!="Leve"),CONCATENATE("R",'Mapa final'!#REF!),"")</f>
        <v>#REF!</v>
      </c>
      <c r="M31" s="486"/>
      <c r="N31" s="486" t="e">
        <f>IF(AND('Mapa final'!#REF!="Media",'Mapa final'!#REF!="Leve"),CONCATENATE("R",'Mapa final'!#REF!),"")</f>
        <v>#REF!</v>
      </c>
      <c r="O31" s="486"/>
      <c r="P31" s="486" t="str">
        <f>IF(AND('Mapa final'!$K$21="Media",'Mapa final'!$O$21="Leve"),CONCATENATE("R",'Mapa final'!$A$21),"")</f>
        <v/>
      </c>
      <c r="Q31" s="499"/>
      <c r="R31" s="485" t="e">
        <f>IF(AND('Mapa final'!#REF!="Media",'Mapa final'!#REF!="Menor"),CONCATENATE("R",'Mapa final'!#REF!),"")</f>
        <v>#REF!</v>
      </c>
      <c r="S31" s="486"/>
      <c r="T31" s="486" t="e">
        <f>IF(AND('Mapa final'!#REF!="Media",'Mapa final'!#REF!="Menor"),CONCATENATE("R",'Mapa final'!#REF!),"")</f>
        <v>#REF!</v>
      </c>
      <c r="U31" s="486"/>
      <c r="V31" s="486" t="str">
        <f>IF(AND('Mapa final'!$P$21="Media",'Mapa final'!$S$21="Menor"),CONCATENATE("R",'Mapa final'!$A$21),"")</f>
        <v/>
      </c>
      <c r="W31" s="486"/>
      <c r="X31" s="485" t="e">
        <f>IF(AND('Mapa final'!#REF!="Media",'Mapa final'!#REF!="Moderado"),CONCATENATE("R",'Mapa final'!#REF!),"")</f>
        <v>#REF!</v>
      </c>
      <c r="Y31" s="486"/>
      <c r="Z31" s="486" t="e">
        <f>IF(AND('Mapa final'!#REF!="Media",'Mapa final'!#REF!="Moderado"),CONCATENATE("R",'Mapa final'!#REF!),"")</f>
        <v>#REF!</v>
      </c>
      <c r="AA31" s="486"/>
      <c r="AB31" s="486" t="str">
        <f>IF(AND('Mapa final'!$P$21="Media",'Mapa final'!$S$21="Moderado"),CONCATENATE("R",'Mapa final'!$A$21),"")</f>
        <v/>
      </c>
      <c r="AC31" s="486"/>
      <c r="AD31" s="477" t="e">
        <f>IF(AND('Mapa final'!#REF!="Media",'Mapa final'!#REF!="Mayor"),CONCATENATE("R",'Mapa final'!#REF!),"")</f>
        <v>#REF!</v>
      </c>
      <c r="AE31" s="474"/>
      <c r="AF31" s="474" t="e">
        <f>IF(AND('Mapa final'!#REF!="Media",'Mapa final'!#REF!="Mayor"),CONCATENATE("R",'Mapa final'!#REF!),"")</f>
        <v>#REF!</v>
      </c>
      <c r="AG31" s="474"/>
      <c r="AH31" s="474" t="str">
        <f>IF(AND('Mapa final'!$P$21="Media",'Mapa final'!$S$21="Mayor"),CONCATENATE("R",'Mapa final'!$A$21),"")</f>
        <v/>
      </c>
      <c r="AI31" s="474"/>
      <c r="AJ31" s="490" t="e">
        <f>IF(AND('Mapa final'!#REF!="Media",'Mapa final'!#REF!="Catastrófico"),CONCATENATE("R",'Mapa final'!#REF!),"")</f>
        <v>#REF!</v>
      </c>
      <c r="AK31" s="491"/>
      <c r="AL31" s="491" t="e">
        <f>IF(AND('Mapa final'!#REF!="Media",'Mapa final'!#REF!="Catastrófico"),CONCATENATE("R",'Mapa final'!#REF!),"")</f>
        <v>#REF!</v>
      </c>
      <c r="AM31" s="491"/>
      <c r="AN31" s="491" t="str">
        <f>IF(AND('Mapa final'!$P$21="Media",'Mapa final'!$S$21="Catastrófico"),CONCATENATE("R",'Mapa final'!$A$21),"")</f>
        <v/>
      </c>
      <c r="AO31" s="492"/>
      <c r="AP31" s="68"/>
      <c r="AQ31" s="452"/>
      <c r="AR31" s="453"/>
      <c r="AS31" s="453"/>
      <c r="AT31" s="453"/>
      <c r="AU31" s="453"/>
      <c r="AV31" s="454"/>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row>
    <row r="32" spans="3:82" ht="15" customHeight="1">
      <c r="C32" s="68"/>
      <c r="D32" s="429"/>
      <c r="E32" s="429"/>
      <c r="F32" s="430"/>
      <c r="G32" s="469"/>
      <c r="H32" s="470"/>
      <c r="I32" s="470"/>
      <c r="J32" s="470"/>
      <c r="K32" s="470"/>
      <c r="L32" s="485"/>
      <c r="M32" s="486"/>
      <c r="N32" s="486"/>
      <c r="O32" s="486"/>
      <c r="P32" s="486"/>
      <c r="Q32" s="499"/>
      <c r="R32" s="485"/>
      <c r="S32" s="486"/>
      <c r="T32" s="486"/>
      <c r="U32" s="486"/>
      <c r="V32" s="486"/>
      <c r="W32" s="486"/>
      <c r="X32" s="485"/>
      <c r="Y32" s="486"/>
      <c r="Z32" s="486"/>
      <c r="AA32" s="486"/>
      <c r="AB32" s="486"/>
      <c r="AC32" s="486"/>
      <c r="AD32" s="477"/>
      <c r="AE32" s="474"/>
      <c r="AF32" s="474"/>
      <c r="AG32" s="474"/>
      <c r="AH32" s="474"/>
      <c r="AI32" s="474"/>
      <c r="AJ32" s="490"/>
      <c r="AK32" s="491"/>
      <c r="AL32" s="491"/>
      <c r="AM32" s="491"/>
      <c r="AN32" s="491"/>
      <c r="AO32" s="492"/>
      <c r="AP32" s="68"/>
      <c r="AQ32" s="452"/>
      <c r="AR32" s="453"/>
      <c r="AS32" s="453"/>
      <c r="AT32" s="453"/>
      <c r="AU32" s="453"/>
      <c r="AV32" s="454"/>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row>
    <row r="33" spans="3:82" ht="15" customHeight="1">
      <c r="C33" s="68"/>
      <c r="D33" s="429"/>
      <c r="E33" s="429"/>
      <c r="F33" s="430"/>
      <c r="G33" s="469"/>
      <c r="H33" s="470"/>
      <c r="I33" s="470"/>
      <c r="J33" s="470"/>
      <c r="K33" s="470"/>
      <c r="L33" s="485" t="str">
        <f>IF(AND('Mapa final'!$P$22="Mediaa",'Mapa final'!$S$22="Leve"),CONCATENATE("R",'Mapa final'!$A$22),"")</f>
        <v/>
      </c>
      <c r="M33" s="486"/>
      <c r="N33" s="486" t="str">
        <f>IF(AND('Mapa final'!$K$23="Media",'Mapa final'!$O$23="Leve"),CONCATENATE("R",'Mapa final'!$A$23),"")</f>
        <v/>
      </c>
      <c r="O33" s="486"/>
      <c r="P33" s="486" t="str">
        <f>IF(AND('Mapa final'!$K$24="Media",'Mapa final'!$O$24="Leve"),CONCATENATE("R",'Mapa final'!$A$24),"")</f>
        <v/>
      </c>
      <c r="Q33" s="499"/>
      <c r="R33" s="485" t="str">
        <f>IF(AND('Mapa final'!$P$22="Media",'Mapa final'!$S$22="Menor"),CONCATENATE("R",'Mapa final'!$A$22),"")</f>
        <v/>
      </c>
      <c r="S33" s="486"/>
      <c r="T33" s="486" t="str">
        <f>IF(AND('Mapa final'!$P$23="Media",'Mapa final'!$S$23="Menor"),CONCATENATE("R",'Mapa final'!$A$23),"")</f>
        <v/>
      </c>
      <c r="U33" s="486"/>
      <c r="V33" s="486" t="str">
        <f>IF(AND('Mapa final'!$P$24="Media",'Mapa final'!$S$24="Menor"),CONCATENATE("R",'Mapa final'!$A$24),"")</f>
        <v/>
      </c>
      <c r="W33" s="486"/>
      <c r="X33" s="485" t="str">
        <f>IF(AND('Mapa final'!$P$22="Media",'Mapa final'!$S$22="Moderado"),CONCATENATE("R",'Mapa final'!$A$22),"")</f>
        <v/>
      </c>
      <c r="Y33" s="486"/>
      <c r="Z33" s="486" t="str">
        <f>IF(AND('Mapa final'!$P$23="Media",'Mapa final'!$S$23="Moderado"),CONCATENATE("R",'Mapa final'!$A$23),"")</f>
        <v/>
      </c>
      <c r="AA33" s="486"/>
      <c r="AB33" s="486" t="str">
        <f>IF(AND('Mapa final'!$P$24="Media",'Mapa final'!$S$24="Moderado"),CONCATENATE("R",'Mapa final'!$A$24),"")</f>
        <v/>
      </c>
      <c r="AC33" s="486"/>
      <c r="AD33" s="477" t="str">
        <f>IF(AND('Mapa final'!$P$22="Media",'Mapa final'!$S$22="Mayor"),CONCATENATE("R",'Mapa final'!$A$22),"")</f>
        <v/>
      </c>
      <c r="AE33" s="474"/>
      <c r="AF33" s="474" t="str">
        <f>IF(AND('Mapa final'!$P$23="Media",'Mapa final'!$S$23="Mayor"),CONCATENATE("R",'Mapa final'!$A$23),"")</f>
        <v/>
      </c>
      <c r="AG33" s="474"/>
      <c r="AH33" s="474" t="str">
        <f>IF(AND('Mapa final'!$P$24="Media",'Mapa final'!$S$24="Mayor"),CONCATENATE("R",'Mapa final'!$A$24),"")</f>
        <v/>
      </c>
      <c r="AI33" s="474"/>
      <c r="AJ33" s="490" t="str">
        <f>IF(AND('Mapa final'!$P$22="Media",'Mapa final'!$S$22="Catastrófico"),CONCATENATE("R",'Mapa final'!$A$22),"")</f>
        <v/>
      </c>
      <c r="AK33" s="491"/>
      <c r="AL33" s="491" t="str">
        <f>IF(AND('Mapa final'!$P$23="Media",'Mapa final'!$S$23="Catastrófico"),CONCATENATE("R",'Mapa final'!$A$23),"")</f>
        <v/>
      </c>
      <c r="AM33" s="491"/>
      <c r="AN33" s="491" t="str">
        <f>IF(AND('Mapa final'!$P$24="Media",'Mapa final'!$S$24="Catastrófico"),CONCATENATE("R",'Mapa final'!$A$24),"")</f>
        <v/>
      </c>
      <c r="AO33" s="492"/>
      <c r="AP33" s="68"/>
      <c r="AQ33" s="452"/>
      <c r="AR33" s="453"/>
      <c r="AS33" s="453"/>
      <c r="AT33" s="453"/>
      <c r="AU33" s="453"/>
      <c r="AV33" s="454"/>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row>
    <row r="34" spans="3:82" ht="15.75" customHeight="1" thickBot="1">
      <c r="C34" s="68"/>
      <c r="D34" s="429"/>
      <c r="E34" s="429"/>
      <c r="F34" s="430"/>
      <c r="G34" s="471"/>
      <c r="H34" s="472"/>
      <c r="I34" s="472"/>
      <c r="J34" s="472"/>
      <c r="K34" s="472"/>
      <c r="L34" s="500"/>
      <c r="M34" s="501"/>
      <c r="N34" s="501"/>
      <c r="O34" s="501"/>
      <c r="P34" s="501"/>
      <c r="Q34" s="502"/>
      <c r="R34" s="500"/>
      <c r="S34" s="501"/>
      <c r="T34" s="501"/>
      <c r="U34" s="501"/>
      <c r="V34" s="501"/>
      <c r="W34" s="501"/>
      <c r="X34" s="500"/>
      <c r="Y34" s="501"/>
      <c r="Z34" s="501"/>
      <c r="AA34" s="501"/>
      <c r="AB34" s="501"/>
      <c r="AC34" s="501"/>
      <c r="AD34" s="488"/>
      <c r="AE34" s="483"/>
      <c r="AF34" s="483"/>
      <c r="AG34" s="483"/>
      <c r="AH34" s="483"/>
      <c r="AI34" s="483"/>
      <c r="AJ34" s="490"/>
      <c r="AK34" s="491"/>
      <c r="AL34" s="491"/>
      <c r="AM34" s="491"/>
      <c r="AN34" s="491"/>
      <c r="AO34" s="492"/>
      <c r="AP34" s="68"/>
      <c r="AQ34" s="455"/>
      <c r="AR34" s="456"/>
      <c r="AS34" s="456"/>
      <c r="AT34" s="456"/>
      <c r="AU34" s="456"/>
      <c r="AV34" s="457"/>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row>
    <row r="35" spans="3:82" ht="15" customHeight="1">
      <c r="C35" s="68"/>
      <c r="D35" s="429"/>
      <c r="E35" s="429"/>
      <c r="F35" s="430"/>
      <c r="G35" s="467" t="s">
        <v>258</v>
      </c>
      <c r="H35" s="468"/>
      <c r="I35" s="468"/>
      <c r="J35" s="468"/>
      <c r="K35" s="468"/>
      <c r="L35" s="512"/>
      <c r="M35" s="513"/>
      <c r="N35" s="513" t="str">
        <f>IF(AND('Mapa final'!$K$15="Baja",'Mapa final'!$O$15="Leve"),CONCATENATE("R",'Mapa final'!$A$16),"")</f>
        <v/>
      </c>
      <c r="O35" s="513"/>
      <c r="P35" s="513" t="str">
        <f>IF(AND('Mapa final'!$K$17="Baja",'Mapa final'!$O$17="Leve"),CONCATENATE("R",'Mapa final'!$A$17),"")</f>
        <v/>
      </c>
      <c r="Q35" s="514"/>
      <c r="R35" s="503"/>
      <c r="S35" s="504"/>
      <c r="T35" s="486" t="str">
        <f>IF(AND('Mapa final'!$P$15="Baja",'Mapa final'!$S$15="Menor"),CONCATENATE("R",'Mapa final'!$A$16),"")</f>
        <v/>
      </c>
      <c r="U35" s="486"/>
      <c r="V35" s="486" t="str">
        <f>IF(AND('Mapa final'!$P$17="Baja",'Mapa final'!$S$17="Menor"),CONCATENATE("R",'Mapa final'!$A$17),"")</f>
        <v/>
      </c>
      <c r="W35" s="499"/>
      <c r="X35" s="485"/>
      <c r="Y35" s="486"/>
      <c r="Z35" s="486" t="str">
        <f>IF(AND('Mapa final'!P$15="Baja",'Mapa final'!$S$15="Moderado"),CONCATENATE("R",'Mapa final'!$A$16),"")</f>
        <v/>
      </c>
      <c r="AA35" s="486"/>
      <c r="AB35" s="486" t="str">
        <f>IF(AND('Mapa final'!$P$17="Baja",'Mapa final'!$S$17="Moderado"),CONCATENATE("R",'Mapa final'!$A$17),"")</f>
        <v/>
      </c>
      <c r="AC35" s="499"/>
      <c r="AD35" s="477"/>
      <c r="AE35" s="474"/>
      <c r="AF35" s="474" t="str">
        <f>IF(AND('Mapa final'!$P$15="Baja",'Mapa final'!$S$15="Mayor"),CONCATENATE("R",'Mapa final'!$A$16),"")</f>
        <v/>
      </c>
      <c r="AG35" s="474"/>
      <c r="AH35" s="474" t="str">
        <f>IF(AND('Mapa final'!$P$17="Baja",'Mapa final'!$S$17="Mayor"),CONCATENATE("R",'Mapa final'!$A$17),"")</f>
        <v/>
      </c>
      <c r="AI35" s="474"/>
      <c r="AJ35" s="493"/>
      <c r="AK35" s="494"/>
      <c r="AL35" s="494" t="str">
        <f>IF(AND('Mapa final'!$P$15="Baja",'Mapa final'!$S$15="Catastrófico"),CONCATENATE("R",'Mapa final'!$A$16),"")</f>
        <v/>
      </c>
      <c r="AM35" s="494"/>
      <c r="AN35" s="494" t="str">
        <f>IF(AND('Mapa final'!$P$17="Baja",'Mapa final'!$S$17="Catastrófico"),CONCATENATE("R",'Mapa final'!$A$17),"")</f>
        <v/>
      </c>
      <c r="AO35" s="495"/>
      <c r="AP35" s="68"/>
      <c r="AQ35" s="458" t="s">
        <v>259</v>
      </c>
      <c r="AR35" s="459"/>
      <c r="AS35" s="459"/>
      <c r="AT35" s="459"/>
      <c r="AU35" s="459"/>
      <c r="AV35" s="460"/>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row>
    <row r="36" spans="3:82" ht="15" customHeight="1">
      <c r="C36" s="68"/>
      <c r="D36" s="429"/>
      <c r="E36" s="429"/>
      <c r="F36" s="430"/>
      <c r="G36" s="469"/>
      <c r="H36" s="470"/>
      <c r="I36" s="470"/>
      <c r="J36" s="470"/>
      <c r="K36" s="470"/>
      <c r="L36" s="508"/>
      <c r="M36" s="506"/>
      <c r="N36" s="506"/>
      <c r="O36" s="506"/>
      <c r="P36" s="506"/>
      <c r="Q36" s="507"/>
      <c r="R36" s="485"/>
      <c r="S36" s="486"/>
      <c r="T36" s="486"/>
      <c r="U36" s="486"/>
      <c r="V36" s="486"/>
      <c r="W36" s="499"/>
      <c r="X36" s="485"/>
      <c r="Y36" s="486"/>
      <c r="Z36" s="486"/>
      <c r="AA36" s="486"/>
      <c r="AB36" s="486"/>
      <c r="AC36" s="499"/>
      <c r="AD36" s="477"/>
      <c r="AE36" s="474"/>
      <c r="AF36" s="474"/>
      <c r="AG36" s="474"/>
      <c r="AH36" s="474"/>
      <c r="AI36" s="474"/>
      <c r="AJ36" s="490"/>
      <c r="AK36" s="491"/>
      <c r="AL36" s="491"/>
      <c r="AM36" s="491"/>
      <c r="AN36" s="491"/>
      <c r="AO36" s="492"/>
      <c r="AP36" s="68"/>
      <c r="AQ36" s="461"/>
      <c r="AR36" s="462"/>
      <c r="AS36" s="462"/>
      <c r="AT36" s="462"/>
      <c r="AU36" s="462"/>
      <c r="AV36" s="463"/>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row>
    <row r="37" spans="3:82" ht="15" customHeight="1">
      <c r="C37" s="68"/>
      <c r="D37" s="429"/>
      <c r="E37" s="429"/>
      <c r="F37" s="430"/>
      <c r="G37" s="469"/>
      <c r="H37" s="470"/>
      <c r="I37" s="470"/>
      <c r="J37" s="470"/>
      <c r="K37" s="470"/>
      <c r="L37" s="508" t="e">
        <f>IF(AND('Mapa final'!#REF!="Baja",'Mapa final'!#REF!="Leve"),CONCATENATE("R",'Mapa final'!#REF!),"")</f>
        <v>#REF!</v>
      </c>
      <c r="M37" s="506"/>
      <c r="N37" s="506" t="e">
        <f>IF(AND('Mapa final'!#REF!="Baja",'Mapa final'!#REF!="Leve"),CONCATENATE("R",'Mapa final'!#REF!),"")</f>
        <v>#REF!</v>
      </c>
      <c r="O37" s="506"/>
      <c r="P37" s="506" t="e">
        <f>IF(AND('Mapa final'!#REF!="Baja",'Mapa final'!#REF!="Leve"),CONCATENATE("R",'Mapa final'!#REF!),"")</f>
        <v>#REF!</v>
      </c>
      <c r="Q37" s="507"/>
      <c r="R37" s="485" t="e">
        <f>IF(AND('Mapa final'!#REF!="Baja",'Mapa final'!#REF!="Menor"),CONCATENATE("R",'Mapa final'!#REF!),"")</f>
        <v>#REF!</v>
      </c>
      <c r="S37" s="486"/>
      <c r="T37" s="486" t="e">
        <f>IF(AND('Mapa final'!#REF!="Baja",'Mapa final'!#REF!="Menor"),CONCATENATE("R",'Mapa final'!#REF!),"")</f>
        <v>#REF!</v>
      </c>
      <c r="U37" s="486"/>
      <c r="V37" s="486" t="e">
        <f>IF(AND('Mapa final'!#REF!="Baja",'Mapa final'!#REF!="Menor"),CONCATENATE("R",'Mapa final'!#REF!),"")</f>
        <v>#REF!</v>
      </c>
      <c r="W37" s="499"/>
      <c r="X37" s="485" t="e">
        <f>IF(AND('Mapa final'!#REF!="Baja",'Mapa final'!#REF!="Moderado"),CONCATENATE("R",'Mapa final'!#REF!),"")</f>
        <v>#REF!</v>
      </c>
      <c r="Y37" s="486"/>
      <c r="Z37" s="486" t="e">
        <f>IF(AND('Mapa final'!#REF!="Baja",'Mapa final'!#REF!="Moderado"),CONCATENATE("R",'Mapa final'!#REF!),"")</f>
        <v>#REF!</v>
      </c>
      <c r="AA37" s="486"/>
      <c r="AB37" s="486" t="e">
        <f>IF(AND('Mapa final'!#REF!="Baja",'Mapa final'!#REF!="Moderado"),CONCATENATE("R",'Mapa final'!#REF!),"")</f>
        <v>#REF!</v>
      </c>
      <c r="AC37" s="499"/>
      <c r="AD37" s="477" t="e">
        <f>IF(AND('Mapa final'!#REF!="Baja",'Mapa final'!#REF!="Mayor"),CONCATENATE("R",'Mapa final'!#REF!),"")</f>
        <v>#REF!</v>
      </c>
      <c r="AE37" s="474"/>
      <c r="AF37" s="474" t="e">
        <f>IF(AND('Mapa final'!#REF!="Baja",'Mapa final'!#REF!="Mayor"),CONCATENATE("R",'Mapa final'!#REF!),"")</f>
        <v>#REF!</v>
      </c>
      <c r="AG37" s="474"/>
      <c r="AH37" s="474" t="e">
        <f>IF(AND('Mapa final'!#REF!="Baja",'Mapa final'!#REF!="Mayor"),CONCATENATE("R",'Mapa final'!#REF!),"")</f>
        <v>#REF!</v>
      </c>
      <c r="AI37" s="474"/>
      <c r="AJ37" s="490" t="e">
        <f>IF(AND('Mapa final'!#REF!="Baja",'Mapa final'!#REF!="Catastrófico"),CONCATENATE("R",'Mapa final'!#REF!),"")</f>
        <v>#REF!</v>
      </c>
      <c r="AK37" s="491"/>
      <c r="AL37" s="491" t="e">
        <f>IF(AND('Mapa final'!#REF!="Baja",'Mapa final'!#REF!="Catastrófico"),CONCATENATE("R",'Mapa final'!#REF!),"")</f>
        <v>#REF!</v>
      </c>
      <c r="AM37" s="491"/>
      <c r="AN37" s="491" t="e">
        <f>IF(AND('Mapa final'!#REF!="Baja",'Mapa final'!#REF!="Catastrófico"),CONCATENATE("R",'Mapa final'!#REF!),"")</f>
        <v>#REF!</v>
      </c>
      <c r="AO37" s="492"/>
      <c r="AP37" s="68"/>
      <c r="AQ37" s="461"/>
      <c r="AR37" s="462"/>
      <c r="AS37" s="462"/>
      <c r="AT37" s="462"/>
      <c r="AU37" s="462"/>
      <c r="AV37" s="463"/>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row>
    <row r="38" spans="3:82" ht="15" customHeight="1">
      <c r="C38" s="68"/>
      <c r="D38" s="429"/>
      <c r="E38" s="429"/>
      <c r="F38" s="430"/>
      <c r="G38" s="469"/>
      <c r="H38" s="470"/>
      <c r="I38" s="470"/>
      <c r="J38" s="470"/>
      <c r="K38" s="470"/>
      <c r="L38" s="508"/>
      <c r="M38" s="506"/>
      <c r="N38" s="506"/>
      <c r="O38" s="506"/>
      <c r="P38" s="506"/>
      <c r="Q38" s="507"/>
      <c r="R38" s="485"/>
      <c r="S38" s="486"/>
      <c r="T38" s="486"/>
      <c r="U38" s="486"/>
      <c r="V38" s="486"/>
      <c r="W38" s="499"/>
      <c r="X38" s="485"/>
      <c r="Y38" s="486"/>
      <c r="Z38" s="486"/>
      <c r="AA38" s="486"/>
      <c r="AB38" s="486"/>
      <c r="AC38" s="499"/>
      <c r="AD38" s="477"/>
      <c r="AE38" s="474"/>
      <c r="AF38" s="474"/>
      <c r="AG38" s="474"/>
      <c r="AH38" s="474"/>
      <c r="AI38" s="474"/>
      <c r="AJ38" s="490"/>
      <c r="AK38" s="491"/>
      <c r="AL38" s="491"/>
      <c r="AM38" s="491"/>
      <c r="AN38" s="491"/>
      <c r="AO38" s="492"/>
      <c r="AP38" s="68"/>
      <c r="AQ38" s="461"/>
      <c r="AR38" s="462"/>
      <c r="AS38" s="462"/>
      <c r="AT38" s="462"/>
      <c r="AU38" s="462"/>
      <c r="AV38" s="463"/>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row>
    <row r="39" spans="3:82" ht="15" customHeight="1">
      <c r="C39" s="68"/>
      <c r="D39" s="429"/>
      <c r="E39" s="429"/>
      <c r="F39" s="430"/>
      <c r="G39" s="469"/>
      <c r="H39" s="470"/>
      <c r="I39" s="470"/>
      <c r="J39" s="470"/>
      <c r="K39" s="470"/>
      <c r="L39" s="508" t="e">
        <f>IF(AND('Mapa final'!#REF!="Baja",'Mapa final'!#REF!="Leve"),CONCATENATE("R",'Mapa final'!#REF!),"")</f>
        <v>#REF!</v>
      </c>
      <c r="M39" s="506"/>
      <c r="N39" s="506" t="e">
        <f>IF(AND('Mapa final'!#REF!="Baja",'Mapa final'!#REF!="Leve"),CONCATENATE("R",'Mapa final'!#REF!),"")</f>
        <v>#REF!</v>
      </c>
      <c r="O39" s="506"/>
      <c r="P39" s="506" t="str">
        <f>IF(AND('Mapa final'!$K$21="Baja",'Mapa final'!$O$21="Leve"),CONCATENATE("R",'Mapa final'!$A$21),"")</f>
        <v/>
      </c>
      <c r="Q39" s="507"/>
      <c r="R39" s="485" t="e">
        <f>IF(AND('Mapa final'!#REF!="Baja",'Mapa final'!#REF!="Menor"),CONCATENATE("R",'Mapa final'!#REF!),"")</f>
        <v>#REF!</v>
      </c>
      <c r="S39" s="486"/>
      <c r="T39" s="486" t="e">
        <f>IF(AND('Mapa final'!#REF!="Baja",'Mapa final'!#REF!="Menor"),CONCATENATE("R",'Mapa final'!#REF!),"")</f>
        <v>#REF!</v>
      </c>
      <c r="U39" s="486"/>
      <c r="V39" s="486" t="str">
        <f>IF(AND('Mapa final'!$P$21="Baja",'Mapa final'!$S$21="Menor"),CONCATENATE("R",'Mapa final'!$A$21),"")</f>
        <v/>
      </c>
      <c r="W39" s="499"/>
      <c r="X39" s="485" t="e">
        <f>IF(AND('Mapa final'!#REF!="Baja",'Mapa final'!#REF!="Moderado"),CONCATENATE("R",'Mapa final'!#REF!),"")</f>
        <v>#REF!</v>
      </c>
      <c r="Y39" s="486"/>
      <c r="Z39" s="486" t="e">
        <f>IF(AND('Mapa final'!#REF!="Baja",'Mapa final'!#REF!="Moderado"),CONCATENATE("R",'Mapa final'!#REF!),"")</f>
        <v>#REF!</v>
      </c>
      <c r="AA39" s="486"/>
      <c r="AB39" s="486" t="str">
        <f>IF(AND('Mapa final'!$P$21="Baja",'Mapa final'!$S$21="Moderado"),CONCATENATE("R",'Mapa final'!$A$21),"")</f>
        <v/>
      </c>
      <c r="AC39" s="499"/>
      <c r="AD39" s="477" t="e">
        <f>IF(AND('Mapa final'!#REF!="Baja",'Mapa final'!#REF!="Mayor"),CONCATENATE("R",'Mapa final'!#REF!),"")</f>
        <v>#REF!</v>
      </c>
      <c r="AE39" s="474"/>
      <c r="AF39" s="474" t="e">
        <f>IF(AND('Mapa final'!#REF!="Baja",'Mapa final'!#REF!="Mayor"),CONCATENATE("R",'Mapa final'!#REF!),"")</f>
        <v>#REF!</v>
      </c>
      <c r="AG39" s="474"/>
      <c r="AH39" s="474" t="str">
        <f>IF(AND('Mapa final'!$P$21="Baja",'Mapa final'!$S$21="Mayor"),CONCATENATE("R",'Mapa final'!$A$21),"")</f>
        <v/>
      </c>
      <c r="AI39" s="474"/>
      <c r="AJ39" s="490" t="e">
        <f>IF(AND('Mapa final'!#REF!="Baja",'Mapa final'!#REF!="Catastrófico"),CONCATENATE("R",'Mapa final'!#REF!),"")</f>
        <v>#REF!</v>
      </c>
      <c r="AK39" s="491"/>
      <c r="AL39" s="491" t="e">
        <f>IF(AND('Mapa final'!#REF!="Baja",'Mapa final'!#REF!="Catastrófico"),CONCATENATE("R",'Mapa final'!#REF!),"")</f>
        <v>#REF!</v>
      </c>
      <c r="AM39" s="491"/>
      <c r="AN39" s="491" t="str">
        <f>IF(AND('Mapa final'!$P$21="Baja",'Mapa final'!$S$21="Catastrófico"),CONCATENATE("R",'Mapa final'!$A$21),"")</f>
        <v/>
      </c>
      <c r="AO39" s="492"/>
      <c r="AP39" s="68"/>
      <c r="AQ39" s="461"/>
      <c r="AR39" s="462"/>
      <c r="AS39" s="462"/>
      <c r="AT39" s="462"/>
      <c r="AU39" s="462"/>
      <c r="AV39" s="463"/>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row>
    <row r="40" spans="3:82" ht="15" customHeight="1">
      <c r="C40" s="68"/>
      <c r="D40" s="429"/>
      <c r="E40" s="429"/>
      <c r="F40" s="430"/>
      <c r="G40" s="469"/>
      <c r="H40" s="470"/>
      <c r="I40" s="470"/>
      <c r="J40" s="470"/>
      <c r="K40" s="470"/>
      <c r="L40" s="508"/>
      <c r="M40" s="506"/>
      <c r="N40" s="506"/>
      <c r="O40" s="506"/>
      <c r="P40" s="506"/>
      <c r="Q40" s="507"/>
      <c r="R40" s="485"/>
      <c r="S40" s="486"/>
      <c r="T40" s="486"/>
      <c r="U40" s="486"/>
      <c r="V40" s="486"/>
      <c r="W40" s="499"/>
      <c r="X40" s="485"/>
      <c r="Y40" s="486"/>
      <c r="Z40" s="486"/>
      <c r="AA40" s="486"/>
      <c r="AB40" s="486"/>
      <c r="AC40" s="499"/>
      <c r="AD40" s="477"/>
      <c r="AE40" s="474"/>
      <c r="AF40" s="474"/>
      <c r="AG40" s="474"/>
      <c r="AH40" s="474"/>
      <c r="AI40" s="474"/>
      <c r="AJ40" s="490"/>
      <c r="AK40" s="491"/>
      <c r="AL40" s="491"/>
      <c r="AM40" s="491"/>
      <c r="AN40" s="491"/>
      <c r="AO40" s="492"/>
      <c r="AP40" s="68"/>
      <c r="AQ40" s="461"/>
      <c r="AR40" s="462"/>
      <c r="AS40" s="462"/>
      <c r="AT40" s="462"/>
      <c r="AU40" s="462"/>
      <c r="AV40" s="463"/>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row>
    <row r="41" spans="3:82" ht="15" customHeight="1">
      <c r="C41" s="68"/>
      <c r="D41" s="429"/>
      <c r="E41" s="429"/>
      <c r="F41" s="430"/>
      <c r="G41" s="469"/>
      <c r="H41" s="470"/>
      <c r="I41" s="470"/>
      <c r="J41" s="470"/>
      <c r="K41" s="470"/>
      <c r="L41" s="508" t="str">
        <f>IF(AND('Mapa final'!$P$22="Baja",'Mapa final'!$S$22="Leve"),CONCATENATE("R",'Mapa final'!$A$22),"")</f>
        <v/>
      </c>
      <c r="M41" s="506"/>
      <c r="N41" s="506" t="str">
        <f>IF(AND('Mapa final'!$K$23="Baja",'Mapa final'!$O$23="Leve"),CONCATENATE("R",'Mapa final'!$A$23),"")</f>
        <v/>
      </c>
      <c r="O41" s="506"/>
      <c r="P41" s="506" t="str">
        <f>IF(AND('Mapa final'!$K$24="Baja",'Mapa final'!$O$24="Leve"),CONCATENATE("R",'Mapa final'!$A$24),"")</f>
        <v/>
      </c>
      <c r="Q41" s="507"/>
      <c r="R41" s="485" t="str">
        <f>IF(AND('Mapa final'!$P$22="Baja",'Mapa final'!$S$22="Menor"),CONCATENATE("R",'Mapa final'!$A$22),"")</f>
        <v/>
      </c>
      <c r="S41" s="486"/>
      <c r="T41" s="486" t="str">
        <f>IF(AND('Mapa final'!$P$23="Baja",'Mapa final'!$S$23="Menor"),CONCATENATE("R",'Mapa final'!$A$23),"")</f>
        <v/>
      </c>
      <c r="U41" s="486"/>
      <c r="V41" s="486" t="str">
        <f>IF(AND('Mapa final'!$P$24="Baja",'Mapa final'!$S$24="Menor"),CONCATENATE("R",'Mapa final'!$A$24),"")</f>
        <v/>
      </c>
      <c r="W41" s="499"/>
      <c r="X41" s="485" t="str">
        <f>IF(AND('Mapa final'!$P$22="Baja",'Mapa final'!$S$22="Moderado"),CONCATENATE("R",'Mapa final'!$A$22),"")</f>
        <v/>
      </c>
      <c r="Y41" s="486"/>
      <c r="Z41" s="486" t="str">
        <f>IF(AND('Mapa final'!$P$23="Baja",'Mapa final'!$S$23="Moderado"),CONCATENATE("R",'Mapa final'!$A$23),"")</f>
        <v/>
      </c>
      <c r="AA41" s="486"/>
      <c r="AB41" s="486" t="str">
        <f>IF(AND('Mapa final'!$P$24="Baja",'Mapa final'!$S$24="Moderado"),CONCATENATE("R",'Mapa final'!$A$24),"")</f>
        <v/>
      </c>
      <c r="AC41" s="499"/>
      <c r="AD41" s="477" t="str">
        <f>IF(AND('Mapa final'!$P$22="Baja",'Mapa final'!$S$22="Mayor"),CONCATENATE("R",'Mapa final'!$A$22),"")</f>
        <v/>
      </c>
      <c r="AE41" s="474"/>
      <c r="AF41" s="474" t="str">
        <f>IF(AND('Mapa final'!$P$23="Baja",'Mapa final'!$S$23="Mayor"),CONCATENATE("R",'Mapa final'!$A$23),"")</f>
        <v/>
      </c>
      <c r="AG41" s="474"/>
      <c r="AH41" s="474" t="str">
        <f>IF(AND('Mapa final'!$P$24="Baja",'Mapa final'!$S$24="Mayor"),CONCATENATE("R",'Mapa final'!$A$24),"")</f>
        <v/>
      </c>
      <c r="AI41" s="474"/>
      <c r="AJ41" s="490" t="str">
        <f>IF(AND('Mapa final'!$P$22="Baja",'Mapa final'!$S$22="Catastrófico"),CONCATENATE("R",'Mapa final'!$A$22),"")</f>
        <v/>
      </c>
      <c r="AK41" s="491"/>
      <c r="AL41" s="491" t="str">
        <f>IF(AND('Mapa final'!$P$23="Baja",'Mapa final'!$S$23="Catastrófico"),CONCATENATE("R",'Mapa final'!$A$23),"")</f>
        <v/>
      </c>
      <c r="AM41" s="491"/>
      <c r="AN41" s="491" t="str">
        <f>IF(AND('Mapa final'!$P$24="Baja",'Mapa final'!$S$24="Catastrófico"),CONCATENATE("R",'Mapa final'!$A$24),"")</f>
        <v/>
      </c>
      <c r="AO41" s="492"/>
      <c r="AP41" s="68"/>
      <c r="AQ41" s="461"/>
      <c r="AR41" s="462"/>
      <c r="AS41" s="462"/>
      <c r="AT41" s="462"/>
      <c r="AU41" s="462"/>
      <c r="AV41" s="463"/>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row>
    <row r="42" spans="3:82" ht="15.75" customHeight="1" thickBot="1">
      <c r="C42" s="68"/>
      <c r="D42" s="429"/>
      <c r="E42" s="429"/>
      <c r="F42" s="430"/>
      <c r="G42" s="471"/>
      <c r="H42" s="472"/>
      <c r="I42" s="472"/>
      <c r="J42" s="472"/>
      <c r="K42" s="472"/>
      <c r="L42" s="509"/>
      <c r="M42" s="510"/>
      <c r="N42" s="510"/>
      <c r="O42" s="510"/>
      <c r="P42" s="510"/>
      <c r="Q42" s="511"/>
      <c r="R42" s="500"/>
      <c r="S42" s="501"/>
      <c r="T42" s="501"/>
      <c r="U42" s="501"/>
      <c r="V42" s="501"/>
      <c r="W42" s="502"/>
      <c r="X42" s="500"/>
      <c r="Y42" s="501"/>
      <c r="Z42" s="501"/>
      <c r="AA42" s="501"/>
      <c r="AB42" s="501"/>
      <c r="AC42" s="502"/>
      <c r="AD42" s="488"/>
      <c r="AE42" s="483"/>
      <c r="AF42" s="483"/>
      <c r="AG42" s="483"/>
      <c r="AH42" s="483"/>
      <c r="AI42" s="483"/>
      <c r="AJ42" s="496"/>
      <c r="AK42" s="497"/>
      <c r="AL42" s="497"/>
      <c r="AM42" s="497"/>
      <c r="AN42" s="497"/>
      <c r="AO42" s="498"/>
      <c r="AP42" s="68"/>
      <c r="AQ42" s="464"/>
      <c r="AR42" s="465"/>
      <c r="AS42" s="465"/>
      <c r="AT42" s="465"/>
      <c r="AU42" s="465"/>
      <c r="AV42" s="466"/>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row>
    <row r="43" spans="3:82" ht="15" customHeight="1">
      <c r="C43" s="68"/>
      <c r="D43" s="429"/>
      <c r="E43" s="429"/>
      <c r="F43" s="430"/>
      <c r="G43" s="467" t="s">
        <v>260</v>
      </c>
      <c r="H43" s="468"/>
      <c r="I43" s="468"/>
      <c r="J43" s="468"/>
      <c r="K43" s="468"/>
      <c r="L43" s="512"/>
      <c r="M43" s="513"/>
      <c r="N43" s="513" t="str">
        <f>IF(AND('Mapa final'!$K$15="Muy Baja",'Mapa final'!$O$15="Leve"),CONCATENATE("R",'Mapa final'!$A$16),"")</f>
        <v/>
      </c>
      <c r="O43" s="513"/>
      <c r="P43" s="513" t="str">
        <f>IF(AND('Mapa final'!$K$17="Muy Baja",'Mapa final'!$O$17="Leve"),CONCATENATE("R",'Mapa final'!$A$17),"")</f>
        <v/>
      </c>
      <c r="Q43" s="514"/>
      <c r="R43" s="512"/>
      <c r="S43" s="513"/>
      <c r="T43" s="513" t="str">
        <f>IF(AND('Mapa final'!$P$15="Muy Baja",'Mapa final'!$S$15="Menor"),CONCATENATE("R",'Mapa final'!$A$16),"")</f>
        <v/>
      </c>
      <c r="U43" s="513"/>
      <c r="V43" s="513" t="str">
        <f>IF(AND('Mapa final'!$P$17="Muy Baja",'Mapa final'!$S$17="Menor"),CONCATENATE("R",'Mapa final'!$A$17),"")</f>
        <v/>
      </c>
      <c r="W43" s="514"/>
      <c r="X43" s="503"/>
      <c r="Y43" s="504"/>
      <c r="Z43" s="504" t="str">
        <f>IF(AND('Mapa final'!P$15="Muy Baja",'Mapa final'!$S$15="Moderado"),CONCATENATE("R",'Mapa final'!$D$15),"")</f>
        <v/>
      </c>
      <c r="AA43" s="504"/>
      <c r="AB43" s="504" t="str">
        <f>IF(AND('Mapa final'!$P$17="Muy Baja",'Mapa final'!$S$17="Moderado"),CONCATENATE("R",'Mapa final'!$A$17),"")</f>
        <v/>
      </c>
      <c r="AC43" s="505"/>
      <c r="AD43" s="475"/>
      <c r="AE43" s="476"/>
      <c r="AF43" s="476" t="str">
        <f>IF(AND('Mapa final'!$P$15="Muy Baja",'Mapa final'!$S$15="Mayor"),CONCATENATE("R",'Mapa final'!$A$16),"")</f>
        <v/>
      </c>
      <c r="AG43" s="476"/>
      <c r="AH43" s="476" t="str">
        <f>IF(AND('Mapa final'!$P$17="Muy Baja",'Mapa final'!$S$17="Mayor"),CONCATENATE("R",'Mapa final'!$D$17),"")</f>
        <v/>
      </c>
      <c r="AI43" s="489"/>
      <c r="AJ43" s="490"/>
      <c r="AK43" s="491"/>
      <c r="AL43" s="491" t="str">
        <f>IF(AND('Mapa final'!$P$15="Muy Baja",'Mapa final'!$S$15="Catastrófico"),CONCATENATE("R",'Mapa final'!$D$15),"")</f>
        <v/>
      </c>
      <c r="AM43" s="491"/>
      <c r="AN43" s="491" t="str">
        <f>IF(AND('Mapa final'!$P$17="Muy Baja",'Mapa final'!$S$17="Catastrófico"),CONCATENATE("R",'Mapa final'!$A$17),"")</f>
        <v/>
      </c>
      <c r="AO43" s="492"/>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row>
    <row r="44" spans="3:82" ht="15" customHeight="1">
      <c r="C44" s="68"/>
      <c r="D44" s="429"/>
      <c r="E44" s="429"/>
      <c r="F44" s="430"/>
      <c r="G44" s="469"/>
      <c r="H44" s="470"/>
      <c r="I44" s="470"/>
      <c r="J44" s="470"/>
      <c r="K44" s="470"/>
      <c r="L44" s="508"/>
      <c r="M44" s="506"/>
      <c r="N44" s="506"/>
      <c r="O44" s="506"/>
      <c r="P44" s="506"/>
      <c r="Q44" s="507"/>
      <c r="R44" s="508"/>
      <c r="S44" s="506"/>
      <c r="T44" s="506"/>
      <c r="U44" s="506"/>
      <c r="V44" s="506"/>
      <c r="W44" s="507"/>
      <c r="X44" s="485"/>
      <c r="Y44" s="486"/>
      <c r="Z44" s="486"/>
      <c r="AA44" s="486"/>
      <c r="AB44" s="486"/>
      <c r="AC44" s="499"/>
      <c r="AD44" s="477"/>
      <c r="AE44" s="474"/>
      <c r="AF44" s="474"/>
      <c r="AG44" s="474"/>
      <c r="AH44" s="474"/>
      <c r="AI44" s="482"/>
      <c r="AJ44" s="490"/>
      <c r="AK44" s="491"/>
      <c r="AL44" s="491"/>
      <c r="AM44" s="491"/>
      <c r="AN44" s="491"/>
      <c r="AO44" s="492"/>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row>
    <row r="45" spans="3:82" ht="15" customHeight="1">
      <c r="C45" s="68"/>
      <c r="D45" s="429"/>
      <c r="E45" s="429"/>
      <c r="F45" s="430"/>
      <c r="G45" s="469"/>
      <c r="H45" s="470"/>
      <c r="I45" s="470"/>
      <c r="J45" s="470"/>
      <c r="K45" s="470"/>
      <c r="L45" s="508" t="e">
        <f>IF(AND('Mapa final'!#REF!="Muy Baja",'Mapa final'!#REF!="Leve"),CONCATENATE("R",'Mapa final'!#REF!),"")</f>
        <v>#REF!</v>
      </c>
      <c r="M45" s="506"/>
      <c r="N45" s="506" t="e">
        <f>IF(AND('Mapa final'!#REF!="Muy Baja",'Mapa final'!#REF!="Leve"),CONCATENATE("R",'Mapa final'!#REF!),"")</f>
        <v>#REF!</v>
      </c>
      <c r="O45" s="506"/>
      <c r="P45" s="506" t="e">
        <f>IF(AND('Mapa final'!#REF!="Muy Baja",'Mapa final'!#REF!="Leve"),CONCATENATE("R",'Mapa final'!#REF!),"")</f>
        <v>#REF!</v>
      </c>
      <c r="Q45" s="507"/>
      <c r="R45" s="508" t="e">
        <f>IF(AND('Mapa final'!#REF!="Muy Baja",'Mapa final'!#REF!="Menor"),CONCATENATE("R",'Mapa final'!#REF!),"")</f>
        <v>#REF!</v>
      </c>
      <c r="S45" s="506"/>
      <c r="T45" s="506" t="e">
        <f>IF(AND('Mapa final'!#REF!="Muy Baja",'Mapa final'!#REF!="Menor"),CONCATENATE("R",'Mapa final'!#REF!),"")</f>
        <v>#REF!</v>
      </c>
      <c r="U45" s="506"/>
      <c r="V45" s="506" t="e">
        <f>IF(AND('Mapa final'!#REF!="Muy Baja",'Mapa final'!#REF!="Menor"),CONCATENATE("R",'Mapa final'!#REF!),"")</f>
        <v>#REF!</v>
      </c>
      <c r="W45" s="507"/>
      <c r="X45" s="485" t="e">
        <f>IF(AND('Mapa final'!#REF!="Muy Baja",'Mapa final'!#REF!="Moderado"),CONCATENATE("R",'Mapa final'!#REF!),"")</f>
        <v>#REF!</v>
      </c>
      <c r="Y45" s="486"/>
      <c r="Z45" s="486" t="e">
        <f>IF(AND('Mapa final'!#REF!="Muy Baja",'Mapa final'!#REF!="Moderado"),CONCATENATE("R",'Mapa final'!#REF!),"")</f>
        <v>#REF!</v>
      </c>
      <c r="AA45" s="486"/>
      <c r="AB45" s="486" t="e">
        <f>IF(AND('Mapa final'!#REF!="Muy Baja",'Mapa final'!#REF!="Moderado"),CONCATENATE("R",'Mapa final'!#REF!),"")</f>
        <v>#REF!</v>
      </c>
      <c r="AC45" s="499"/>
      <c r="AD45" s="477" t="e">
        <f>IF(AND('Mapa final'!#REF!="Muy Baja",'Mapa final'!#REF!="Mayor"),CONCATENATE("R",'Mapa final'!#REF!),"")</f>
        <v>#REF!</v>
      </c>
      <c r="AE45" s="474"/>
      <c r="AF45" s="474" t="e">
        <f>IF(AND('Mapa final'!#REF!="Muy Baja",'Mapa final'!#REF!="Mayor"),CONCATENATE("R",'Mapa final'!#REF!),"")</f>
        <v>#REF!</v>
      </c>
      <c r="AG45" s="474"/>
      <c r="AH45" s="474" t="e">
        <f>IF(AND('Mapa final'!#REF!="Muy Baja",'Mapa final'!#REF!="Mayor"),CONCATENATE("R",'Mapa final'!#REF!),"")</f>
        <v>#REF!</v>
      </c>
      <c r="AI45" s="482"/>
      <c r="AJ45" s="490" t="e">
        <f>IF(AND('Mapa final'!#REF!="Muy Baja",'Mapa final'!#REF!="Catastrófico"),CONCATENATE("R",'Mapa final'!#REF!),"")</f>
        <v>#REF!</v>
      </c>
      <c r="AK45" s="491"/>
      <c r="AL45" s="491" t="e">
        <f>IF(AND('Mapa final'!#REF!="Muy Baja",'Mapa final'!#REF!="Catastrófico"),CONCATENATE("R",'Mapa final'!#REF!),"")</f>
        <v>#REF!</v>
      </c>
      <c r="AM45" s="491"/>
      <c r="AN45" s="491" t="e">
        <f>IF(AND('Mapa final'!#REF!="Muy Baja",'Mapa final'!#REF!="Catastrófico"),CONCATENATE("R",'Mapa final'!#REF!),"")</f>
        <v>#REF!</v>
      </c>
      <c r="AO45" s="492"/>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row>
    <row r="46" spans="3:82" ht="15" customHeight="1">
      <c r="C46" s="68"/>
      <c r="D46" s="429"/>
      <c r="E46" s="429"/>
      <c r="F46" s="430"/>
      <c r="G46" s="469"/>
      <c r="H46" s="470"/>
      <c r="I46" s="470"/>
      <c r="J46" s="470"/>
      <c r="K46" s="470"/>
      <c r="L46" s="508"/>
      <c r="M46" s="506"/>
      <c r="N46" s="506"/>
      <c r="O46" s="506"/>
      <c r="P46" s="506"/>
      <c r="Q46" s="507"/>
      <c r="R46" s="508"/>
      <c r="S46" s="506"/>
      <c r="T46" s="506"/>
      <c r="U46" s="506"/>
      <c r="V46" s="506"/>
      <c r="W46" s="507"/>
      <c r="X46" s="485"/>
      <c r="Y46" s="486"/>
      <c r="Z46" s="486"/>
      <c r="AA46" s="486"/>
      <c r="AB46" s="486"/>
      <c r="AC46" s="499"/>
      <c r="AD46" s="477"/>
      <c r="AE46" s="474"/>
      <c r="AF46" s="474"/>
      <c r="AG46" s="474"/>
      <c r="AH46" s="474"/>
      <c r="AI46" s="482"/>
      <c r="AJ46" s="490"/>
      <c r="AK46" s="491"/>
      <c r="AL46" s="491"/>
      <c r="AM46" s="491"/>
      <c r="AN46" s="491"/>
      <c r="AO46" s="492"/>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row>
    <row r="47" spans="3:82" ht="15" customHeight="1">
      <c r="C47" s="68"/>
      <c r="D47" s="429"/>
      <c r="E47" s="429"/>
      <c r="F47" s="430"/>
      <c r="G47" s="469"/>
      <c r="H47" s="470"/>
      <c r="I47" s="470"/>
      <c r="J47" s="470"/>
      <c r="K47" s="470"/>
      <c r="L47" s="508" t="e">
        <f>IF(AND('Mapa final'!#REF!="Muy Baja",'Mapa final'!#REF!="Leve"),CONCATENATE("R",'Mapa final'!#REF!),"")</f>
        <v>#REF!</v>
      </c>
      <c r="M47" s="506"/>
      <c r="N47" s="506" t="e">
        <f>IF(AND('Mapa final'!#REF!="Muy Baja",'Mapa final'!#REF!="Leve"),CONCATENATE("R",'Mapa final'!#REF!),"")</f>
        <v>#REF!</v>
      </c>
      <c r="O47" s="506"/>
      <c r="P47" s="506" t="str">
        <f>IF(AND('Mapa final'!$K$21="Muy Baja",'Mapa final'!$O$21="Leve"),CONCATENATE("R",'Mapa final'!$A$21),"")</f>
        <v/>
      </c>
      <c r="Q47" s="507"/>
      <c r="R47" s="508" t="e">
        <f>IF(AND('Mapa final'!#REF!="Muy Baja",'Mapa final'!#REF!="Menor"),CONCATENATE("R",'Mapa final'!#REF!),"")</f>
        <v>#REF!</v>
      </c>
      <c r="S47" s="506"/>
      <c r="T47" s="506" t="e">
        <f>IF(AND('Mapa final'!#REF!="Muy Baja",'Mapa final'!#REF!="Menor"),CONCATENATE("R",'Mapa final'!#REF!),"")</f>
        <v>#REF!</v>
      </c>
      <c r="U47" s="506"/>
      <c r="V47" s="506" t="str">
        <f>IF(AND('Mapa final'!$P$21="Muy Baja",'Mapa final'!$S$21="Menor"),CONCATENATE("R",'Mapa final'!$A$21),"")</f>
        <v/>
      </c>
      <c r="W47" s="507"/>
      <c r="X47" s="485" t="e">
        <f>IF(AND('Mapa final'!#REF!="Muy Baja",'Mapa final'!#REF!="Moderado"),CONCATENATE("R",'Mapa final'!#REF!),"")</f>
        <v>#REF!</v>
      </c>
      <c r="Y47" s="486"/>
      <c r="Z47" s="486" t="e">
        <f>IF(AND('Mapa final'!#REF!="Muy Baja",'Mapa final'!#REF!="Moderado"),CONCATENATE("R",'Mapa final'!#REF!),"")</f>
        <v>#REF!</v>
      </c>
      <c r="AA47" s="486"/>
      <c r="AB47" s="486" t="str">
        <f>IF(AND('Mapa final'!$P$21="Muy Baja",'Mapa final'!$S$21="Moderado"),CONCATENATE("R",'Mapa final'!$A$21),"")</f>
        <v/>
      </c>
      <c r="AC47" s="499"/>
      <c r="AD47" s="477" t="e">
        <f>IF(AND('Mapa final'!#REF!="Muy Baja",'Mapa final'!#REF!="Mayor"),CONCATENATE("R",'Mapa final'!#REF!),"")</f>
        <v>#REF!</v>
      </c>
      <c r="AE47" s="474"/>
      <c r="AF47" s="474" t="e">
        <f>IF(AND('Mapa final'!#REF!="Muy Baja",'Mapa final'!#REF!="Mayor"),CONCATENATE("R",'Mapa final'!#REF!),"")</f>
        <v>#REF!</v>
      </c>
      <c r="AG47" s="474"/>
      <c r="AH47" s="474" t="str">
        <f>IF(AND('Mapa final'!$P$21="Muy Baja",'Mapa final'!$S$21="Mayor"),CONCATENATE("R",'Mapa final'!$A$21),"")</f>
        <v/>
      </c>
      <c r="AI47" s="482"/>
      <c r="AJ47" s="490" t="e">
        <f>IF(AND('Mapa final'!#REF!="Muy Baja",'Mapa final'!#REF!="Catastrófico"),CONCATENATE("R",'Mapa final'!#REF!),"")</f>
        <v>#REF!</v>
      </c>
      <c r="AK47" s="491"/>
      <c r="AL47" s="491" t="e">
        <f>IF(AND('Mapa final'!#REF!="Muy Baja",'Mapa final'!#REF!="Catastrófico"),CONCATENATE("R",'Mapa final'!#REF!),"")</f>
        <v>#REF!</v>
      </c>
      <c r="AM47" s="491"/>
      <c r="AN47" s="491" t="str">
        <f>IF(AND('Mapa final'!$P$21="Muy Baja",'Mapa final'!$S$21="Catastrófico"),CONCATENATE("R",'Mapa final'!$A$21),"")</f>
        <v/>
      </c>
      <c r="AO47" s="492"/>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row>
    <row r="48" spans="3:82" ht="15" customHeight="1">
      <c r="C48" s="68"/>
      <c r="D48" s="429"/>
      <c r="E48" s="429"/>
      <c r="F48" s="430"/>
      <c r="G48" s="469"/>
      <c r="H48" s="470"/>
      <c r="I48" s="470"/>
      <c r="J48" s="470"/>
      <c r="K48" s="470"/>
      <c r="L48" s="508"/>
      <c r="M48" s="506"/>
      <c r="N48" s="506"/>
      <c r="O48" s="506"/>
      <c r="P48" s="506"/>
      <c r="Q48" s="507"/>
      <c r="R48" s="508"/>
      <c r="S48" s="506"/>
      <c r="T48" s="506"/>
      <c r="U48" s="506"/>
      <c r="V48" s="506"/>
      <c r="W48" s="507"/>
      <c r="X48" s="485"/>
      <c r="Y48" s="486"/>
      <c r="Z48" s="486"/>
      <c r="AA48" s="486"/>
      <c r="AB48" s="486"/>
      <c r="AC48" s="499"/>
      <c r="AD48" s="477"/>
      <c r="AE48" s="474"/>
      <c r="AF48" s="474"/>
      <c r="AG48" s="474"/>
      <c r="AH48" s="474"/>
      <c r="AI48" s="482"/>
      <c r="AJ48" s="490"/>
      <c r="AK48" s="491"/>
      <c r="AL48" s="491"/>
      <c r="AM48" s="491"/>
      <c r="AN48" s="491"/>
      <c r="AO48" s="492"/>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row>
    <row r="49" spans="3:82" ht="15" customHeight="1">
      <c r="C49" s="68"/>
      <c r="D49" s="429"/>
      <c r="E49" s="429"/>
      <c r="F49" s="430"/>
      <c r="G49" s="469"/>
      <c r="H49" s="470"/>
      <c r="I49" s="470"/>
      <c r="J49" s="470"/>
      <c r="K49" s="470"/>
      <c r="L49" s="508" t="str">
        <f>IF(AND('Mapa final'!$P$22="Muy Baja",'Mapa final'!$S$22="Leve"),CONCATENATE("R",'Mapa final'!$A$22),"")</f>
        <v/>
      </c>
      <c r="M49" s="506"/>
      <c r="N49" s="506" t="str">
        <f>IF(AND('Mapa final'!$K$23="Muy Baja",'Mapa final'!$O$23="Leve"),CONCATENATE("R",'Mapa final'!$A$23),"")</f>
        <v/>
      </c>
      <c r="O49" s="506"/>
      <c r="P49" s="506" t="str">
        <f>IF(AND('Mapa final'!$K$24="Muy Baja",'Mapa final'!$O$24="Leve"),CONCATENATE("R",'Mapa final'!$A$24),"")</f>
        <v/>
      </c>
      <c r="Q49" s="507"/>
      <c r="R49" s="506" t="str">
        <f>IF(AND('Mapa final'!$P$22="Muy Baja",'Mapa final'!$S$22="Menor"),CONCATENATE("R",'Mapa final'!$A$22),"")</f>
        <v/>
      </c>
      <c r="S49" s="506"/>
      <c r="T49" s="506" t="str">
        <f>IF(AND('Mapa final'!$P$23="Muy Baja",'Mapa final'!$S$23="Menor"),CONCATENATE("R",'Mapa final'!$A$23),"")</f>
        <v/>
      </c>
      <c r="U49" s="506"/>
      <c r="V49" s="506" t="str">
        <f>IF(AND('Mapa final'!$P$24="Muy Baja",'Mapa final'!$S$24="Menor"),CONCATENATE("R",'Mapa final'!$A$24),"")</f>
        <v/>
      </c>
      <c r="W49" s="507"/>
      <c r="X49" s="485" t="str">
        <f>IF(AND('Mapa final'!$P$22="Muy Baja",'Mapa final'!$S$22="Moderado"),CONCATENATE("R",'Mapa final'!$A$22),"")</f>
        <v/>
      </c>
      <c r="Y49" s="486"/>
      <c r="Z49" s="486" t="str">
        <f>IF(AND('Mapa final'!$P$23="Muy Baja",'Mapa final'!$S$23="Moderado"),CONCATENATE("R",'Mapa final'!$A$23),"")</f>
        <v/>
      </c>
      <c r="AA49" s="486"/>
      <c r="AB49" s="486" t="str">
        <f>IF(AND('Mapa final'!$P$24="Muy Baja",'Mapa final'!$S$24="Moderado"),CONCATENATE("R",'Mapa final'!$A$24),"")</f>
        <v/>
      </c>
      <c r="AC49" s="499"/>
      <c r="AD49" s="477" t="str">
        <f>IF(AND('Mapa final'!$P$22="Muy Baja",'Mapa final'!$S$22="Mayor"),CONCATENATE("R",'Mapa final'!$A$22),"")</f>
        <v/>
      </c>
      <c r="AE49" s="474"/>
      <c r="AF49" s="474" t="str">
        <f>IF(AND('Mapa final'!$P$23="Muy Baja",'Mapa final'!$S$23="Mayor"),CONCATENATE("R",'Mapa final'!$A$23),"")</f>
        <v/>
      </c>
      <c r="AG49" s="474"/>
      <c r="AH49" s="474" t="str">
        <f>IF(AND('Mapa final'!$P$24="Muy Baja",'Mapa final'!$S$24="Mayor"),CONCATENATE("R",'Mapa final'!$A$24),"")</f>
        <v/>
      </c>
      <c r="AI49" s="482"/>
      <c r="AJ49" s="490" t="str">
        <f>IF(AND('Mapa final'!$P$22="Muy Baja",'Mapa final'!$S$22="Catastrófico"),CONCATENATE("R",'Mapa final'!$A$22),"")</f>
        <v/>
      </c>
      <c r="AK49" s="491"/>
      <c r="AL49" s="491" t="str">
        <f>IF(AND('Mapa final'!$P$23="Muy Baja",'Mapa final'!$S$23="Catastrófico"),CONCATENATE("R",'Mapa final'!$A$23),"")</f>
        <v/>
      </c>
      <c r="AM49" s="491"/>
      <c r="AN49" s="491" t="str">
        <f>IF(AND('Mapa final'!$P$24="Muy Baja",'Mapa final'!$S$24="Catastrófico"),CONCATENATE("R",'Mapa final'!$A$24),"")</f>
        <v/>
      </c>
      <c r="AO49" s="492"/>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row>
    <row r="50" spans="3:82" ht="15.75" customHeight="1" thickBot="1">
      <c r="C50" s="68"/>
      <c r="D50" s="429"/>
      <c r="E50" s="429"/>
      <c r="F50" s="430"/>
      <c r="G50" s="471"/>
      <c r="H50" s="472"/>
      <c r="I50" s="472"/>
      <c r="J50" s="472"/>
      <c r="K50" s="472"/>
      <c r="L50" s="509"/>
      <c r="M50" s="510"/>
      <c r="N50" s="510"/>
      <c r="O50" s="510"/>
      <c r="P50" s="510"/>
      <c r="Q50" s="511"/>
      <c r="R50" s="510"/>
      <c r="S50" s="510"/>
      <c r="T50" s="510"/>
      <c r="U50" s="510"/>
      <c r="V50" s="510"/>
      <c r="W50" s="511"/>
      <c r="X50" s="500"/>
      <c r="Y50" s="501"/>
      <c r="Z50" s="501"/>
      <c r="AA50" s="501"/>
      <c r="AB50" s="501"/>
      <c r="AC50" s="502"/>
      <c r="AD50" s="488"/>
      <c r="AE50" s="483"/>
      <c r="AF50" s="483"/>
      <c r="AG50" s="483"/>
      <c r="AH50" s="483"/>
      <c r="AI50" s="484"/>
      <c r="AJ50" s="496"/>
      <c r="AK50" s="497"/>
      <c r="AL50" s="497"/>
      <c r="AM50" s="497"/>
      <c r="AN50" s="497"/>
      <c r="AO50" s="49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row>
    <row r="51" spans="3:82">
      <c r="C51" s="68"/>
      <c r="D51" s="68"/>
      <c r="E51" s="68"/>
      <c r="F51" s="68"/>
      <c r="G51" s="68"/>
      <c r="H51" s="68"/>
      <c r="I51" s="68"/>
      <c r="J51" s="68"/>
      <c r="K51" s="68"/>
      <c r="L51" s="478" t="s">
        <v>261</v>
      </c>
      <c r="M51" s="470"/>
      <c r="N51" s="470"/>
      <c r="O51" s="470"/>
      <c r="P51" s="470"/>
      <c r="Q51" s="479"/>
      <c r="R51" s="467" t="s">
        <v>262</v>
      </c>
      <c r="S51" s="468"/>
      <c r="T51" s="468"/>
      <c r="U51" s="468"/>
      <c r="V51" s="468"/>
      <c r="W51" s="481"/>
      <c r="X51" s="467" t="s">
        <v>263</v>
      </c>
      <c r="Y51" s="468"/>
      <c r="Z51" s="468"/>
      <c r="AA51" s="468"/>
      <c r="AB51" s="468"/>
      <c r="AC51" s="481"/>
      <c r="AD51" s="467" t="s">
        <v>264</v>
      </c>
      <c r="AE51" s="487"/>
      <c r="AF51" s="468"/>
      <c r="AG51" s="468"/>
      <c r="AH51" s="468"/>
      <c r="AI51" s="481"/>
      <c r="AJ51" s="467" t="s">
        <v>265</v>
      </c>
      <c r="AK51" s="468"/>
      <c r="AL51" s="468"/>
      <c r="AM51" s="468"/>
      <c r="AN51" s="468"/>
      <c r="AO51" s="481"/>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row>
    <row r="52" spans="3:82">
      <c r="C52" s="68"/>
      <c r="D52" s="68"/>
      <c r="E52" s="68"/>
      <c r="F52" s="68"/>
      <c r="G52" s="68"/>
      <c r="H52" s="68"/>
      <c r="I52" s="68"/>
      <c r="J52" s="68"/>
      <c r="K52" s="68"/>
      <c r="L52" s="469"/>
      <c r="M52" s="470"/>
      <c r="N52" s="470"/>
      <c r="O52" s="470"/>
      <c r="P52" s="470"/>
      <c r="Q52" s="479"/>
      <c r="R52" s="469"/>
      <c r="S52" s="470"/>
      <c r="T52" s="470"/>
      <c r="U52" s="470"/>
      <c r="V52" s="470"/>
      <c r="W52" s="479"/>
      <c r="X52" s="469"/>
      <c r="Y52" s="470"/>
      <c r="Z52" s="470"/>
      <c r="AA52" s="470"/>
      <c r="AB52" s="470"/>
      <c r="AC52" s="479"/>
      <c r="AD52" s="469"/>
      <c r="AE52" s="470"/>
      <c r="AF52" s="470"/>
      <c r="AG52" s="470"/>
      <c r="AH52" s="470"/>
      <c r="AI52" s="479"/>
      <c r="AJ52" s="469"/>
      <c r="AK52" s="470"/>
      <c r="AL52" s="470"/>
      <c r="AM52" s="470"/>
      <c r="AN52" s="470"/>
      <c r="AO52" s="479"/>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row>
    <row r="53" spans="3:82">
      <c r="C53" s="68"/>
      <c r="D53" s="68"/>
      <c r="E53" s="68"/>
      <c r="F53" s="68"/>
      <c r="G53" s="68"/>
      <c r="H53" s="68"/>
      <c r="I53" s="68"/>
      <c r="J53" s="68"/>
      <c r="K53" s="68"/>
      <c r="L53" s="469"/>
      <c r="M53" s="470"/>
      <c r="N53" s="470"/>
      <c r="O53" s="470"/>
      <c r="P53" s="470"/>
      <c r="Q53" s="479"/>
      <c r="R53" s="469"/>
      <c r="S53" s="470"/>
      <c r="T53" s="470"/>
      <c r="U53" s="470"/>
      <c r="V53" s="470"/>
      <c r="W53" s="479"/>
      <c r="X53" s="469"/>
      <c r="Y53" s="470"/>
      <c r="Z53" s="470"/>
      <c r="AA53" s="470"/>
      <c r="AB53" s="470"/>
      <c r="AC53" s="479"/>
      <c r="AD53" s="469"/>
      <c r="AE53" s="470"/>
      <c r="AF53" s="470"/>
      <c r="AG53" s="470"/>
      <c r="AH53" s="470"/>
      <c r="AI53" s="479"/>
      <c r="AJ53" s="469"/>
      <c r="AK53" s="470"/>
      <c r="AL53" s="470"/>
      <c r="AM53" s="470"/>
      <c r="AN53" s="470"/>
      <c r="AO53" s="479"/>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row>
    <row r="54" spans="3:82">
      <c r="C54" s="68"/>
      <c r="D54" s="68"/>
      <c r="E54" s="68"/>
      <c r="F54" s="68"/>
      <c r="G54" s="68"/>
      <c r="H54" s="68"/>
      <c r="I54" s="68"/>
      <c r="J54" s="68"/>
      <c r="K54" s="68"/>
      <c r="L54" s="469"/>
      <c r="M54" s="470"/>
      <c r="N54" s="470"/>
      <c r="O54" s="470"/>
      <c r="P54" s="470"/>
      <c r="Q54" s="479"/>
      <c r="R54" s="469"/>
      <c r="S54" s="470"/>
      <c r="T54" s="470"/>
      <c r="U54" s="470"/>
      <c r="V54" s="470"/>
      <c r="W54" s="479"/>
      <c r="X54" s="469"/>
      <c r="Y54" s="470"/>
      <c r="Z54" s="470"/>
      <c r="AA54" s="470"/>
      <c r="AB54" s="470"/>
      <c r="AC54" s="479"/>
      <c r="AD54" s="469"/>
      <c r="AE54" s="470"/>
      <c r="AF54" s="470"/>
      <c r="AG54" s="470"/>
      <c r="AH54" s="470"/>
      <c r="AI54" s="479"/>
      <c r="AJ54" s="469"/>
      <c r="AK54" s="470"/>
      <c r="AL54" s="470"/>
      <c r="AM54" s="470"/>
      <c r="AN54" s="470"/>
      <c r="AO54" s="479"/>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row>
    <row r="55" spans="3:82">
      <c r="C55" s="68"/>
      <c r="D55" s="68"/>
      <c r="E55" s="68"/>
      <c r="F55" s="68"/>
      <c r="G55" s="68"/>
      <c r="H55" s="68"/>
      <c r="I55" s="68"/>
      <c r="J55" s="68"/>
      <c r="K55" s="68"/>
      <c r="L55" s="469"/>
      <c r="M55" s="470"/>
      <c r="N55" s="470"/>
      <c r="O55" s="470"/>
      <c r="P55" s="470"/>
      <c r="Q55" s="479"/>
      <c r="R55" s="469"/>
      <c r="S55" s="470"/>
      <c r="T55" s="470"/>
      <c r="U55" s="470"/>
      <c r="V55" s="470"/>
      <c r="W55" s="479"/>
      <c r="X55" s="469"/>
      <c r="Y55" s="470"/>
      <c r="Z55" s="470"/>
      <c r="AA55" s="470"/>
      <c r="AB55" s="470"/>
      <c r="AC55" s="479"/>
      <c r="AD55" s="469"/>
      <c r="AE55" s="470"/>
      <c r="AF55" s="470"/>
      <c r="AG55" s="470"/>
      <c r="AH55" s="470"/>
      <c r="AI55" s="479"/>
      <c r="AJ55" s="469"/>
      <c r="AK55" s="470"/>
      <c r="AL55" s="470"/>
      <c r="AM55" s="470"/>
      <c r="AN55" s="470"/>
      <c r="AO55" s="479"/>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row>
    <row r="56" spans="3:82" ht="16" thickBot="1">
      <c r="C56" s="68"/>
      <c r="D56" s="68"/>
      <c r="E56" s="68"/>
      <c r="F56" s="68"/>
      <c r="G56" s="68"/>
      <c r="H56" s="68"/>
      <c r="I56" s="68"/>
      <c r="J56" s="68"/>
      <c r="K56" s="68"/>
      <c r="L56" s="471"/>
      <c r="M56" s="472"/>
      <c r="N56" s="472"/>
      <c r="O56" s="472"/>
      <c r="P56" s="472"/>
      <c r="Q56" s="480"/>
      <c r="R56" s="471"/>
      <c r="S56" s="472"/>
      <c r="T56" s="472"/>
      <c r="U56" s="472"/>
      <c r="V56" s="472"/>
      <c r="W56" s="480"/>
      <c r="X56" s="471"/>
      <c r="Y56" s="472"/>
      <c r="Z56" s="472"/>
      <c r="AA56" s="472"/>
      <c r="AB56" s="472"/>
      <c r="AC56" s="480"/>
      <c r="AD56" s="471"/>
      <c r="AE56" s="472"/>
      <c r="AF56" s="472"/>
      <c r="AG56" s="472"/>
      <c r="AH56" s="472"/>
      <c r="AI56" s="480"/>
      <c r="AJ56" s="471"/>
      <c r="AK56" s="472"/>
      <c r="AL56" s="472"/>
      <c r="AM56" s="472"/>
      <c r="AN56" s="472"/>
      <c r="AO56" s="480"/>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row>
    <row r="57" spans="3:82">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row>
    <row r="58" spans="3:82" ht="15" customHeight="1">
      <c r="C58" s="68"/>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row>
    <row r="59" spans="3:82" ht="15" customHeight="1">
      <c r="C59" s="68"/>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row>
    <row r="60" spans="3:82">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row>
    <row r="61" spans="3:82">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row>
    <row r="62" spans="3:82">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row>
    <row r="63" spans="3:82">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row>
    <row r="64" spans="3:82">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row>
    <row r="65" spans="3:82">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row>
    <row r="66" spans="3:82">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row>
    <row r="67" spans="3:82">
      <c r="C67" s="68"/>
      <c r="D67" s="68"/>
      <c r="E67" s="68"/>
      <c r="F67" s="68"/>
      <c r="G67" s="68"/>
      <c r="H67" s="68" t="s">
        <v>266</v>
      </c>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row>
    <row r="68" spans="3:82">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row>
    <row r="69" spans="3:82">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row>
    <row r="70" spans="3:82">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row>
    <row r="71" spans="3:82">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row>
    <row r="72" spans="3:82">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row>
    <row r="73" spans="3:82">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row>
    <row r="74" spans="3:82">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row>
    <row r="75" spans="3:82">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row>
    <row r="76" spans="3:82">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row>
    <row r="77" spans="3:82">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row>
    <row r="78" spans="3:82">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row>
    <row r="79" spans="3:82">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row>
    <row r="80" spans="3:82">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row>
    <row r="81" spans="3:82">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row>
    <row r="82" spans="3:82">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row>
    <row r="83" spans="3:82">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row>
    <row r="84" spans="3:82">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row>
    <row r="85" spans="3:82">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row>
    <row r="86" spans="3:82">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row>
    <row r="87" spans="3:82">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row>
    <row r="88" spans="3:82">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row>
    <row r="89" spans="3:82">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row>
    <row r="90" spans="3:82">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row>
    <row r="91" spans="3:82">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row>
    <row r="92" spans="3:82">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row>
    <row r="93" spans="3:82">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row>
    <row r="94" spans="3:82">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row>
    <row r="95" spans="3:82">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row>
    <row r="96" spans="3:82">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row>
    <row r="97" spans="3:65">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row>
    <row r="98" spans="3:65">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row>
    <row r="99" spans="3:65">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row>
    <row r="100" spans="3:65">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row>
    <row r="101" spans="3:65">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row>
    <row r="102" spans="3:65">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row>
    <row r="103" spans="3:65">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row>
    <row r="104" spans="3:65">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row>
    <row r="105" spans="3:65">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row>
    <row r="106" spans="3:65">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row>
    <row r="107" spans="3:65">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row>
    <row r="108" spans="3:65">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row>
    <row r="109" spans="3:65">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row>
    <row r="110" spans="3:65">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row>
    <row r="111" spans="3:65">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row>
    <row r="112" spans="3:65">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row>
    <row r="113" spans="3:65">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row>
    <row r="114" spans="3:65">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row>
    <row r="115" spans="3:65">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row>
    <row r="116" spans="3:65">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row>
    <row r="117" spans="3:65">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row>
    <row r="118" spans="3:65">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row>
    <row r="119" spans="3:65">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row>
    <row r="120" spans="3:65">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row>
    <row r="121" spans="3:65">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row>
    <row r="122" spans="3:65">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row>
    <row r="123" spans="3:65">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row>
    <row r="124" spans="3:65">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row>
    <row r="125" spans="3:65">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row>
    <row r="126" spans="3:65">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row>
    <row r="127" spans="3:65">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row>
    <row r="128" spans="3:65">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row>
    <row r="129" spans="4:65">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row>
    <row r="130" spans="4:65">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row>
    <row r="131" spans="4:65">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row>
    <row r="132" spans="4:65">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row>
    <row r="133" spans="4:65">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row>
    <row r="134" spans="4:65">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row>
    <row r="135" spans="4:65">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row>
    <row r="136" spans="4:65">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row>
    <row r="137" spans="4:65">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row>
    <row r="138" spans="4:65">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row>
    <row r="139" spans="4:65">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row>
    <row r="140" spans="4:65">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row>
    <row r="141" spans="4:65">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row>
    <row r="142" spans="4:65">
      <c r="D142" s="68"/>
      <c r="E142" s="68"/>
      <c r="F142" s="68"/>
      <c r="G142" s="68"/>
      <c r="H142" s="68"/>
      <c r="I142" s="68"/>
      <c r="J142" s="68"/>
      <c r="K142" s="68"/>
    </row>
    <row r="143" spans="4:65">
      <c r="D143" s="68"/>
      <c r="E143" s="68"/>
      <c r="F143" s="68"/>
      <c r="G143" s="68"/>
      <c r="H143" s="68"/>
      <c r="I143" s="68"/>
      <c r="J143" s="68"/>
      <c r="K143" s="68"/>
    </row>
    <row r="144" spans="4:65">
      <c r="D144" s="68"/>
      <c r="E144" s="68"/>
      <c r="F144" s="68"/>
      <c r="G144" s="68"/>
      <c r="H144" s="68"/>
      <c r="I144" s="68"/>
      <c r="J144" s="68"/>
      <c r="K144" s="68"/>
    </row>
    <row r="145" spans="4:11">
      <c r="D145" s="68"/>
      <c r="E145" s="68"/>
      <c r="F145" s="68"/>
      <c r="G145" s="68"/>
      <c r="H145" s="68"/>
      <c r="I145" s="68"/>
      <c r="J145" s="68"/>
      <c r="K145" s="68"/>
    </row>
  </sheetData>
  <mergeCells count="324">
    <mergeCell ref="A8:C8"/>
    <mergeCell ref="D7:K9"/>
    <mergeCell ref="R47:S48"/>
    <mergeCell ref="T47:U48"/>
    <mergeCell ref="V47:W48"/>
    <mergeCell ref="R49:S50"/>
    <mergeCell ref="T49:U50"/>
    <mergeCell ref="V49:W50"/>
    <mergeCell ref="R43:S44"/>
    <mergeCell ref="T43:U44"/>
    <mergeCell ref="V43:W44"/>
    <mergeCell ref="R45:S46"/>
    <mergeCell ref="T45:U46"/>
    <mergeCell ref="V45:W46"/>
    <mergeCell ref="L47:M48"/>
    <mergeCell ref="N47:O48"/>
    <mergeCell ref="P47:Q48"/>
    <mergeCell ref="L49:M50"/>
    <mergeCell ref="N49:O50"/>
    <mergeCell ref="P49:Q50"/>
    <mergeCell ref="L43:M44"/>
    <mergeCell ref="N43:O44"/>
    <mergeCell ref="P43:Q44"/>
    <mergeCell ref="L45:M46"/>
    <mergeCell ref="N45:O46"/>
    <mergeCell ref="P45:Q46"/>
    <mergeCell ref="L39:M40"/>
    <mergeCell ref="N39:O40"/>
    <mergeCell ref="P39:Q40"/>
    <mergeCell ref="L41:M42"/>
    <mergeCell ref="N41:O42"/>
    <mergeCell ref="P41:Q42"/>
    <mergeCell ref="L35:M36"/>
    <mergeCell ref="N35:O36"/>
    <mergeCell ref="P35:Q36"/>
    <mergeCell ref="L37:M38"/>
    <mergeCell ref="N37:O38"/>
    <mergeCell ref="P37:Q38"/>
    <mergeCell ref="X47:Y48"/>
    <mergeCell ref="Z47:AA48"/>
    <mergeCell ref="AB47:AC48"/>
    <mergeCell ref="X49:Y50"/>
    <mergeCell ref="Z49:AA50"/>
    <mergeCell ref="AB49:AC50"/>
    <mergeCell ref="X43:Y44"/>
    <mergeCell ref="Z43:AA44"/>
    <mergeCell ref="AB43:AC44"/>
    <mergeCell ref="X45:Y46"/>
    <mergeCell ref="Z45:AA46"/>
    <mergeCell ref="AB45:AC46"/>
    <mergeCell ref="R39:S40"/>
    <mergeCell ref="T39:U40"/>
    <mergeCell ref="V39:W40"/>
    <mergeCell ref="R41:S42"/>
    <mergeCell ref="T41:U42"/>
    <mergeCell ref="V41:W42"/>
    <mergeCell ref="R35:S36"/>
    <mergeCell ref="T35:U36"/>
    <mergeCell ref="V35:W36"/>
    <mergeCell ref="R37:S38"/>
    <mergeCell ref="T37:U38"/>
    <mergeCell ref="V37:W38"/>
    <mergeCell ref="X39:Y40"/>
    <mergeCell ref="Z39:AA40"/>
    <mergeCell ref="AB39:AC40"/>
    <mergeCell ref="X41:Y42"/>
    <mergeCell ref="Z41:AA42"/>
    <mergeCell ref="AB41:AC42"/>
    <mergeCell ref="X35:Y36"/>
    <mergeCell ref="Z35:AA36"/>
    <mergeCell ref="AB35:AC36"/>
    <mergeCell ref="X37:Y38"/>
    <mergeCell ref="Z37:AA38"/>
    <mergeCell ref="AB37:AC38"/>
    <mergeCell ref="X31:Y32"/>
    <mergeCell ref="Z31:AA32"/>
    <mergeCell ref="AB31:AC32"/>
    <mergeCell ref="X33:Y34"/>
    <mergeCell ref="Z33:AA34"/>
    <mergeCell ref="AB33:AC34"/>
    <mergeCell ref="X27:Y28"/>
    <mergeCell ref="Z27:AA28"/>
    <mergeCell ref="AB27:AC28"/>
    <mergeCell ref="X29:Y30"/>
    <mergeCell ref="Z29:AA30"/>
    <mergeCell ref="AB29:AC30"/>
    <mergeCell ref="R31:S32"/>
    <mergeCell ref="T31:U32"/>
    <mergeCell ref="V31:W32"/>
    <mergeCell ref="R33:S34"/>
    <mergeCell ref="T33:U34"/>
    <mergeCell ref="V33:W34"/>
    <mergeCell ref="R27:S28"/>
    <mergeCell ref="T27:U28"/>
    <mergeCell ref="V27:W28"/>
    <mergeCell ref="R29:S30"/>
    <mergeCell ref="T29:U30"/>
    <mergeCell ref="V29:W30"/>
    <mergeCell ref="L31:M32"/>
    <mergeCell ref="N31:O32"/>
    <mergeCell ref="P31:Q32"/>
    <mergeCell ref="L33:M34"/>
    <mergeCell ref="N33:O34"/>
    <mergeCell ref="P33:Q34"/>
    <mergeCell ref="L27:M28"/>
    <mergeCell ref="N27:O28"/>
    <mergeCell ref="P27:Q28"/>
    <mergeCell ref="L29:M30"/>
    <mergeCell ref="N29:O30"/>
    <mergeCell ref="P29:Q30"/>
    <mergeCell ref="R23:S24"/>
    <mergeCell ref="T23:U24"/>
    <mergeCell ref="V23:W24"/>
    <mergeCell ref="R25:S26"/>
    <mergeCell ref="T25:U26"/>
    <mergeCell ref="V25:W26"/>
    <mergeCell ref="R19:S20"/>
    <mergeCell ref="T19:U20"/>
    <mergeCell ref="V19:W20"/>
    <mergeCell ref="R21:S22"/>
    <mergeCell ref="T21:U22"/>
    <mergeCell ref="V21:W22"/>
    <mergeCell ref="P23:Q24"/>
    <mergeCell ref="L25:M26"/>
    <mergeCell ref="N25:O26"/>
    <mergeCell ref="P25:Q26"/>
    <mergeCell ref="L19:M20"/>
    <mergeCell ref="N19:O20"/>
    <mergeCell ref="P19:Q20"/>
    <mergeCell ref="L21:M22"/>
    <mergeCell ref="N21:O22"/>
    <mergeCell ref="P21:Q22"/>
    <mergeCell ref="AJ47:AK48"/>
    <mergeCell ref="AL47:AM48"/>
    <mergeCell ref="AN47:AO48"/>
    <mergeCell ref="AJ49:AK50"/>
    <mergeCell ref="AL49:AM50"/>
    <mergeCell ref="AN49:AO50"/>
    <mergeCell ref="AJ43:AK44"/>
    <mergeCell ref="AL43:AM44"/>
    <mergeCell ref="AN43:AO44"/>
    <mergeCell ref="AJ45:AK46"/>
    <mergeCell ref="AL45:AM46"/>
    <mergeCell ref="AN45:AO46"/>
    <mergeCell ref="AJ39:AK40"/>
    <mergeCell ref="AL39:AM40"/>
    <mergeCell ref="AN39:AO40"/>
    <mergeCell ref="AJ41:AK42"/>
    <mergeCell ref="AL41:AM42"/>
    <mergeCell ref="AN41:AO42"/>
    <mergeCell ref="AJ35:AK36"/>
    <mergeCell ref="AL35:AM36"/>
    <mergeCell ref="AN35:AO36"/>
    <mergeCell ref="AJ37:AK38"/>
    <mergeCell ref="AL37:AM38"/>
    <mergeCell ref="AN37:AO38"/>
    <mergeCell ref="AJ31:AK32"/>
    <mergeCell ref="AL31:AM32"/>
    <mergeCell ref="AN31:AO32"/>
    <mergeCell ref="AJ33:AK34"/>
    <mergeCell ref="AL33:AM34"/>
    <mergeCell ref="AN33:AO34"/>
    <mergeCell ref="AJ27:AK28"/>
    <mergeCell ref="AL27:AM28"/>
    <mergeCell ref="AN27:AO28"/>
    <mergeCell ref="AJ29:AK30"/>
    <mergeCell ref="AL29:AM30"/>
    <mergeCell ref="AN29:AO30"/>
    <mergeCell ref="AJ23:AK24"/>
    <mergeCell ref="AL23:AM24"/>
    <mergeCell ref="AN23:AO24"/>
    <mergeCell ref="AJ25:AK26"/>
    <mergeCell ref="AL25:AM26"/>
    <mergeCell ref="AN25:AO26"/>
    <mergeCell ref="AJ19:AK20"/>
    <mergeCell ref="AL19:AM20"/>
    <mergeCell ref="AN19:AO20"/>
    <mergeCell ref="AJ21:AK22"/>
    <mergeCell ref="AL21:AM22"/>
    <mergeCell ref="AN21:AO22"/>
    <mergeCell ref="AJ15:AK16"/>
    <mergeCell ref="AL15:AM16"/>
    <mergeCell ref="AN15:AO16"/>
    <mergeCell ref="AJ17:AK18"/>
    <mergeCell ref="AL17:AM18"/>
    <mergeCell ref="AN17:AO18"/>
    <mergeCell ref="AJ11:AK12"/>
    <mergeCell ref="AL11:AM12"/>
    <mergeCell ref="AN11:AO12"/>
    <mergeCell ref="AJ13:AK14"/>
    <mergeCell ref="AL13:AM14"/>
    <mergeCell ref="AN13:AO14"/>
    <mergeCell ref="AD47:AE48"/>
    <mergeCell ref="AF47:AG48"/>
    <mergeCell ref="AH47:AI48"/>
    <mergeCell ref="AD49:AE50"/>
    <mergeCell ref="AF49:AG50"/>
    <mergeCell ref="AH49:AI50"/>
    <mergeCell ref="AD43:AE44"/>
    <mergeCell ref="AF43:AG44"/>
    <mergeCell ref="AH43:AI44"/>
    <mergeCell ref="AD45:AE46"/>
    <mergeCell ref="AF45:AG46"/>
    <mergeCell ref="AH45:AI46"/>
    <mergeCell ref="AD39:AE40"/>
    <mergeCell ref="AF39:AG40"/>
    <mergeCell ref="AH39:AI40"/>
    <mergeCell ref="AD41:AE42"/>
    <mergeCell ref="AF41:AG42"/>
    <mergeCell ref="AH41:AI42"/>
    <mergeCell ref="AD35:AE36"/>
    <mergeCell ref="AF35:AG36"/>
    <mergeCell ref="AH35:AI36"/>
    <mergeCell ref="AD37:AE38"/>
    <mergeCell ref="AF37:AG38"/>
    <mergeCell ref="AH37:AI38"/>
    <mergeCell ref="AD31:AE32"/>
    <mergeCell ref="AF31:AG32"/>
    <mergeCell ref="AH31:AI32"/>
    <mergeCell ref="AD33:AE34"/>
    <mergeCell ref="AF33:AG34"/>
    <mergeCell ref="AH33:AI34"/>
    <mergeCell ref="AD27:AE28"/>
    <mergeCell ref="AF27:AG28"/>
    <mergeCell ref="AH27:AI28"/>
    <mergeCell ref="AD29:AE30"/>
    <mergeCell ref="AF29:AG30"/>
    <mergeCell ref="AH29:AI30"/>
    <mergeCell ref="AD19:AE20"/>
    <mergeCell ref="AF19:AG20"/>
    <mergeCell ref="AH19:AI20"/>
    <mergeCell ref="AD21:AE22"/>
    <mergeCell ref="AF21:AG22"/>
    <mergeCell ref="AH21:AI22"/>
    <mergeCell ref="X25:Y26"/>
    <mergeCell ref="Z25:AA26"/>
    <mergeCell ref="AB25:AC26"/>
    <mergeCell ref="X19:Y20"/>
    <mergeCell ref="Z19:AA20"/>
    <mergeCell ref="AB19:AC20"/>
    <mergeCell ref="X21:Y22"/>
    <mergeCell ref="Z21:AA22"/>
    <mergeCell ref="AB21:AC22"/>
    <mergeCell ref="AD23:AE24"/>
    <mergeCell ref="AF23:AG24"/>
    <mergeCell ref="X23:Y24"/>
    <mergeCell ref="Z23:AA24"/>
    <mergeCell ref="AB23:AC24"/>
    <mergeCell ref="AH23:AI24"/>
    <mergeCell ref="AD25:AE26"/>
    <mergeCell ref="AF25:AG26"/>
    <mergeCell ref="AH25:AI26"/>
    <mergeCell ref="AD51:AI56"/>
    <mergeCell ref="AJ51:AO56"/>
    <mergeCell ref="R11:S12"/>
    <mergeCell ref="R17:S18"/>
    <mergeCell ref="N11:O12"/>
    <mergeCell ref="P11:Q12"/>
    <mergeCell ref="P13:Q14"/>
    <mergeCell ref="N13:O14"/>
    <mergeCell ref="L13:M14"/>
    <mergeCell ref="L15:M16"/>
    <mergeCell ref="R13:S14"/>
    <mergeCell ref="T13:U14"/>
    <mergeCell ref="V13:W14"/>
    <mergeCell ref="R15:S16"/>
    <mergeCell ref="T15:U16"/>
    <mergeCell ref="V15:W16"/>
    <mergeCell ref="L17:M18"/>
    <mergeCell ref="N15:O16"/>
    <mergeCell ref="N17:O18"/>
    <mergeCell ref="AH11:AI12"/>
    <mergeCell ref="AD13:AE14"/>
    <mergeCell ref="AF13:AG14"/>
    <mergeCell ref="AH13:AI14"/>
    <mergeCell ref="AD15:AE16"/>
    <mergeCell ref="L51:Q56"/>
    <mergeCell ref="R51:W56"/>
    <mergeCell ref="X51:AC56"/>
    <mergeCell ref="P15:Q16"/>
    <mergeCell ref="P17:Q18"/>
    <mergeCell ref="T17:U18"/>
    <mergeCell ref="V17:W18"/>
    <mergeCell ref="X11:Y12"/>
    <mergeCell ref="Z11:AA12"/>
    <mergeCell ref="AB11:AC12"/>
    <mergeCell ref="X13:Y14"/>
    <mergeCell ref="Z13:AA14"/>
    <mergeCell ref="AB13:AC14"/>
    <mergeCell ref="X15:Y16"/>
    <mergeCell ref="Z15:AA16"/>
    <mergeCell ref="T11:U12"/>
    <mergeCell ref="V11:W12"/>
    <mergeCell ref="L11:M12"/>
    <mergeCell ref="AB15:AC16"/>
    <mergeCell ref="X17:Y18"/>
    <mergeCell ref="Z17:AA18"/>
    <mergeCell ref="AB17:AC18"/>
    <mergeCell ref="L23:M24"/>
    <mergeCell ref="N23:O24"/>
    <mergeCell ref="AP2:AV2"/>
    <mergeCell ref="AP3:AV3"/>
    <mergeCell ref="AP4:AV4"/>
    <mergeCell ref="AP5:AV5"/>
    <mergeCell ref="L2:AO5"/>
    <mergeCell ref="D2:K5"/>
    <mergeCell ref="D11:F50"/>
    <mergeCell ref="AQ11:AV18"/>
    <mergeCell ref="AQ19:AV26"/>
    <mergeCell ref="AQ27:AV34"/>
    <mergeCell ref="AQ35:AV42"/>
    <mergeCell ref="G27:K34"/>
    <mergeCell ref="G43:K50"/>
    <mergeCell ref="L7:AO9"/>
    <mergeCell ref="G11:K18"/>
    <mergeCell ref="G19:K26"/>
    <mergeCell ref="G35:K42"/>
    <mergeCell ref="AF15:AG16"/>
    <mergeCell ref="AH15:AI16"/>
    <mergeCell ref="AD11:AE12"/>
    <mergeCell ref="AF11:AG12"/>
    <mergeCell ref="AD17:AE18"/>
    <mergeCell ref="AF17:AG18"/>
    <mergeCell ref="AH17:AI1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CN254"/>
  <sheetViews>
    <sheetView showGridLines="0" topLeftCell="BA1" zoomScale="60" zoomScaleNormal="60" workbookViewId="0">
      <pane ySplit="7" topLeftCell="A41" activePane="bottomLeft" state="frozen"/>
      <selection pane="bottomLeft" activeCell="BL52" sqref="BL52"/>
    </sheetView>
  </sheetViews>
  <sheetFormatPr baseColWidth="10" defaultColWidth="11.5" defaultRowHeight="15"/>
  <cols>
    <col min="3" max="19" width="5.6640625" customWidth="1"/>
    <col min="20" max="20" width="6.6640625" customWidth="1"/>
    <col min="21" max="23" width="5.6640625" customWidth="1"/>
    <col min="24" max="24" width="7.5" customWidth="1"/>
    <col min="25" max="25" width="8.5" customWidth="1"/>
    <col min="26" max="26" width="12" customWidth="1"/>
    <col min="27" max="27" width="5.6640625" customWidth="1"/>
    <col min="28" max="28" width="10.6640625" customWidth="1"/>
    <col min="29" max="29" width="5.6640625" customWidth="1"/>
    <col min="30" max="30" width="7.5" customWidth="1"/>
    <col min="31" max="31" width="8.5" customWidth="1"/>
    <col min="32" max="34" width="5.6640625" customWidth="1"/>
    <col min="35" max="35" width="8.5" customWidth="1"/>
    <col min="36" max="36" width="9.6640625" customWidth="1"/>
    <col min="37" max="40" width="5.6640625" customWidth="1"/>
    <col min="42" max="47" width="5.6640625" customWidth="1"/>
    <col min="51" max="51" width="11.5" customWidth="1"/>
    <col min="63" max="63" width="11.5" customWidth="1"/>
    <col min="64" max="69" width="35.6640625" customWidth="1"/>
  </cols>
  <sheetData>
    <row r="1" spans="1:92" ht="16" thickBot="1"/>
    <row r="2" spans="1:92">
      <c r="C2" s="420" t="s">
        <v>248</v>
      </c>
      <c r="D2" s="421"/>
      <c r="E2" s="421"/>
      <c r="F2" s="421"/>
      <c r="G2" s="421"/>
      <c r="H2" s="421"/>
      <c r="I2" s="421"/>
      <c r="J2" s="422"/>
      <c r="K2" s="411" t="s">
        <v>1</v>
      </c>
      <c r="L2" s="412"/>
      <c r="M2" s="412"/>
      <c r="N2" s="412"/>
      <c r="O2" s="412"/>
      <c r="P2" s="412"/>
      <c r="Q2" s="412"/>
      <c r="R2" s="412"/>
      <c r="S2" s="412"/>
      <c r="T2" s="412"/>
      <c r="U2" s="412"/>
      <c r="V2" s="412"/>
      <c r="W2" s="412"/>
      <c r="X2" s="412"/>
      <c r="Y2" s="412"/>
      <c r="Z2" s="412"/>
      <c r="AA2" s="412"/>
      <c r="AB2" s="412"/>
      <c r="AC2" s="412"/>
      <c r="AD2" s="412"/>
      <c r="AE2" s="412"/>
      <c r="AF2" s="412"/>
      <c r="AG2" s="412"/>
      <c r="AH2" s="412"/>
      <c r="AI2" s="412"/>
      <c r="AJ2" s="412"/>
      <c r="AK2" s="412"/>
      <c r="AL2" s="412"/>
      <c r="AM2" s="412"/>
      <c r="AN2" s="413"/>
      <c r="AO2" s="292" t="s">
        <v>8</v>
      </c>
      <c r="AP2" s="408"/>
      <c r="AQ2" s="408"/>
      <c r="AR2" s="408"/>
      <c r="AS2" s="408"/>
      <c r="AT2" s="408"/>
      <c r="AU2" s="266"/>
    </row>
    <row r="3" spans="1:92">
      <c r="C3" s="423"/>
      <c r="D3" s="424"/>
      <c r="E3" s="424"/>
      <c r="F3" s="424"/>
      <c r="G3" s="424"/>
      <c r="H3" s="424"/>
      <c r="I3" s="424"/>
      <c r="J3" s="425"/>
      <c r="K3" s="414"/>
      <c r="L3" s="415"/>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5"/>
      <c r="AL3" s="415"/>
      <c r="AM3" s="415"/>
      <c r="AN3" s="416"/>
      <c r="AO3" s="293" t="s">
        <v>3</v>
      </c>
      <c r="AP3" s="409"/>
      <c r="AQ3" s="409"/>
      <c r="AR3" s="409"/>
      <c r="AS3" s="409"/>
      <c r="AT3" s="409"/>
      <c r="AU3" s="268"/>
    </row>
    <row r="4" spans="1:92">
      <c r="C4" s="423"/>
      <c r="D4" s="424"/>
      <c r="E4" s="424"/>
      <c r="F4" s="424"/>
      <c r="G4" s="424"/>
      <c r="H4" s="424"/>
      <c r="I4" s="424"/>
      <c r="J4" s="425"/>
      <c r="K4" s="414"/>
      <c r="L4" s="415"/>
      <c r="M4" s="415"/>
      <c r="N4" s="415"/>
      <c r="O4" s="415"/>
      <c r="P4" s="415"/>
      <c r="Q4" s="415"/>
      <c r="R4" s="415"/>
      <c r="S4" s="415"/>
      <c r="T4" s="415"/>
      <c r="U4" s="415"/>
      <c r="V4" s="415"/>
      <c r="W4" s="415"/>
      <c r="X4" s="415"/>
      <c r="Y4" s="415"/>
      <c r="Z4" s="415"/>
      <c r="AA4" s="415"/>
      <c r="AB4" s="415"/>
      <c r="AC4" s="415"/>
      <c r="AD4" s="415"/>
      <c r="AE4" s="415"/>
      <c r="AF4" s="415"/>
      <c r="AG4" s="415"/>
      <c r="AH4" s="415"/>
      <c r="AI4" s="415"/>
      <c r="AJ4" s="415"/>
      <c r="AK4" s="415"/>
      <c r="AL4" s="415"/>
      <c r="AM4" s="415"/>
      <c r="AN4" s="416"/>
      <c r="AO4" s="293" t="s">
        <v>4</v>
      </c>
      <c r="AP4" s="409" t="s">
        <v>250</v>
      </c>
      <c r="AQ4" s="409"/>
      <c r="AR4" s="409"/>
      <c r="AS4" s="409"/>
      <c r="AT4" s="409"/>
      <c r="AU4" s="268"/>
    </row>
    <row r="5" spans="1:92" ht="16" thickBot="1">
      <c r="C5" s="426"/>
      <c r="D5" s="427"/>
      <c r="E5" s="427"/>
      <c r="F5" s="427"/>
      <c r="G5" s="427"/>
      <c r="H5" s="427"/>
      <c r="I5" s="427"/>
      <c r="J5" s="428"/>
      <c r="K5" s="417"/>
      <c r="L5" s="418"/>
      <c r="M5" s="418"/>
      <c r="N5" s="418"/>
      <c r="O5" s="418"/>
      <c r="P5" s="418"/>
      <c r="Q5" s="418"/>
      <c r="R5" s="418"/>
      <c r="S5" s="418"/>
      <c r="T5" s="418"/>
      <c r="U5" s="418"/>
      <c r="V5" s="418"/>
      <c r="W5" s="418"/>
      <c r="X5" s="418"/>
      <c r="Y5" s="418"/>
      <c r="Z5" s="418"/>
      <c r="AA5" s="418"/>
      <c r="AB5" s="418"/>
      <c r="AC5" s="418"/>
      <c r="AD5" s="418"/>
      <c r="AE5" s="418"/>
      <c r="AF5" s="418"/>
      <c r="AG5" s="418"/>
      <c r="AH5" s="418"/>
      <c r="AI5" s="418"/>
      <c r="AJ5" s="418"/>
      <c r="AK5" s="418"/>
      <c r="AL5" s="418"/>
      <c r="AM5" s="418"/>
      <c r="AN5" s="419"/>
      <c r="AO5" s="294" t="s">
        <v>5</v>
      </c>
      <c r="AP5" s="410" t="s">
        <v>5</v>
      </c>
      <c r="AQ5" s="410"/>
      <c r="AR5" s="410"/>
      <c r="AS5" s="410"/>
      <c r="AT5" s="410"/>
      <c r="AU5" s="270"/>
    </row>
    <row r="7" spans="1:92">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row>
    <row r="8" spans="1:92" ht="18" customHeight="1">
      <c r="A8" s="565" t="s">
        <v>9</v>
      </c>
      <c r="B8" s="565"/>
      <c r="C8" s="544" t="s">
        <v>267</v>
      </c>
      <c r="D8" s="545"/>
      <c r="E8" s="545"/>
      <c r="F8" s="545"/>
      <c r="G8" s="545"/>
      <c r="H8" s="545"/>
      <c r="I8" s="545"/>
      <c r="J8" s="545"/>
      <c r="K8" s="546" t="s">
        <v>56</v>
      </c>
      <c r="L8" s="546"/>
      <c r="M8" s="546"/>
      <c r="N8" s="546"/>
      <c r="O8" s="546"/>
      <c r="P8" s="546"/>
      <c r="Q8" s="546"/>
      <c r="R8" s="546"/>
      <c r="S8" s="546"/>
      <c r="T8" s="546"/>
      <c r="U8" s="546"/>
      <c r="V8" s="546"/>
      <c r="W8" s="546"/>
      <c r="X8" s="546"/>
      <c r="Y8" s="546"/>
      <c r="Z8" s="546"/>
      <c r="AA8" s="546"/>
      <c r="AB8" s="546"/>
      <c r="AC8" s="546"/>
      <c r="AD8" s="546"/>
      <c r="AE8" s="546"/>
      <c r="AF8" s="546"/>
      <c r="AG8" s="546"/>
      <c r="AH8" s="546"/>
      <c r="AI8" s="546"/>
      <c r="AJ8" s="546"/>
      <c r="AK8" s="546"/>
      <c r="AL8" s="546"/>
      <c r="AM8" s="546"/>
      <c r="AN8" s="546"/>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row>
    <row r="9" spans="1:92" ht="18.75" customHeight="1">
      <c r="B9" s="68"/>
      <c r="C9" s="545"/>
      <c r="D9" s="545"/>
      <c r="E9" s="545"/>
      <c r="F9" s="545"/>
      <c r="G9" s="545"/>
      <c r="H9" s="545"/>
      <c r="I9" s="545"/>
      <c r="J9" s="545"/>
      <c r="K9" s="546"/>
      <c r="L9" s="546"/>
      <c r="M9" s="546"/>
      <c r="N9" s="546"/>
      <c r="O9" s="546"/>
      <c r="P9" s="546"/>
      <c r="Q9" s="546"/>
      <c r="R9" s="546"/>
      <c r="S9" s="546"/>
      <c r="T9" s="546"/>
      <c r="U9" s="546"/>
      <c r="V9" s="546"/>
      <c r="W9" s="546"/>
      <c r="X9" s="546"/>
      <c r="Y9" s="546"/>
      <c r="Z9" s="546"/>
      <c r="AA9" s="546"/>
      <c r="AB9" s="546"/>
      <c r="AC9" s="546"/>
      <c r="AD9" s="546"/>
      <c r="AE9" s="546"/>
      <c r="AF9" s="546"/>
      <c r="AG9" s="546"/>
      <c r="AH9" s="546"/>
      <c r="AI9" s="546"/>
      <c r="AJ9" s="546"/>
      <c r="AK9" s="546"/>
      <c r="AL9" s="546"/>
      <c r="AM9" s="546"/>
      <c r="AN9" s="546"/>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row>
    <row r="10" spans="1:92" ht="15" customHeight="1">
      <c r="B10" s="68"/>
      <c r="C10" s="545"/>
      <c r="D10" s="545"/>
      <c r="E10" s="545"/>
      <c r="F10" s="545"/>
      <c r="G10" s="545"/>
      <c r="H10" s="545"/>
      <c r="I10" s="545"/>
      <c r="J10" s="545"/>
      <c r="K10" s="546"/>
      <c r="L10" s="546"/>
      <c r="M10" s="546"/>
      <c r="N10" s="546"/>
      <c r="O10" s="546"/>
      <c r="P10" s="546"/>
      <c r="Q10" s="546"/>
      <c r="R10" s="546"/>
      <c r="S10" s="546"/>
      <c r="T10" s="546"/>
      <c r="U10" s="546"/>
      <c r="V10" s="546"/>
      <c r="W10" s="546"/>
      <c r="X10" s="546"/>
      <c r="Y10" s="546"/>
      <c r="Z10" s="546"/>
      <c r="AA10" s="546"/>
      <c r="AB10" s="546"/>
      <c r="AC10" s="546"/>
      <c r="AD10" s="546"/>
      <c r="AE10" s="546"/>
      <c r="AF10" s="546"/>
      <c r="AG10" s="546"/>
      <c r="AH10" s="546"/>
      <c r="AI10" s="546"/>
      <c r="AJ10" s="546"/>
      <c r="AK10" s="546"/>
      <c r="AL10" s="546"/>
      <c r="AM10" s="546"/>
      <c r="AN10" s="546"/>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row>
    <row r="11" spans="1:92" ht="16" thickBot="1">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92" ht="15" customHeight="1">
      <c r="B12" s="68"/>
      <c r="C12" s="429" t="s">
        <v>252</v>
      </c>
      <c r="D12" s="429"/>
      <c r="E12" s="430"/>
      <c r="F12" s="516" t="s">
        <v>253</v>
      </c>
      <c r="G12" s="517"/>
      <c r="H12" s="517"/>
      <c r="I12" s="517"/>
      <c r="J12" s="517"/>
      <c r="K12" s="32"/>
      <c r="L12" s="33" t="str">
        <f>IF(AND('Mapa final'!$AH$16="Muy Alta",'Mapa final'!$AJ$16="Leve"),CONCATENATE("R2C",'Mapa final'!$R$15),"")</f>
        <v/>
      </c>
      <c r="M12" s="33" t="str">
        <f>IF(AND('Mapa final'!$AH$17="Muy Alta",'Mapa final'!$AJ$17="Leve"),CONCATENATE("R2C",'Mapa final'!$R$17),"")</f>
        <v/>
      </c>
      <c r="N12" s="33" t="e">
        <f>IF(AND('Mapa final'!#REF!="Muy Alta",'Mapa final'!#REF!="Leve"),CONCATENATE("R2C",'Mapa final'!#REF!),"")</f>
        <v>#REF!</v>
      </c>
      <c r="O12" s="33" t="e">
        <f>IF(AND('Mapa final'!#REF!="Muy Alta",'Mapa final'!#REF!="Leve"),CONCATENATE("R2C",'Mapa final'!#REF!),"")</f>
        <v>#REF!</v>
      </c>
      <c r="P12" s="34" t="e">
        <f>IF(AND('Mapa final'!#REF!="Muy Alta",'Mapa final'!#REF!="Leve"),CONCATENATE("R2C",'Mapa final'!#REF!),"")</f>
        <v>#REF!</v>
      </c>
      <c r="Q12" s="33"/>
      <c r="R12" s="33" t="str">
        <f>IF(AND('Mapa final'!$AH$16="Muy Alta",'Mapa final'!$AJ$16="Menore"),CONCATENATE("R2C",'Mapa final'!$R$15),"")</f>
        <v/>
      </c>
      <c r="S12" s="33" t="str">
        <f>IF(AND('Mapa final'!$AH$17="Muy Alta",'Mapa final'!$AJ$17="Menor"),CONCATENATE("R2C",'Mapa final'!$R$17),"")</f>
        <v/>
      </c>
      <c r="T12" s="33" t="e">
        <f>IF(AND('Mapa final'!#REF!="Muy Alta",'Mapa final'!#REF!="Menor"),CONCATENATE("R2C",'Mapa final'!#REF!),"")</f>
        <v>#REF!</v>
      </c>
      <c r="U12" s="33" t="e">
        <f>IF(AND('Mapa final'!#REF!="Muy Alta",'Mapa final'!#REF!="Menor"),CONCATENATE("R2C",'Mapa final'!#REF!),"")</f>
        <v>#REF!</v>
      </c>
      <c r="V12" s="34" t="e">
        <f>IF(AND('Mapa final'!#REF!="Muy Alta",'Mapa final'!#REF!="Menor"),CONCATENATE("R2C",'Mapa final'!#REF!),"")</f>
        <v>#REF!</v>
      </c>
      <c r="W12" s="32"/>
      <c r="X12" s="33" t="str">
        <f>IF(AND('Mapa final'!$AH$16="Muy Alta",'Mapa final'!$AJ$16="Moderado"),CONCATENATE("R2C",'Mapa final'!$R$15),"")</f>
        <v/>
      </c>
      <c r="Y12" s="33"/>
      <c r="Z12" s="33" t="e">
        <f>IF(AND('Mapa final'!#REF!="Muy Alta",'Mapa final'!#REF!="Moderado"),CONCATENATE("R2C",'Mapa final'!#REF!),"")</f>
        <v>#REF!</v>
      </c>
      <c r="AA12" s="33" t="e">
        <f>IF(AND('Mapa final'!#REF!="Muy Alta",'Mapa final'!#REF!="Moderado"),CONCATENATE("R2C",'Mapa final'!#REF!),"")</f>
        <v>#REF!</v>
      </c>
      <c r="AB12" s="34" t="e">
        <f>IF(AND('Mapa final'!#REF!="Muy Alta",'Mapa final'!#REF!="Moderado"),CONCATENATE("R2C",'Mapa final'!#REF!),"")</f>
        <v>#REF!</v>
      </c>
      <c r="AC12" s="32"/>
      <c r="AD12" s="33" t="str">
        <f>IF(AND('Mapa final'!$AH$16="Muy Alta",'Mapa final'!$AJ$16="Mayor"),CONCATENATE("R2C",'Mapa final'!$R$15),"")</f>
        <v/>
      </c>
      <c r="AE12" s="33" t="str">
        <f>IF(AND('Mapa final'!$AH$17="Muy Alta",'Mapa final'!$AJ$17="Mayor"),CONCATENATE("R2C",'Mapa final'!$R$17),"")</f>
        <v/>
      </c>
      <c r="AF12" s="33" t="e">
        <f>IF(AND('Mapa final'!#REF!="Muy Alta",'Mapa final'!#REF!="Mayor"),CONCATENATE("R2C",'Mapa final'!#REF!),"")</f>
        <v>#REF!</v>
      </c>
      <c r="AG12" s="33" t="e">
        <f>IF(AND('Mapa final'!#REF!="Muy Alta",'Mapa final'!#REF!="Mayor"),CONCATENATE("R2C",'Mapa final'!#REF!),"")</f>
        <v>#REF!</v>
      </c>
      <c r="AH12" s="34" t="e">
        <f>IF(AND('Mapa final'!#REF!="Muy Alta",'Mapa final'!#REF!="Mayor"),CONCATENATE("R2C",'Mapa final'!#REF!),"")</f>
        <v>#REF!</v>
      </c>
      <c r="AI12" s="35"/>
      <c r="AJ12" s="36" t="str">
        <f>IF(AND('Mapa final'!$AH$16="Muy Alta",'Mapa final'!$AJ$16="Catastrófico"),CONCATENATE("R2C",'Mapa final'!$R$15),"")</f>
        <v/>
      </c>
      <c r="AK12" s="36" t="str">
        <f>IF(AND('Mapa final'!$AH$17="Muy Alta",'Mapa final'!$AJ$17="Catastrófico"),CONCATENATE("R2C",'Mapa final'!$R$17),"")</f>
        <v/>
      </c>
      <c r="AL12" s="36" t="e">
        <f>IF(AND('Mapa final'!#REF!="Muy Alta",'Mapa final'!#REF!="Catastrófico"),CONCATENATE("R2C",'Mapa final'!#REF!),"")</f>
        <v>#REF!</v>
      </c>
      <c r="AM12" s="36" t="e">
        <f>IF(AND('Mapa final'!#REF!="Muy Alta",'Mapa final'!#REF!="Catastrófico"),CONCATENATE("R2C",'Mapa final'!#REF!),"")</f>
        <v>#REF!</v>
      </c>
      <c r="AN12" s="37" t="e">
        <f>IF(AND('Mapa final'!#REF!="Muy Alta",'Mapa final'!#REF!="Catastrófico"),CONCATENATE("R2C",'Mapa final'!#REF!),"")</f>
        <v>#REF!</v>
      </c>
      <c r="AO12" s="68"/>
      <c r="AP12" s="535" t="s">
        <v>254</v>
      </c>
      <c r="AQ12" s="536"/>
      <c r="AR12" s="536"/>
      <c r="AS12" s="536"/>
      <c r="AT12" s="536"/>
      <c r="AU12" s="537"/>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row>
    <row r="13" spans="1:92" ht="15" customHeight="1">
      <c r="B13" s="68"/>
      <c r="C13" s="429"/>
      <c r="D13" s="429"/>
      <c r="E13" s="430"/>
      <c r="F13" s="519"/>
      <c r="G13" s="520"/>
      <c r="H13" s="520"/>
      <c r="I13" s="520"/>
      <c r="J13" s="520"/>
      <c r="K13" s="38" t="e">
        <f>IF(AND('Mapa final'!#REF!="Muy Alta",'Mapa final'!#REF!="Leve"),CONCATENATE("R2C",'Mapa final'!#REF!),"")</f>
        <v>#REF!</v>
      </c>
      <c r="L13" s="39" t="e">
        <f>IF(AND('Mapa final'!#REF!="Muy Alta",'Mapa final'!#REF!="Leve"),CONCATENATE("R2C",'Mapa final'!#REF!),"")</f>
        <v>#REF!</v>
      </c>
      <c r="M13" s="39" t="str">
        <f>IF(AND('Mapa final'!$AH$21="Muy Alta",'Mapa final'!$AJ$21="Leve"),CONCATENATE("R2C",'Mapa final'!$R$21),"")</f>
        <v/>
      </c>
      <c r="N13" s="39" t="str">
        <f>IF(AND('Mapa final'!$AH$22="Muy Alta",'Mapa final'!$AJ$22="Leve"),CONCATENATE("R2C",'Mapa final'!$R$22),"")</f>
        <v/>
      </c>
      <c r="O13" s="39" t="str">
        <f>IF(AND('Mapa final'!$AH$23="Muy Alta",'Mapa final'!$AJ$23="Leve"),CONCATENATE("R2C",'Mapa final'!$R$23),"")</f>
        <v/>
      </c>
      <c r="P13" s="40" t="str">
        <f>IF(AND('Mapa final'!$AH$24="Muy Alta",'Mapa final'!$AJ$24="Leve"),CONCATENATE("R2C",'Mapa final'!$R$24),"")</f>
        <v/>
      </c>
      <c r="Q13" s="39" t="e">
        <f>IF(AND('Mapa final'!#REF!="Muy Alta",'Mapa final'!#REF!="Menor"),CONCATENATE("R2C",'Mapa final'!#REF!),"")</f>
        <v>#REF!</v>
      </c>
      <c r="R13" s="39" t="e">
        <f>IF(AND('Mapa final'!#REF!="Muy Alta",'Mapa final'!#REF!="Menor"),CONCATENATE("R2C",'Mapa final'!#REF!),"")</f>
        <v>#REF!</v>
      </c>
      <c r="S13" s="39" t="str">
        <f>IF(AND('Mapa final'!$AH$21="Muy Alta",'Mapa final'!$AJ$21="Menor"),CONCATENATE("R2C",'Mapa final'!$R$21),"")</f>
        <v/>
      </c>
      <c r="T13" s="39" t="str">
        <f>IF(AND('Mapa final'!$AH$22="Muy Alta",'Mapa final'!$AJ$22="Menor"),CONCATENATE("R2C",'Mapa final'!$R$22),"")</f>
        <v/>
      </c>
      <c r="U13" s="39" t="str">
        <f>IF(AND('Mapa final'!$AH$23="Muy Alta",'Mapa final'!$AJ$23="Menor"),CONCATENATE("R2C",'Mapa final'!$R$23),"")</f>
        <v/>
      </c>
      <c r="V13" s="40" t="str">
        <f>IF(AND('Mapa final'!$AH$24="Muy Alta",'Mapa final'!$AJ$24="Menor"),CONCATENATE("R2C",'Mapa final'!$R$24),"")</f>
        <v/>
      </c>
      <c r="W13" s="38" t="e">
        <f>IF(AND('Mapa final'!#REF!="Muy Alta",'Mapa final'!#REF!="Moderado"),CONCATENATE("R2C",'Mapa final'!#REF!),"")</f>
        <v>#REF!</v>
      </c>
      <c r="X13" s="39" t="e">
        <f>IF(AND('Mapa final'!#REF!="Muy Alta",'Mapa final'!#REF!="Moderado"),CONCATENATE("R2C",'Mapa final'!#REF!),"")</f>
        <v>#REF!</v>
      </c>
      <c r="Y13" s="39" t="str">
        <f>IF(AND('Mapa final'!$AH$21="Muy Alta",'Mapa final'!$AJ$21="Moderado"),CONCATENATE("R2C",'Mapa final'!$R$21),"")</f>
        <v/>
      </c>
      <c r="Z13" s="39" t="str">
        <f>IF(AND('Mapa final'!$AH$22="Muy Alta",'Mapa final'!$AJ$22="Moderado"),CONCATENATE("R2C",'Mapa final'!$R$22),"")</f>
        <v/>
      </c>
      <c r="AA13" s="39" t="str">
        <f>IF(AND('Mapa final'!$AH$23="Muy Alta",'Mapa final'!$AJ$23="Moderado"),CONCATENATE("R2C",'Mapa final'!$R$23),"")</f>
        <v/>
      </c>
      <c r="AB13" s="40" t="str">
        <f>IF(AND('Mapa final'!$AH$24="Muy Alta",'Mapa final'!$AJ$24="Moderado"),CONCATENATE("R2C",'Mapa final'!$R$24),"")</f>
        <v/>
      </c>
      <c r="AC13" s="38" t="e">
        <f>IF(AND('Mapa final'!#REF!="Muy Alta",'Mapa final'!#REF!="Mayor"),CONCATENATE("R2C",'Mapa final'!#REF!),"")</f>
        <v>#REF!</v>
      </c>
      <c r="AD13" s="39" t="e">
        <f>IF(AND('Mapa final'!#REF!="Muy Alta",'Mapa final'!#REF!="Mayor"),CONCATENATE("R2C",'Mapa final'!#REF!),"")</f>
        <v>#REF!</v>
      </c>
      <c r="AE13" s="39" t="str">
        <f>IF(AND('Mapa final'!$AH$21="Muy Alta",'Mapa final'!$AJ$21="Mayor"),CONCATENATE("R2C",'Mapa final'!$R$21),"")</f>
        <v/>
      </c>
      <c r="AF13" s="39" t="str">
        <f>IF(AND('Mapa final'!$AH$22="Muy Alta",'Mapa final'!$AJ$22="Mayor"),CONCATENATE("R2C",'Mapa final'!$R$22),"")</f>
        <v/>
      </c>
      <c r="AG13" s="39" t="str">
        <f>IF(AND('Mapa final'!$AH$23="Muy Alta",'Mapa final'!$AJ$23="Mayor"),CONCATENATE("R2C",'Mapa final'!$R$23),"")</f>
        <v/>
      </c>
      <c r="AH13" s="40" t="str">
        <f>IF(AND('Mapa final'!$AH$24="Muy Alta",'Mapa final'!$AJ$24="Mayor"),CONCATENATE("R2C",'Mapa final'!$R$24),"")</f>
        <v/>
      </c>
      <c r="AI13" s="41" t="e">
        <f>IF(AND('Mapa final'!#REF!="Muy Alta",'Mapa final'!#REF!="Catastrófico"),CONCATENATE("R2C",'Mapa final'!#REF!),"")</f>
        <v>#REF!</v>
      </c>
      <c r="AJ13" s="42" t="e">
        <f>IF(AND('Mapa final'!#REF!="Muy Alta",'Mapa final'!#REF!="Catastrófico"),CONCATENATE("R2C",'Mapa final'!#REF!),"")</f>
        <v>#REF!</v>
      </c>
      <c r="AK13" s="42" t="str">
        <f>IF(AND('Mapa final'!$AH$21="Muy Alta",'Mapa final'!$AJ$21="Catastrófico"),CONCATENATE("R2C",'Mapa final'!$R$21),"")</f>
        <v/>
      </c>
      <c r="AL13" s="42" t="str">
        <f>IF(AND('Mapa final'!$AH$22="Muy Alta",'Mapa final'!$AJ$22="Catastrófico"),CONCATENATE("R2C",'Mapa final'!$R$22),"")</f>
        <v/>
      </c>
      <c r="AM13" s="42" t="str">
        <f>IF(AND('Mapa final'!$AH$23="Muy Alta",'Mapa final'!$AJ$23="Catastrófico"),CONCATENATE("R2C",'Mapa final'!$R$23),"")</f>
        <v/>
      </c>
      <c r="AN13" s="43" t="str">
        <f>IF(AND('Mapa final'!$AH$24="Muy Alta",'Mapa final'!$AJ$24="Catastrófico"),CONCATENATE("R2C",'Mapa final'!$R$24),"")</f>
        <v/>
      </c>
      <c r="AO13" s="68"/>
      <c r="AP13" s="538"/>
      <c r="AQ13" s="539"/>
      <c r="AR13" s="539"/>
      <c r="AS13" s="539"/>
      <c r="AT13" s="539"/>
      <c r="AU13" s="540"/>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row>
    <row r="14" spans="1:92" ht="15" customHeight="1">
      <c r="B14" s="68"/>
      <c r="C14" s="429"/>
      <c r="D14" s="429"/>
      <c r="E14" s="430"/>
      <c r="F14" s="519"/>
      <c r="G14" s="520"/>
      <c r="H14" s="520"/>
      <c r="I14" s="520"/>
      <c r="J14" s="520"/>
      <c r="K14" s="38" t="str">
        <f>IF(AND('Mapa final'!$AH$25="Muy Alta",'Mapa final'!$AJ$25="Leve"),CONCATENATE("R2C",'Mapa final'!$R$25),"")</f>
        <v/>
      </c>
      <c r="L14" s="39" t="str">
        <f>IF(AND('Mapa final'!$AH$26="Muy Alta",'Mapa final'!$AJ$26="Leve"),CONCATENATE("R2C",'Mapa final'!$R$26),"")</f>
        <v/>
      </c>
      <c r="M14" s="39" t="str">
        <f>IF(AND('Mapa final'!$AH$27="Muy Alta",'Mapa final'!$AJ$27="Leve"),CONCATENATE("R2C",'Mapa final'!$R$27),"")</f>
        <v/>
      </c>
      <c r="N14" s="39" t="str">
        <f>IF(AND('Mapa final'!$AH$28="Muy Alta",'Mapa final'!$AJ$28="Leve"),CONCATENATE("R2C",'Mapa final'!$R$28),"")</f>
        <v/>
      </c>
      <c r="O14" s="39" t="str">
        <f>IF(AND('Mapa final'!$AH$29="Muy Alta",'Mapa final'!$AJ$29="Leve"),CONCATENATE("R2C",'Mapa final'!$R$29),"")</f>
        <v/>
      </c>
      <c r="P14" s="40" t="str">
        <f>IF(AND('Mapa final'!$AH$30="Muy Alta",'Mapa final'!$AJ$30="Leve"),CONCATENATE("R2C",'Mapa final'!$R$30),"")</f>
        <v/>
      </c>
      <c r="Q14" s="39" t="str">
        <f>IF(AND('Mapa final'!$AH$25="Muy Alta",'Mapa final'!$AJ$25="Menor"),CONCATENATE("R2C",'Mapa final'!$R$25),"")</f>
        <v/>
      </c>
      <c r="R14" s="39" t="str">
        <f>IF(AND('Mapa final'!$AH$26="Muy Alta",'Mapa final'!$AJ$26="Menor"),CONCATENATE("R2C",'Mapa final'!$R$26),"")</f>
        <v/>
      </c>
      <c r="S14" s="39" t="str">
        <f>IF(AND('Mapa final'!$AH$27="Muy Alta",'Mapa final'!$AJ$27="Menor"),CONCATENATE("R2C",'Mapa final'!$R$27),"")</f>
        <v/>
      </c>
      <c r="T14" s="39" t="str">
        <f>IF(AND('Mapa final'!$AH$28="Muy Alta",'Mapa final'!$AJ$28="Menor"),CONCATENATE("R2C",'Mapa final'!$R$28),"")</f>
        <v/>
      </c>
      <c r="U14" s="39" t="str">
        <f>IF(AND('Mapa final'!$AH$29="Muy Alta",'Mapa final'!$AJ$29="Menor"),CONCATENATE("R2C",'Mapa final'!$R$29),"")</f>
        <v/>
      </c>
      <c r="V14" s="40" t="str">
        <f>IF(AND('Mapa final'!$AH$30="Muy Alta",'Mapa final'!$AJ$30="Menor"),CONCATENATE("R2C",'Mapa final'!$R$30),"")</f>
        <v/>
      </c>
      <c r="W14" s="38" t="str">
        <f>IF(AND('Mapa final'!$AH$25="Muy Alta",'Mapa final'!$AJ$25="Moderado"),CONCATENATE("R2C",'Mapa final'!$R$25),"")</f>
        <v/>
      </c>
      <c r="X14" s="39" t="str">
        <f>IF(AND('Mapa final'!$AH$26="Muy Alta",'Mapa final'!$AJ$26="Moderado"),CONCATENATE("R2C",'Mapa final'!$R$26),"")</f>
        <v/>
      </c>
      <c r="Y14" s="39" t="str">
        <f>IF(AND('Mapa final'!$AH$27="Muy Alta",'Mapa final'!$AJ$27="Moderado"),CONCATENATE("R2C",'Mapa final'!$R$27),"")</f>
        <v/>
      </c>
      <c r="Z14" s="39" t="str">
        <f>IF(AND('Mapa final'!$AH$28="Muy Alta",'Mapa final'!$AJ$28="Moderado"),CONCATENATE("R2C",'Mapa final'!$R$28),"")</f>
        <v/>
      </c>
      <c r="AA14" s="39" t="str">
        <f>IF(AND('Mapa final'!$AH$29="Muy Alta",'Mapa final'!$AJ$29="Moderado"),CONCATENATE("R2C",'Mapa final'!$R$29),"")</f>
        <v/>
      </c>
      <c r="AB14" s="40" t="str">
        <f>IF(AND('Mapa final'!$AH$30="Muy Alta",'Mapa final'!$AJ$30="Moderado"),CONCATENATE("R2C",'Mapa final'!$R$30),"")</f>
        <v/>
      </c>
      <c r="AC14" s="38" t="str">
        <f>IF(AND('Mapa final'!$AH$25="Muy Alta",'Mapa final'!$AJ$25="Mayor"),CONCATENATE("R2C",'Mapa final'!$R$25),"")</f>
        <v/>
      </c>
      <c r="AD14" s="39" t="str">
        <f>IF(AND('Mapa final'!$AH$26="Muy Alta",'Mapa final'!$AJ$26="Mayor"),CONCATENATE("R2C",'Mapa final'!$R$26),"")</f>
        <v/>
      </c>
      <c r="AE14" s="39" t="str">
        <f>IF(AND('Mapa final'!$AH$27="Muy Alta",'Mapa final'!$AJ$27="Mayor"),CONCATENATE("R2C",'Mapa final'!$R$27),"")</f>
        <v/>
      </c>
      <c r="AF14" s="39" t="str">
        <f>IF(AND('Mapa final'!$AH$28="Muy Alta",'Mapa final'!$AJ$28="Mayor"),CONCATENATE("R2C",'Mapa final'!$R$28),"")</f>
        <v/>
      </c>
      <c r="AG14" s="39" t="str">
        <f>IF(AND('Mapa final'!$AH$29="Muy Alta",'Mapa final'!$AJ$29="Mayor"),CONCATENATE("R2C",'Mapa final'!$R$29),"")</f>
        <v/>
      </c>
      <c r="AH14" s="40" t="str">
        <f>IF(AND('Mapa final'!$AH$30="Muy Alta",'Mapa final'!$AJ$30="Mayor"),CONCATENATE("R2C",'Mapa final'!$R$30),"")</f>
        <v/>
      </c>
      <c r="AI14" s="41" t="str">
        <f>IF(AND('Mapa final'!$AH$25="Muy Alta",'Mapa final'!$AJ$25="Catastrófico"),CONCATENATE("R2C",'Mapa final'!$R$25),"")</f>
        <v/>
      </c>
      <c r="AJ14" s="42" t="str">
        <f>IF(AND('Mapa final'!$AH$26="Muy Alta",'Mapa final'!$AJ$26="Catastrófico"),CONCATENATE("R2C",'Mapa final'!$R$26),"")</f>
        <v/>
      </c>
      <c r="AK14" s="42" t="str">
        <f>IF(AND('Mapa final'!$AH$27="Muy Alta",'Mapa final'!$AJ$27="Catastrófico"),CONCATENATE("R2C",'Mapa final'!$R$27),"")</f>
        <v/>
      </c>
      <c r="AL14" s="42" t="str">
        <f>IF(AND('Mapa final'!$AH$28="Muy Alta",'Mapa final'!$AJ$28="Catastrófico"),CONCATENATE("R2C",'Mapa final'!$R$28),"")</f>
        <v/>
      </c>
      <c r="AM14" s="42" t="str">
        <f>IF(AND('Mapa final'!$AH$29="Muy Alta",'Mapa final'!$AJ$29="Catastrófico"),CONCATENATE("R2C",'Mapa final'!$R$29),"")</f>
        <v/>
      </c>
      <c r="AN14" s="43" t="str">
        <f>IF(AND('Mapa final'!$AH$30="Muy Alta",'Mapa final'!$AJ$30="Catastrófico"),CONCATENATE("R2C",'Mapa final'!$R$30),"")</f>
        <v/>
      </c>
      <c r="AO14" s="68"/>
      <c r="AP14" s="538"/>
      <c r="AQ14" s="539"/>
      <c r="AR14" s="539"/>
      <c r="AS14" s="539"/>
      <c r="AT14" s="539"/>
      <c r="AU14" s="540"/>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row>
    <row r="15" spans="1:92" ht="15" customHeight="1">
      <c r="B15" s="68"/>
      <c r="C15" s="429"/>
      <c r="D15" s="429"/>
      <c r="E15" s="430"/>
      <c r="F15" s="519"/>
      <c r="G15" s="520"/>
      <c r="H15" s="520"/>
      <c r="I15" s="520"/>
      <c r="J15" s="520"/>
      <c r="K15" s="38" t="str">
        <f>IF(AND('Mapa final'!$AH$31="Muy Alta",'Mapa final'!$AJ$31="Leve"),CONCATENATE("R2C",'Mapa final'!$R$31),"")</f>
        <v/>
      </c>
      <c r="L15" s="39" t="str">
        <f>IF(AND('Mapa final'!$AH$32="Muy Alta",'Mapa final'!$AJ$32="Leve"),CONCATENATE("R2C",'Mapa final'!$R$32),"")</f>
        <v/>
      </c>
      <c r="M15" s="39" t="str">
        <f>IF(AND('Mapa final'!$AH$33="Muy Alta",'Mapa final'!$AJ$33="Leve"),CONCATENATE("R2C",'Mapa final'!$R$33),"")</f>
        <v/>
      </c>
      <c r="N15" s="39" t="str">
        <f>IF(AND('Mapa final'!$AH$34="Muy Alta",'Mapa final'!$AJ$34="Leve"),CONCATENATE("R2C",'Mapa final'!$R$34),"")</f>
        <v/>
      </c>
      <c r="O15" s="39" t="str">
        <f>IF(AND('Mapa final'!$AH$35="Muy Alta",'Mapa final'!$AJ$35="Leve"),CONCATENATE("R2C",'Mapa final'!$R$35),"")</f>
        <v/>
      </c>
      <c r="P15" s="40" t="str">
        <f>IF(AND('Mapa final'!$AH$36="Muy Alta",'Mapa final'!$AJ$36="Leve"),CONCATENATE("R2C",'Mapa final'!$R$36),"")</f>
        <v/>
      </c>
      <c r="Q15" s="39" t="str">
        <f>IF(AND('Mapa final'!$AH$31="Muy Alta",'Mapa final'!$AJ$31="Menor"),CONCATENATE("R2C",'Mapa final'!$R$31),"")</f>
        <v/>
      </c>
      <c r="R15" s="39" t="str">
        <f>IF(AND('Mapa final'!$AH$32="Muy Alta",'Mapa final'!$AJ$32="Menor"),CONCATENATE("R2C",'Mapa final'!$R$32),"")</f>
        <v/>
      </c>
      <c r="S15" s="39" t="str">
        <f>IF(AND('Mapa final'!$AH$33="Muy Alta",'Mapa final'!$AJ$33="Menor"),CONCATENATE("R2C",'Mapa final'!$R$33),"")</f>
        <v/>
      </c>
      <c r="T15" s="39" t="str">
        <f>IF(AND('Mapa final'!$AH$34="Muy Alta",'Mapa final'!$AJ$34="Menor"),CONCATENATE("R2C",'Mapa final'!$R$34),"")</f>
        <v/>
      </c>
      <c r="U15" s="39" t="str">
        <f>IF(AND('Mapa final'!$AH$35="Muy Alta",'Mapa final'!$AJ$35="LMenor"),CONCATENATE("R2C",'Mapa final'!$R$35),"")</f>
        <v/>
      </c>
      <c r="V15" s="40" t="str">
        <f>IF(AND('Mapa final'!$AH$36="Muy Alta",'Mapa final'!$AJ$36="Menor"),CONCATENATE("R2C",'Mapa final'!$R$36),"")</f>
        <v/>
      </c>
      <c r="W15" s="38" t="str">
        <f>IF(AND('Mapa final'!$AH$31="Muy Alta",'Mapa final'!$AJ$31="Moderado"),CONCATENATE("R2C",'Mapa final'!$R$31),"")</f>
        <v/>
      </c>
      <c r="X15" s="39" t="str">
        <f>IF(AND('Mapa final'!$AH$32="Muy Alta",'Mapa final'!$AJ$32="Moderado"),CONCATENATE("R2C",'Mapa final'!$R$32),"")</f>
        <v/>
      </c>
      <c r="Y15" s="39" t="str">
        <f>IF(AND('Mapa final'!$AH$33="Muy Alta",'Mapa final'!$AJ$33="Moderado"),CONCATENATE("R2C",'Mapa final'!$R$33),"")</f>
        <v/>
      </c>
      <c r="Z15" s="39" t="str">
        <f>IF(AND('Mapa final'!$AH$34="Muy Alta",'Mapa final'!$AJ$34="Moderado"),CONCATENATE("R2C",'Mapa final'!$R$34),"")</f>
        <v/>
      </c>
      <c r="AA15" s="39" t="str">
        <f>IF(AND('Mapa final'!$AH$35="Muy Alta",'Mapa final'!$AJ$35="Moderado"),CONCATENATE("R2C",'Mapa final'!$R$35),"")</f>
        <v/>
      </c>
      <c r="AB15" s="40" t="str">
        <f>IF(AND('Mapa final'!$AH$36="Muy Alta",'Mapa final'!$AJ$36="Moderado"),CONCATENATE("R2C",'Mapa final'!$R$36),"")</f>
        <v/>
      </c>
      <c r="AC15" s="38" t="str">
        <f>IF(AND('Mapa final'!$AH$31="Muy Alta",'Mapa final'!$AJ$31="Mayor"),CONCATENATE("R2C",'Mapa final'!$R$31),"")</f>
        <v/>
      </c>
      <c r="AD15" s="39" t="str">
        <f>IF(AND('Mapa final'!$AH$32="Muy Alta",'Mapa final'!$AJ$32="Mayor"),CONCATENATE("R2C",'Mapa final'!$R$32),"")</f>
        <v/>
      </c>
      <c r="AE15" s="39" t="str">
        <f>IF(AND('Mapa final'!$AH$33="Muy Alta",'Mapa final'!$AJ$33="Mayor"),CONCATENATE("R2C",'Mapa final'!$R$33),"")</f>
        <v/>
      </c>
      <c r="AF15" s="39" t="str">
        <f>IF(AND('Mapa final'!$AH$34="Muy Alta",'Mapa final'!$AJ$34="Mayor"),CONCATENATE("R2C",'Mapa final'!$R$34),"")</f>
        <v/>
      </c>
      <c r="AG15" s="39" t="str">
        <f>IF(AND('Mapa final'!$AH$35="Muy Alta",'Mapa final'!$AJ$35="Mayor"),CONCATENATE("R2C",'Mapa final'!$R$35),"")</f>
        <v/>
      </c>
      <c r="AH15" s="40" t="str">
        <f>IF(AND('Mapa final'!$AH$36="Muy Alta",'Mapa final'!$AJ$36="Mayor"),CONCATENATE("R2C",'Mapa final'!$R$36),"")</f>
        <v/>
      </c>
      <c r="AI15" s="41" t="str">
        <f>IF(AND('Mapa final'!$AH$31="Muy Alta",'Mapa final'!$AJ$31="Catastrófico"),CONCATENATE("R2C",'Mapa final'!$R$31),"")</f>
        <v/>
      </c>
      <c r="AJ15" s="42" t="str">
        <f>IF(AND('Mapa final'!$AH$32="Muy Alta",'Mapa final'!$AJ$32="Catastrófico"),CONCATENATE("R2C",'Mapa final'!$R$32),"")</f>
        <v/>
      </c>
      <c r="AK15" s="42" t="str">
        <f>IF(AND('Mapa final'!$AH$33="Muy Alta",'Mapa final'!$AJ$33="Catastrófico"),CONCATENATE("R2C",'Mapa final'!$R$33),"")</f>
        <v/>
      </c>
      <c r="AL15" s="42" t="str">
        <f>IF(AND('Mapa final'!$AH$34="Muy Alta",'Mapa final'!$AJ$34="Catastrófico"),CONCATENATE("R2C",'Mapa final'!$R$34),"")</f>
        <v/>
      </c>
      <c r="AM15" s="42" t="str">
        <f>IF(AND('Mapa final'!$AH$35="Muy Alta",'Mapa final'!$AJ$35="LCatastrófico"),CONCATENATE("R2C",'Mapa final'!$R$35),"")</f>
        <v/>
      </c>
      <c r="AN15" s="43" t="str">
        <f>IF(AND('Mapa final'!$AH$36="Muy Alta",'Mapa final'!$AJ$36="Catastrófico"),CONCATENATE("R2C",'Mapa final'!$R$36),"")</f>
        <v/>
      </c>
      <c r="AO15" s="68"/>
      <c r="AP15" s="538"/>
      <c r="AQ15" s="539"/>
      <c r="AR15" s="539"/>
      <c r="AS15" s="539"/>
      <c r="AT15" s="539"/>
      <c r="AU15" s="540"/>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row>
    <row r="16" spans="1:92" ht="15" customHeight="1">
      <c r="B16" s="68"/>
      <c r="C16" s="429"/>
      <c r="D16" s="429"/>
      <c r="E16" s="430"/>
      <c r="F16" s="519"/>
      <c r="G16" s="520"/>
      <c r="H16" s="520"/>
      <c r="I16" s="520"/>
      <c r="J16" s="520"/>
      <c r="K16" s="38" t="str">
        <f>IF(AND('Mapa final'!$AH$37="Muy Alta",'Mapa final'!$AJ$37="Leve"),CONCATENATE("R2C",'Mapa final'!$R$37),"")</f>
        <v/>
      </c>
      <c r="L16" s="39" t="str">
        <f>IF(AND('Mapa final'!$AH$38="Muy Alta",'Mapa final'!$AJ$38="Leve"),CONCATENATE("R2C",'Mapa final'!$R$38),"")</f>
        <v/>
      </c>
      <c r="M16" s="39" t="str">
        <f>IF(AND('Mapa final'!$AH$39="Muy Alta",'Mapa final'!$AJ$39="Leve"),CONCATENATE("R2C",'Mapa final'!$R$39),"")</f>
        <v/>
      </c>
      <c r="N16" s="39" t="str">
        <f>IF(AND('Mapa final'!$AH$40="Muy Alta",'Mapa final'!$AJ$40="Leve"),CONCATENATE("R2C",'Mapa final'!$R$40),"")</f>
        <v/>
      </c>
      <c r="O16" s="39" t="str">
        <f>IF(AND('Mapa final'!$AH$41="Muy Alta",'Mapa final'!$AJ$41="Leve"),CONCATENATE("R2C",'Mapa final'!$R$41),"")</f>
        <v/>
      </c>
      <c r="P16" s="40" t="str">
        <f>IF(AND('Mapa final'!$AH$42="Muy Alta",'Mapa final'!$AJ$42="Leve"),CONCATENATE("R2C",'Mapa final'!$R$42),"")</f>
        <v/>
      </c>
      <c r="Q16" s="39" t="str">
        <f>IF(AND('Mapa final'!$AH$37="Muy Alta",'Mapa final'!$AJ$37="Menor"),CONCATENATE("R2C",'Mapa final'!$R$37),"")</f>
        <v/>
      </c>
      <c r="R16" s="39" t="str">
        <f>IF(AND('Mapa final'!$AH$38="Muy Alta",'Mapa final'!$AJ$38="Menor"),CONCATENATE("R2C",'Mapa final'!$R$38),"")</f>
        <v/>
      </c>
      <c r="S16" s="39" t="str">
        <f>IF(AND('Mapa final'!$AH$39="Muy Alta",'Mapa final'!$AJ$39="Menor"),CONCATENATE("R2C",'Mapa final'!$R$39),"")</f>
        <v/>
      </c>
      <c r="T16" s="39" t="str">
        <f>IF(AND('Mapa final'!$AH$40="Muy Alta",'Mapa final'!$AJ$40="Menor"),CONCATENATE("R2C",'Mapa final'!$R$40),"")</f>
        <v/>
      </c>
      <c r="U16" s="39" t="str">
        <f>IF(AND('Mapa final'!$AH$41="Muy Alta",'Mapa final'!$AJ$41="Menor"),CONCATENATE("R2C",'Mapa final'!$R$41),"")</f>
        <v/>
      </c>
      <c r="V16" s="40" t="str">
        <f>IF(AND('Mapa final'!$AH$42="Muy Alta",'Mapa final'!$AJ$42="Menor"),CONCATENATE("R2C",'Mapa final'!$R$42),"")</f>
        <v/>
      </c>
      <c r="W16" s="38" t="str">
        <f>IF(AND('Mapa final'!$AH$37="Muy Alta",'Mapa final'!$AJ$37="Moderado"),CONCATENATE("R2C",'Mapa final'!$R$37),"")</f>
        <v/>
      </c>
      <c r="X16" s="39" t="str">
        <f>IF(AND('Mapa final'!$AH$38="Muy Alta",'Mapa final'!$AJ$38="Moderado"),CONCATENATE("R2C",'Mapa final'!$R$38),"")</f>
        <v/>
      </c>
      <c r="Y16" s="39" t="str">
        <f>IF(AND('Mapa final'!$AH$39="Muy Alta",'Mapa final'!$AJ$39="Moderado"),CONCATENATE("R2C",'Mapa final'!$R$39),"")</f>
        <v/>
      </c>
      <c r="Z16" s="39" t="str">
        <f>IF(AND('Mapa final'!$AH$40="Muy Alta",'Mapa final'!$AJ$40="Moderado"),CONCATENATE("R2C",'Mapa final'!$R$40),"")</f>
        <v/>
      </c>
      <c r="AA16" s="39" t="str">
        <f>IF(AND('Mapa final'!$AH$41="Muy Alta",'Mapa final'!$AJ$41="Moderado"),CONCATENATE("R2C",'Mapa final'!$R$41),"")</f>
        <v/>
      </c>
      <c r="AB16" s="40" t="str">
        <f>IF(AND('Mapa final'!$AH$42="Muy Alta",'Mapa final'!$AJ$42="Moderado"),CONCATENATE("R2C",'Mapa final'!$R$42),"")</f>
        <v/>
      </c>
      <c r="AC16" s="38" t="str">
        <f>IF(AND('Mapa final'!$AH$37="Muy Alta",'Mapa final'!$AJ$37="Mayor"),CONCATENATE("R2C",'Mapa final'!$R$37),"")</f>
        <v/>
      </c>
      <c r="AD16" s="39" t="str">
        <f>IF(AND('Mapa final'!$AH$38="Muy Alta",'Mapa final'!$AJ$38="Mayor"),CONCATENATE("R2C",'Mapa final'!$R$38),"")</f>
        <v/>
      </c>
      <c r="AE16" s="39" t="str">
        <f>IF(AND('Mapa final'!$AH$39="Muy Alta",'Mapa final'!$AJ$39="Mayor"),CONCATENATE("R2C",'Mapa final'!$R$39),"")</f>
        <v/>
      </c>
      <c r="AF16" s="39" t="str">
        <f>IF(AND('Mapa final'!$AH$40="Muy Alta",'Mapa final'!$AJ$40="Mayor"),CONCATENATE("R2C",'Mapa final'!$R$40),"")</f>
        <v/>
      </c>
      <c r="AG16" s="39" t="str">
        <f>IF(AND('Mapa final'!$AH$41="Muy Alta",'Mapa final'!$AJ$41="Mayor"),CONCATENATE("R2C",'Mapa final'!$R$41),"")</f>
        <v/>
      </c>
      <c r="AH16" s="40" t="str">
        <f>IF(AND('Mapa final'!$AH$42="Muy Alta",'Mapa final'!$AJ$42="Mayor"),CONCATENATE("R2C",'Mapa final'!$R$42),"")</f>
        <v/>
      </c>
      <c r="AI16" s="41" t="str">
        <f>IF(AND('Mapa final'!$AH$37="Muy Alta",'Mapa final'!$AJ$37="Catastrófico"),CONCATENATE("R2C",'Mapa final'!$R$37),"")</f>
        <v/>
      </c>
      <c r="AJ16" s="42" t="str">
        <f>IF(AND('Mapa final'!$AH$38="Muy Alta",'Mapa final'!$AJ$38="Catastrófico"),CONCATENATE("R2C",'Mapa final'!$R$38),"")</f>
        <v/>
      </c>
      <c r="AK16" s="42" t="str">
        <f>IF(AND('Mapa final'!$AH$39="Muy Alta",'Mapa final'!$AJ$39="Catastrófico"),CONCATENATE("R2C",'Mapa final'!$R$39),"")</f>
        <v/>
      </c>
      <c r="AL16" s="42" t="str">
        <f>IF(AND('Mapa final'!$AH$40="Muy Alta",'Mapa final'!$AJ$40="Catastrófico"),CONCATENATE("R2C",'Mapa final'!$R$40),"")</f>
        <v/>
      </c>
      <c r="AM16" s="42" t="str">
        <f>IF(AND('Mapa final'!$AH$41="Muy Alta",'Mapa final'!$AJ$41="Catastrófico"),CONCATENATE("R2C",'Mapa final'!$R$41),"")</f>
        <v/>
      </c>
      <c r="AN16" s="43" t="str">
        <f>IF(AND('Mapa final'!$AH$42="Muy Alta",'Mapa final'!$AJ$42="Catastrófico"),CONCATENATE("R2C",'Mapa final'!$R$42),"")</f>
        <v/>
      </c>
      <c r="AO16" s="68"/>
      <c r="AP16" s="538"/>
      <c r="AQ16" s="539"/>
      <c r="AR16" s="539"/>
      <c r="AS16" s="539"/>
      <c r="AT16" s="539"/>
      <c r="AU16" s="540"/>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row>
    <row r="17" spans="2:77" ht="15" customHeight="1">
      <c r="B17" s="68"/>
      <c r="C17" s="429"/>
      <c r="D17" s="429"/>
      <c r="E17" s="430"/>
      <c r="F17" s="519"/>
      <c r="G17" s="520"/>
      <c r="H17" s="520"/>
      <c r="I17" s="520"/>
      <c r="J17" s="520"/>
      <c r="K17" s="38" t="str">
        <f>IF(AND('Mapa final'!$AH$43="Muy Alta",'Mapa final'!$AJ$43="Leve"),CONCATENATE("R2C",'Mapa final'!$R$43),"")</f>
        <v/>
      </c>
      <c r="L17" s="39" t="str">
        <f>IF(AND('Mapa final'!$AH$44="Muy Alta",'Mapa final'!$AJ$44="Leve"),CONCATENATE("R2C",'Mapa final'!$R$44),"")</f>
        <v/>
      </c>
      <c r="M17" s="39" t="str">
        <f>IF(AND('Mapa final'!$AH$45="Muy Alta",'Mapa final'!$AJ$45="Leve"),CONCATENATE("R2C",'Mapa final'!$R$45),"")</f>
        <v/>
      </c>
      <c r="N17" s="39" t="str">
        <f>IF(AND('Mapa final'!$AH$46="Muy Alta",'Mapa final'!$AJ$46="Leve"),CONCATENATE("R2C",'Mapa final'!$R$46),"")</f>
        <v/>
      </c>
      <c r="O17" s="39" t="str">
        <f>IF(AND('Mapa final'!$AH$47="Muy Alta",'Mapa final'!$AJ$47="Leve"),CONCATENATE("R2C",'Mapa final'!$R$47),"")</f>
        <v/>
      </c>
      <c r="P17" s="40" t="str">
        <f>IF(AND('Mapa final'!$AH$58="Muy Alta",'Mapa final'!$AJ$48="Leve"),CONCATENATE("R2C",'Mapa final'!$R$48),"")</f>
        <v/>
      </c>
      <c r="Q17" s="39" t="str">
        <f>IF(AND('Mapa final'!$AH$43="Muy Alta",'Mapa final'!$AJ$43="Menor"),CONCATENATE("R2C",'Mapa final'!$R$43),"")</f>
        <v/>
      </c>
      <c r="R17" s="39" t="str">
        <f>IF(AND('Mapa final'!$AH$44="Muy Alta",'Mapa final'!$AJ$44="Menor"),CONCATENATE("R2C",'Mapa final'!$R$44),"")</f>
        <v/>
      </c>
      <c r="S17" s="39" t="str">
        <f>IF(AND('Mapa final'!$AH$45="Muy Alta",'Mapa final'!$AJ$45="Menor"),CONCATENATE("R2C",'Mapa final'!$R$45),"")</f>
        <v/>
      </c>
      <c r="T17" s="39" t="str">
        <f>IF(AND('Mapa final'!$AH$46="Muy Alta",'Mapa final'!$AJ$46="Menor"),CONCATENATE("R2C",'Mapa final'!$R$46),"")</f>
        <v/>
      </c>
      <c r="U17" s="39" t="str">
        <f>IF(AND('Mapa final'!$AH$47="Muy Alta",'Mapa final'!$AJ$47="Menor"),CONCATENATE("R2C",'Mapa final'!$R$47),"")</f>
        <v/>
      </c>
      <c r="V17" s="40" t="str">
        <f>IF(AND('Mapa final'!$AH$58="Muy Alta",'Mapa final'!$AJ$48="Menor"),CONCATENATE("R2C",'Mapa final'!$R$48),"")</f>
        <v/>
      </c>
      <c r="W17" s="38" t="str">
        <f>IF(AND('Mapa final'!$AH$43="Muy Alta",'Mapa final'!$AJ$43="Moderado"),CONCATENATE("R2C",'Mapa final'!$R$43),"")</f>
        <v/>
      </c>
      <c r="X17" s="39" t="str">
        <f>IF(AND('Mapa final'!$AH$44="Muy Alta",'Mapa final'!$AJ$44="Moderado"),CONCATENATE("R2C",'Mapa final'!$R$44),"")</f>
        <v/>
      </c>
      <c r="Y17" s="39" t="str">
        <f>IF(AND('Mapa final'!$AH$45="Muy Alta",'Mapa final'!$AJ$45="Moderado"),CONCATENATE("R2C",'Mapa final'!$R$45),"")</f>
        <v/>
      </c>
      <c r="Z17" s="39" t="str">
        <f>IF(AND('Mapa final'!$AH$46="Muy Alta",'Mapa final'!$AJ$46="Moderado"),CONCATENATE("R2C",'Mapa final'!$R$46),"")</f>
        <v/>
      </c>
      <c r="AA17" s="39" t="str">
        <f>IF(AND('Mapa final'!$AH$47="Muy Alta",'Mapa final'!$AJ$47="Moderado"),CONCATENATE("R2C",'Mapa final'!$R$47),"")</f>
        <v/>
      </c>
      <c r="AB17" s="40" t="str">
        <f>IF(AND('Mapa final'!$AH$58="Muy Alta",'Mapa final'!$AJ$48="Moderado"),CONCATENATE("R2C",'Mapa final'!$R$48),"")</f>
        <v/>
      </c>
      <c r="AC17" s="38" t="str">
        <f>IF(AND('Mapa final'!$AH$43="Muy Alta",'Mapa final'!$AJ$43="Mayor"),CONCATENATE("R2C",'Mapa final'!$R$43),"")</f>
        <v/>
      </c>
      <c r="AD17" s="39" t="str">
        <f>IF(AND('Mapa final'!$AH$44="Muy Alta",'Mapa final'!$AJ$44="Mayor"),CONCATENATE("R2C",'Mapa final'!$R$44),"")</f>
        <v/>
      </c>
      <c r="AE17" s="39" t="str">
        <f>IF(AND('Mapa final'!$AH$45="Muy Alta",'Mapa final'!$AJ$45="Mayor"),CONCATENATE("R2C",'Mapa final'!$R$45),"")</f>
        <v/>
      </c>
      <c r="AF17" s="39" t="str">
        <f>IF(AND('Mapa final'!$AH$46="Muy Alta",'Mapa final'!$AJ$46="Mayor"),CONCATENATE("R2C",'Mapa final'!$R$46),"")</f>
        <v/>
      </c>
      <c r="AG17" s="39" t="str">
        <f>IF(AND('Mapa final'!$AH$47="Muy Alta",'Mapa final'!$AJ$47="Mayor"),CONCATENATE("R2C",'Mapa final'!$R$47),"")</f>
        <v/>
      </c>
      <c r="AH17" s="40" t="str">
        <f>IF(AND('Mapa final'!$AH$58="Muy Alta",'Mapa final'!$AJ$48="Mayor"),CONCATENATE("R2C",'Mapa final'!$R$48),"")</f>
        <v/>
      </c>
      <c r="AI17" s="41" t="str">
        <f>IF(AND('Mapa final'!$AH$43="Muy Alta",'Mapa final'!$AJ$43="Catastrófico"),CONCATENATE("R2C",'Mapa final'!$R$43),"")</f>
        <v/>
      </c>
      <c r="AJ17" s="42" t="str">
        <f>IF(AND('Mapa final'!$AH$44="Muy Alta",'Mapa final'!$AJ$44="Catastrófico"),CONCATENATE("R2C",'Mapa final'!$R$44),"")</f>
        <v/>
      </c>
      <c r="AK17" s="42" t="str">
        <f>IF(AND('Mapa final'!$AH$45="Muy Alta",'Mapa final'!$AJ$45="Catastrófico"),CONCATENATE("R2C",'Mapa final'!$R$45),"")</f>
        <v/>
      </c>
      <c r="AL17" s="42" t="str">
        <f>IF(AND('Mapa final'!$AH$46="Muy Alta",'Mapa final'!$AJ$46="Catastrófico"),CONCATENATE("R2C",'Mapa final'!$R$46),"")</f>
        <v/>
      </c>
      <c r="AM17" s="42" t="str">
        <f>IF(AND('Mapa final'!$AH$47="Muy Alta",'Mapa final'!$AJ$47="Catastrófico"),CONCATENATE("R2C",'Mapa final'!$R$47),"")</f>
        <v/>
      </c>
      <c r="AN17" s="43" t="str">
        <f>IF(AND('Mapa final'!$AH$58="Muy Alta",'Mapa final'!$AJ$48="Catastrófico"),CONCATENATE("R2C",'Mapa final'!$R$48),"")</f>
        <v/>
      </c>
      <c r="AO17" s="68"/>
      <c r="AP17" s="538"/>
      <c r="AQ17" s="539"/>
      <c r="AR17" s="539"/>
      <c r="AS17" s="539"/>
      <c r="AT17" s="539"/>
      <c r="AU17" s="540"/>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row>
    <row r="18" spans="2:77" ht="15" customHeight="1">
      <c r="B18" s="68"/>
      <c r="C18" s="429"/>
      <c r="D18" s="429"/>
      <c r="E18" s="430"/>
      <c r="F18" s="519"/>
      <c r="G18" s="520"/>
      <c r="H18" s="520"/>
      <c r="I18" s="520"/>
      <c r="J18" s="520"/>
      <c r="K18" s="38" t="str">
        <f>IF(AND('Mapa final'!$AH$49="Muy Alta",'Mapa final'!$AJ$49="Leve"),CONCATENATE("R2C",'Mapa final'!$R$49),"")</f>
        <v/>
      </c>
      <c r="L18" s="39" t="str">
        <f>IF(AND('Mapa final'!$AH$50="Muy Alta",'Mapa final'!$AJ$50="Leve"),CONCATENATE("R2C",'Mapa final'!$R$50),"")</f>
        <v/>
      </c>
      <c r="M18" s="39" t="str">
        <f>IF(AND('Mapa final'!$AH$51="Muy Alta",'Mapa final'!$AJ$51="Leve"),CONCATENATE("R2C",'Mapa final'!$R$51),"")</f>
        <v/>
      </c>
      <c r="N18" s="39" t="str">
        <f>IF(AND('Mapa final'!$AH$52="Muy Alta",'Mapa final'!$AJ$52="Leve"),CONCATENATE("R2C",'Mapa final'!$R$52),"")</f>
        <v/>
      </c>
      <c r="O18" s="39" t="str">
        <f>IF(AND('Mapa final'!$AH$53="Muy Alta",'Mapa final'!$AJ$53="Leve"),CONCATENATE("R2C",'Mapa final'!$R$53),"")</f>
        <v/>
      </c>
      <c r="P18" s="40" t="str">
        <f>IF(AND('Mapa final'!$AH$54="Muy Alta",'Mapa final'!$AJ$54="Leve"),CONCATENATE("R2C",'Mapa final'!$R$54),"")</f>
        <v/>
      </c>
      <c r="Q18" s="39" t="str">
        <f>IF(AND('Mapa final'!$AH$49="Muy Alta",'Mapa final'!$AJ$49="Menor"),CONCATENATE("R2C",'Mapa final'!$R$49),"")</f>
        <v/>
      </c>
      <c r="R18" s="39" t="str">
        <f>IF(AND('Mapa final'!$AH$50="Muy Alta",'Mapa final'!$AJ$50="Menor"),CONCATENATE("R2C",'Mapa final'!$R$50),"")</f>
        <v/>
      </c>
      <c r="S18" s="39" t="str">
        <f>IF(AND('Mapa final'!$AH$51="Muy Alta",'Mapa final'!$AJ$51="Menor"),CONCATENATE("R2C",'Mapa final'!$R$51),"")</f>
        <v/>
      </c>
      <c r="T18" s="39" t="str">
        <f>IF(AND('Mapa final'!$AH$52="Muy Alta",'Mapa final'!$AJ$52="Menor"),CONCATENATE("R2C",'Mapa final'!$R$52),"")</f>
        <v/>
      </c>
      <c r="U18" s="39" t="str">
        <f>IF(AND('Mapa final'!$AH$53="Muy Alta",'Mapa final'!$AJ$53="Menor"),CONCATENATE("R2C",'Mapa final'!$R$53),"")</f>
        <v/>
      </c>
      <c r="V18" s="40" t="str">
        <f>IF(AND('Mapa final'!$AH$54="Muy Alta",'Mapa final'!$AJ$54="Menor"),CONCATENATE("R2C",'Mapa final'!$R$54),"")</f>
        <v/>
      </c>
      <c r="W18" s="38" t="str">
        <f>IF(AND('Mapa final'!$AH$49="Muy Alta",'Mapa final'!$AJ$49="Moderado"),CONCATENATE("R2C",'Mapa final'!$R$49),"")</f>
        <v/>
      </c>
      <c r="X18" s="39" t="str">
        <f>IF(AND('Mapa final'!$AH$50="Muy Alta",'Mapa final'!$AJ$50="Moderado"),CONCATENATE("R2C",'Mapa final'!$R$50),"")</f>
        <v/>
      </c>
      <c r="Y18" s="39" t="str">
        <f>IF(AND('Mapa final'!$AH$51="Muy Alta",'Mapa final'!$AJ$51="Moderado"),CONCATENATE("R2C",'Mapa final'!$R$51),"")</f>
        <v/>
      </c>
      <c r="Z18" s="39" t="str">
        <f>IF(AND('Mapa final'!$AH$52="Muy Alta",'Mapa final'!$AJ$52="Moderado"),CONCATENATE("R2C",'Mapa final'!$R$52),"")</f>
        <v/>
      </c>
      <c r="AA18" s="39" t="str">
        <f>IF(AND('Mapa final'!$AH$53="Muy Alta",'Mapa final'!$AJ$53="Moderado"),CONCATENATE("R2C",'Mapa final'!$R$53),"")</f>
        <v/>
      </c>
      <c r="AB18" s="40" t="str">
        <f>IF(AND('Mapa final'!$AH$54="Muy Alta",'Mapa final'!$AJ$54="Moderado"),CONCATENATE("R2C",'Mapa final'!$R$54),"")</f>
        <v/>
      </c>
      <c r="AC18" s="38" t="str">
        <f>IF(AND('Mapa final'!$AH$49="Muy Alta",'Mapa final'!$AJ$49="Mayor"),CONCATENATE("R2C",'Mapa final'!$R$49),"")</f>
        <v/>
      </c>
      <c r="AD18" s="39" t="str">
        <f>IF(AND('Mapa final'!$AH$50="Muy Alta",'Mapa final'!$AJ$50="Mayor"),CONCATENATE("R2C",'Mapa final'!$R$50),"")</f>
        <v/>
      </c>
      <c r="AE18" s="39" t="str">
        <f>IF(AND('Mapa final'!$AH$51="Muy Alta",'Mapa final'!$AJ$51="Mayor"),CONCATENATE("R2C",'Mapa final'!$R$51),"")</f>
        <v/>
      </c>
      <c r="AF18" s="39" t="str">
        <f>IF(AND('Mapa final'!$AH$52="Muy Alta",'Mapa final'!$AJ$52="Mayor"),CONCATENATE("R2C",'Mapa final'!$R$52),"")</f>
        <v/>
      </c>
      <c r="AG18" s="39" t="str">
        <f>IF(AND('Mapa final'!$AH$53="Muy Alta",'Mapa final'!$AJ$53="Mayor"),CONCATENATE("R2C",'Mapa final'!$R$53),"")</f>
        <v/>
      </c>
      <c r="AH18" s="40" t="str">
        <f>IF(AND('Mapa final'!$AH$54="Muy Alta",'Mapa final'!$AJ$54="Mayor"),CONCATENATE("R2C",'Mapa final'!$R$54),"")</f>
        <v/>
      </c>
      <c r="AI18" s="41" t="str">
        <f>IF(AND('Mapa final'!$AH$49="Muy Alta",'Mapa final'!$AJ$49="Catastrófico"),CONCATENATE("R2C",'Mapa final'!$R$49),"")</f>
        <v/>
      </c>
      <c r="AJ18" s="42" t="str">
        <f>IF(AND('Mapa final'!$AH$50="Muy Alta",'Mapa final'!$AJ$50="Catastrófico"),CONCATENATE("R2C",'Mapa final'!$R$50),"")</f>
        <v/>
      </c>
      <c r="AK18" s="42" t="str">
        <f>IF(AND('Mapa final'!$AH$51="Muy Alta",'Mapa final'!$AJ$51="Catastrófico"),CONCATENATE("R2C",'Mapa final'!$R$51),"")</f>
        <v/>
      </c>
      <c r="AL18" s="42" t="str">
        <f>IF(AND('Mapa final'!$AH$52="Muy Alta",'Mapa final'!$AJ$52="Catastrófico"),CONCATENATE("R2C",'Mapa final'!$R$52),"")</f>
        <v/>
      </c>
      <c r="AM18" s="42" t="str">
        <f>IF(AND('Mapa final'!$AH$53="Muy Alta",'Mapa final'!$AJ$53="Catastrófico"),CONCATENATE("R2C",'Mapa final'!$R$53),"")</f>
        <v/>
      </c>
      <c r="AN18" s="43" t="str">
        <f>IF(AND('Mapa final'!$AH$54="Muy Alta",'Mapa final'!$AJ$54="Catastrófico"),CONCATENATE("R2C",'Mapa final'!$R$54),"")</f>
        <v/>
      </c>
      <c r="AO18" s="68"/>
      <c r="AP18" s="538"/>
      <c r="AQ18" s="539"/>
      <c r="AR18" s="539"/>
      <c r="AS18" s="539"/>
      <c r="AT18" s="539"/>
      <c r="AU18" s="540"/>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row>
    <row r="19" spans="2:77" ht="15" customHeight="1">
      <c r="B19" s="68"/>
      <c r="C19" s="429"/>
      <c r="D19" s="429"/>
      <c r="E19" s="430"/>
      <c r="F19" s="519"/>
      <c r="G19" s="520"/>
      <c r="H19" s="520"/>
      <c r="I19" s="520"/>
      <c r="J19" s="520"/>
      <c r="K19" s="38" t="str">
        <f>IF(AND('Mapa final'!$AH$55="Muy Alta",'Mapa final'!$AJ$55="Leve"),CONCATENATE("R2C",'Mapa final'!$R$55),"")</f>
        <v/>
      </c>
      <c r="L19" s="39" t="str">
        <f>IF(AND('Mapa final'!$AH$56="Muy Alta",'Mapa final'!$AJ$56="Leve"),CONCATENATE("R2C",'Mapa final'!$R$56),"")</f>
        <v/>
      </c>
      <c r="M19" s="39" t="str">
        <f>IF(AND('Mapa final'!$AH$57="Muy Alta",'Mapa final'!$AJ$57="Leve"),CONCATENATE("R2C",'Mapa final'!$R$57),"")</f>
        <v/>
      </c>
      <c r="N19" s="39" t="str">
        <f>IF(AND('Mapa final'!$AH$58="Muy Alta",'Mapa final'!$AJ$58="Leve"),CONCATENATE("R2C",'Mapa final'!$R$58),"")</f>
        <v/>
      </c>
      <c r="O19" s="39" t="str">
        <f>IF(AND('Mapa final'!$AH$59="Muy Alta",'Mapa final'!$AJ$59="Leve"),CONCATENATE("R2C",'Mapa final'!$R$59),"")</f>
        <v/>
      </c>
      <c r="P19" s="40" t="str">
        <f>IF(AND('Mapa final'!$AH$60="Muy Alta",'Mapa final'!$AJ$60="Leve"),CONCATENATE("R2C",'Mapa final'!$R$60),"")</f>
        <v/>
      </c>
      <c r="Q19" s="39" t="str">
        <f>IF(AND('Mapa final'!$AH$55="Muy Alta",'Mapa final'!$AJ$55="Menor"),CONCATENATE("R2C",'Mapa final'!$R$55),"")</f>
        <v/>
      </c>
      <c r="R19" s="39" t="str">
        <f>IF(AND('Mapa final'!$AH$56="Muy Alta",'Mapa final'!$AJ$56="Menor"),CONCATENATE("R2C",'Mapa final'!$R$56),"")</f>
        <v/>
      </c>
      <c r="S19" s="39" t="str">
        <f>IF(AND('Mapa final'!$AH$57="Muy Alta",'Mapa final'!$AJ$57="Menor"),CONCATENATE("R2C",'Mapa final'!$R$57),"")</f>
        <v/>
      </c>
      <c r="T19" s="39" t="str">
        <f>IF(AND('Mapa final'!$AH$58="Muy Alta",'Mapa final'!$AJ$58="Menor"),CONCATENATE("R2C",'Mapa final'!$R$58),"")</f>
        <v/>
      </c>
      <c r="U19" s="39" t="str">
        <f>IF(AND('Mapa final'!$AH$59="Muy Alta",'Mapa final'!$AJ$59="Menor"),CONCATENATE("R2C",'Mapa final'!$R$59),"")</f>
        <v/>
      </c>
      <c r="V19" s="40" t="str">
        <f>IF(AND('Mapa final'!$AH$60="Muy Alta",'Mapa final'!$AJ$60="Menor"),CONCATENATE("R2C",'Mapa final'!$R$60),"")</f>
        <v/>
      </c>
      <c r="W19" s="38" t="str">
        <f>IF(AND('Mapa final'!$AH$55="Muy Alta",'Mapa final'!$AJ$55="Moderado"),CONCATENATE("R2C",'Mapa final'!$R$55),"")</f>
        <v/>
      </c>
      <c r="X19" s="39" t="str">
        <f>IF(AND('Mapa final'!$AH$56="Muy Alta",'Mapa final'!$AJ$56="Moderado"),CONCATENATE("R2C",'Mapa final'!$R$56),"")</f>
        <v/>
      </c>
      <c r="Y19" s="39" t="str">
        <f>IF(AND('Mapa final'!$AH$57="Muy Alta",'Mapa final'!$AJ$57="Moderado"),CONCATENATE("R2C",'Mapa final'!$R$57),"")</f>
        <v/>
      </c>
      <c r="Z19" s="39" t="str">
        <f>IF(AND('Mapa final'!$AH$58="Muy Alta",'Mapa final'!$AJ$58="Moderado"),CONCATENATE("R2C",'Mapa final'!$R$58),"")</f>
        <v/>
      </c>
      <c r="AA19" s="39" t="str">
        <f>IF(AND('Mapa final'!$AH$59="Muy Alta",'Mapa final'!$AJ$59="Moderado"),CONCATENATE("R2C",'Mapa final'!$R$59),"")</f>
        <v/>
      </c>
      <c r="AB19" s="40" t="str">
        <f>IF(AND('Mapa final'!$AH$60="Muy Alta",'Mapa final'!$AJ$60="Moderado"),CONCATENATE("R2C",'Mapa final'!$R$60),"")</f>
        <v/>
      </c>
      <c r="AC19" s="38" t="str">
        <f>IF(AND('Mapa final'!$AH$55="Muy Alta",'Mapa final'!$AJ$55="Mayor"),CONCATENATE("R2C",'Mapa final'!$R$55),"")</f>
        <v/>
      </c>
      <c r="AD19" s="39" t="str">
        <f>IF(AND('Mapa final'!$AH$56="Muy Alta",'Mapa final'!$AJ$56="Mayor"),CONCATENATE("R2C",'Mapa final'!$R$56),"")</f>
        <v/>
      </c>
      <c r="AE19" s="39" t="str">
        <f>IF(AND('Mapa final'!$AH$57="Muy Alta",'Mapa final'!$AJ$57="Mayor"),CONCATENATE("R2C",'Mapa final'!$R$57),"")</f>
        <v/>
      </c>
      <c r="AF19" s="39" t="str">
        <f>IF(AND('Mapa final'!$AH$58="Muy Alta",'Mapa final'!$AJ$58="Mayor"),CONCATENATE("R2C",'Mapa final'!$R$58),"")</f>
        <v/>
      </c>
      <c r="AG19" s="39" t="str">
        <f>IF(AND('Mapa final'!$AH$59="Muy Alta",'Mapa final'!$AJ$59="Mayor"),CONCATENATE("R2C",'Mapa final'!$R$59),"")</f>
        <v/>
      </c>
      <c r="AH19" s="40" t="str">
        <f>IF(AND('Mapa final'!$AH$60="Muy Alta",'Mapa final'!$AJ$60="Mayor"),CONCATENATE("R2C",'Mapa final'!$R$60),"")</f>
        <v/>
      </c>
      <c r="AI19" s="41" t="str">
        <f>IF(AND('Mapa final'!$AH$55="Muy Alta",'Mapa final'!$AJ$55="Catastrófico"),CONCATENATE("R2C",'Mapa final'!$R$55),"")</f>
        <v/>
      </c>
      <c r="AJ19" s="42" t="str">
        <f>IF(AND('Mapa final'!$AH$56="Muy Alta",'Mapa final'!$AJ$56="Catastrófico"),CONCATENATE("R2C",'Mapa final'!$R$56),"")</f>
        <v/>
      </c>
      <c r="AK19" s="42" t="str">
        <f>IF(AND('Mapa final'!$AH$57="Muy Alta",'Mapa final'!$AJ$57="Catastrófico"),CONCATENATE("R2C",'Mapa final'!$R$57),"")</f>
        <v/>
      </c>
      <c r="AL19" s="42" t="str">
        <f>IF(AND('Mapa final'!$AH$58="Muy Alta",'Mapa final'!$AJ$58="Catastrófico"),CONCATENATE("R2C",'Mapa final'!$R$58),"")</f>
        <v/>
      </c>
      <c r="AM19" s="42" t="str">
        <f>IF(AND('Mapa final'!$AH$59="Muy Alta",'Mapa final'!$AJ$59="Catastrófico"),CONCATENATE("R2C",'Mapa final'!$R$59),"")</f>
        <v/>
      </c>
      <c r="AN19" s="43" t="str">
        <f>IF(AND('Mapa final'!$AH$60="Muy Alta",'Mapa final'!$AJ$60="Catastrófico"),CONCATENATE("R2C",'Mapa final'!$R$60),"")</f>
        <v/>
      </c>
      <c r="AO19" s="68"/>
      <c r="AP19" s="538"/>
      <c r="AQ19" s="539"/>
      <c r="AR19" s="539"/>
      <c r="AS19" s="539"/>
      <c r="AT19" s="539"/>
      <c r="AU19" s="540"/>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row>
    <row r="20" spans="2:77" ht="15" customHeight="1">
      <c r="B20" s="68"/>
      <c r="C20" s="429"/>
      <c r="D20" s="429"/>
      <c r="E20" s="430"/>
      <c r="F20" s="519"/>
      <c r="G20" s="520"/>
      <c r="H20" s="520"/>
      <c r="I20" s="520"/>
      <c r="J20" s="520"/>
      <c r="K20" s="38" t="str">
        <f>IF(AND('Mapa final'!$AH$61="Muy Alta",'Mapa final'!$AJ$61="Leve"),CONCATENATE("R2C",'Mapa final'!$R$61),"")</f>
        <v/>
      </c>
      <c r="L20" s="39" t="str">
        <f>IF(AND('Mapa final'!$AH$62="Muy Alta",'Mapa final'!$AJ$62="Leve"),CONCATENATE("R2C",'Mapa final'!$R$62),"")</f>
        <v/>
      </c>
      <c r="M20" s="39" t="str">
        <f>IF(AND('Mapa final'!$AH$63="Muy Alta",'Mapa final'!$AJ$63="Leve"),CONCATENATE("R2C",'Mapa final'!$R$63),"")</f>
        <v/>
      </c>
      <c r="N20" s="39" t="str">
        <f>IF(AND('Mapa final'!$AH$64="Muy Alta",'Mapa final'!$AJ$64="Leve"),CONCATENATE("R2C",'Mapa final'!$R$64),"")</f>
        <v/>
      </c>
      <c r="O20" s="39" t="str">
        <f>IF(AND('Mapa final'!$AH$65="Muy Alta",'Mapa final'!$AJ$65="Leve"),CONCATENATE("R2C",'Mapa final'!$R$65),"")</f>
        <v/>
      </c>
      <c r="P20" s="40" t="str">
        <f>IF(AND('Mapa final'!$AH$66="Muy Alta",'Mapa final'!$AJ$66="Leve"),CONCATENATE("R2C",'Mapa final'!$R$66),"")</f>
        <v/>
      </c>
      <c r="Q20" s="39" t="str">
        <f>IF(AND('Mapa final'!$AH$61="Muy Alta",'Mapa final'!$AJ$61="Menor"),CONCATENATE("R2C",'Mapa final'!$R$61),"")</f>
        <v/>
      </c>
      <c r="R20" s="39" t="str">
        <f>IF(AND('Mapa final'!$AH$62="Muy Alta",'Mapa final'!$AJ$62="Menor"),CONCATENATE("R2C",'Mapa final'!$R$62),"")</f>
        <v/>
      </c>
      <c r="S20" s="39" t="str">
        <f>IF(AND('Mapa final'!$AH$63="Muy Alta",'Mapa final'!$AJ$63="Menor"),CONCATENATE("R2C",'Mapa final'!$R$63),"")</f>
        <v/>
      </c>
      <c r="T20" s="39" t="str">
        <f>IF(AND('Mapa final'!$AH$64="Muy Alta",'Mapa final'!$AJ$64="Menor"),CONCATENATE("R2C",'Mapa final'!$R$64),"")</f>
        <v/>
      </c>
      <c r="U20" s="39" t="str">
        <f>IF(AND('Mapa final'!$AH$65="Muy Alta",'Mapa final'!$AJ$65="Menor"),CONCATENATE("R2C",'Mapa final'!$R$65),"")</f>
        <v/>
      </c>
      <c r="V20" s="40" t="str">
        <f>IF(AND('Mapa final'!$AH$66="Muy Alta",'Mapa final'!$AJ$66="Menor"),CONCATENATE("R2C",'Mapa final'!$R$66),"")</f>
        <v/>
      </c>
      <c r="W20" s="38" t="str">
        <f>IF(AND('Mapa final'!$AH$61="Muy Alta",'Mapa final'!$AJ$61="Moderado"),CONCATENATE("R2C",'Mapa final'!$R$61),"")</f>
        <v/>
      </c>
      <c r="X20" s="39" t="str">
        <f>IF(AND('Mapa final'!$AH$62="Muy Alta",'Mapa final'!$AJ$62="Moderado"),CONCATENATE("R2C",'Mapa final'!$R$62),"")</f>
        <v/>
      </c>
      <c r="Y20" s="39" t="str">
        <f>IF(AND('Mapa final'!$AH$63="Muy Alta",'Mapa final'!$AJ$63="Moderado"),CONCATENATE("R2C",'Mapa final'!$R$63),"")</f>
        <v/>
      </c>
      <c r="Z20" s="39" t="str">
        <f>IF(AND('Mapa final'!$AH$64="Muy Alta",'Mapa final'!$AJ$64="Moderado"),CONCATENATE("R2C",'Mapa final'!$R$64),"")</f>
        <v/>
      </c>
      <c r="AA20" s="39" t="str">
        <f>IF(AND('Mapa final'!$AH$65="Muy Alta",'Mapa final'!$AJ$65="Moderado"),CONCATENATE("R2C",'Mapa final'!$R$65),"")</f>
        <v/>
      </c>
      <c r="AB20" s="40" t="str">
        <f>IF(AND('Mapa final'!$AH$66="Muy Alta",'Mapa final'!$AJ$66="Moderado"),CONCATENATE("R2C",'Mapa final'!$R$66),"")</f>
        <v/>
      </c>
      <c r="AC20" s="38" t="str">
        <f>IF(AND('Mapa final'!$AH$61="Muy Alta",'Mapa final'!$AJ$61="Mayor"),CONCATENATE("R2C",'Mapa final'!$R$61),"")</f>
        <v/>
      </c>
      <c r="AD20" s="39" t="str">
        <f>IF(AND('Mapa final'!$AH$62="Muy Alta",'Mapa final'!$AJ$62="Mayor"),CONCATENATE("R2C",'Mapa final'!$R$62),"")</f>
        <v/>
      </c>
      <c r="AE20" s="39" t="str">
        <f>IF(AND('Mapa final'!$AH$63="Muy Alta",'Mapa final'!$AJ$63="Mayor"),CONCATENATE("R2C",'Mapa final'!$R$63),"")</f>
        <v/>
      </c>
      <c r="AF20" s="39" t="str">
        <f>IF(AND('Mapa final'!$AH$64="Muy Alta",'Mapa final'!$AJ$64="Mayor"),CONCATENATE("R2C",'Mapa final'!$R$64),"")</f>
        <v/>
      </c>
      <c r="AG20" s="39" t="str">
        <f>IF(AND('Mapa final'!$AH$65="Muy Alta",'Mapa final'!$AJ$65="Mayor"),CONCATENATE("R2C",'Mapa final'!$R$65),"")</f>
        <v/>
      </c>
      <c r="AH20" s="40" t="str">
        <f>IF(AND('Mapa final'!$AH$66="Muy Alta",'Mapa final'!$AJ$66="Mayor"),CONCATENATE("R2C",'Mapa final'!$R$66),"")</f>
        <v/>
      </c>
      <c r="AI20" s="41" t="str">
        <f>IF(AND('Mapa final'!$AH$61="Muy Alta",'Mapa final'!$AJ$61="Catastrófico"),CONCATENATE("R2C",'Mapa final'!$R$61),"")</f>
        <v/>
      </c>
      <c r="AJ20" s="42" t="str">
        <f>IF(AND('Mapa final'!$AH$62="Muy Alta",'Mapa final'!$AJ$62="Catastrófico"),CONCATENATE("R2C",'Mapa final'!$R$62),"")</f>
        <v/>
      </c>
      <c r="AK20" s="42" t="str">
        <f>IF(AND('Mapa final'!$AH$63="Muy Alta",'Mapa final'!$AJ$63="Catastrófico"),CONCATENATE("R2C",'Mapa final'!$R$63),"")</f>
        <v/>
      </c>
      <c r="AL20" s="42" t="str">
        <f>IF(AND('Mapa final'!$AH$64="Muy Alta",'Mapa final'!$AJ$64="Catastrófico"),CONCATENATE("R2C",'Mapa final'!$R$64),"")</f>
        <v/>
      </c>
      <c r="AM20" s="42" t="str">
        <f>IF(AND('Mapa final'!$AH$65="Muy Alta",'Mapa final'!$AJ$65="Catastrófico"),CONCATENATE("R2C",'Mapa final'!$R$65),"")</f>
        <v/>
      </c>
      <c r="AN20" s="43" t="str">
        <f>IF(AND('Mapa final'!$AH$66="Muy Alta",'Mapa final'!$AJ$66="Catastrófico"),CONCATENATE("R2C",'Mapa final'!$R$66),"")</f>
        <v/>
      </c>
      <c r="AO20" s="68"/>
      <c r="AP20" s="538"/>
      <c r="AQ20" s="539"/>
      <c r="AR20" s="539"/>
      <c r="AS20" s="539"/>
      <c r="AT20" s="539"/>
      <c r="AU20" s="540"/>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row>
    <row r="21" spans="2:77" ht="15.75" customHeight="1" thickBot="1">
      <c r="B21" s="68"/>
      <c r="C21" s="429"/>
      <c r="D21" s="429"/>
      <c r="E21" s="430"/>
      <c r="F21" s="522"/>
      <c r="G21" s="523"/>
      <c r="H21" s="523"/>
      <c r="I21" s="523"/>
      <c r="J21" s="523"/>
      <c r="K21" s="44" t="str">
        <f>IF(AND('Mapa final'!$AH$67="Muy Alta",'Mapa final'!$AJ$67="Leve"),CONCATENATE("R2C",'Mapa final'!$R$67),"")</f>
        <v/>
      </c>
      <c r="L21" s="45" t="str">
        <f>IF(AND('Mapa final'!$AH$68="Muy Alta",'Mapa final'!$AJ$68="Leve"),CONCATENATE("R2C",'Mapa final'!$R$68),"")</f>
        <v/>
      </c>
      <c r="M21" s="45" t="str">
        <f>IF(AND('Mapa final'!$AH$69="Muy Alta",'Mapa final'!$AJ$69="Leve"),CONCATENATE("R2C",'Mapa final'!$R$69),"")</f>
        <v/>
      </c>
      <c r="N21" s="45" t="str">
        <f>IF(AND('Mapa final'!$AH$70="Muy Alta",'Mapa final'!$AJ$70="Leve"),CONCATENATE("R2C",'Mapa final'!$R$70),"")</f>
        <v/>
      </c>
      <c r="O21" s="45" t="str">
        <f>IF(AND('Mapa final'!$AH$72="Muy Alta",'Mapa final'!$AJ$72="Leve"),CONCATENATE("R2C",'Mapa final'!$R$72),"")</f>
        <v/>
      </c>
      <c r="P21" s="46" t="str">
        <f>IF(AND('Mapa final'!$AH$73="Muy Alta",'Mapa final'!$AJ$73="Leve"),CONCATENATE("R2C",'Mapa final'!$R$73),"")</f>
        <v/>
      </c>
      <c r="Q21" s="39" t="str">
        <f>IF(AND('Mapa final'!$AH$67="Muy Alta",'Mapa final'!$AJ$67="Menor"),CONCATENATE("R2C",'Mapa final'!$R$67),"")</f>
        <v/>
      </c>
      <c r="R21" s="39" t="str">
        <f>IF(AND('Mapa final'!$AH$68="Muy Alta",'Mapa final'!$AJ$68="Menor"),CONCATENATE("R2C",'Mapa final'!$R$68),"")</f>
        <v/>
      </c>
      <c r="S21" s="39" t="str">
        <f>IF(AND('Mapa final'!$AH$69="Muy Alta",'Mapa final'!$AJ$69="Menor"),CONCATENATE("R2C",'Mapa final'!$R$69),"")</f>
        <v/>
      </c>
      <c r="T21" s="39" t="str">
        <f>IF(AND('Mapa final'!$AH$70="Muy Alta",'Mapa final'!$AJ$70="Menor"),CONCATENATE("R2C",'Mapa final'!$R$70),"")</f>
        <v/>
      </c>
      <c r="U21" s="39" t="str">
        <f>IF(AND('Mapa final'!$AH$72="Muy Alta",'Mapa final'!$AJ$72="Menor"),CONCATENATE("R2C",'Mapa final'!$R$72),"")</f>
        <v/>
      </c>
      <c r="V21" s="40" t="str">
        <f>IF(AND('Mapa final'!$AH$73="Muy Alta",'Mapa final'!$AJ$73="Menor"),CONCATENATE("R2C",'Mapa final'!$R$73),"")</f>
        <v/>
      </c>
      <c r="W21" s="44" t="str">
        <f>IF(AND('Mapa final'!$AH$67="Muy Alta",'Mapa final'!$AJ$67="Moderado"),CONCATENATE("R2C",'Mapa final'!$R$67),"")</f>
        <v/>
      </c>
      <c r="X21" s="45" t="str">
        <f>IF(AND('Mapa final'!$AH$68="Muy Alta",'Mapa final'!$AJ$68="Moderado"),CONCATENATE("R2C",'Mapa final'!$R$68),"")</f>
        <v/>
      </c>
      <c r="Y21" s="45" t="str">
        <f>IF(AND('Mapa final'!$AH$69="Muy Alta",'Mapa final'!$AJ$69="Moderado"),CONCATENATE("R2C",'Mapa final'!$R$69),"")</f>
        <v/>
      </c>
      <c r="Z21" s="45" t="str">
        <f>IF(AND('Mapa final'!$AH$70="Muy Alta",'Mapa final'!$AJ$70="Moderado"),CONCATENATE("R2C",'Mapa final'!$R$70),"")</f>
        <v/>
      </c>
      <c r="AA21" s="45" t="str">
        <f>IF(AND('Mapa final'!$AH$72="Muy Alta",'Mapa final'!$AJ$72="Moderado"),CONCATENATE("R2C",'Mapa final'!$R$72),"")</f>
        <v/>
      </c>
      <c r="AB21" s="46" t="str">
        <f>IF(AND('Mapa final'!$AH$73="Muy Alta",'Mapa final'!$AJ$73="Moderado"),CONCATENATE("R2C",'Mapa final'!$R$73),"")</f>
        <v/>
      </c>
      <c r="AC21" s="38" t="str">
        <f>IF(AND('Mapa final'!$AH$67="Muy Alta",'Mapa final'!$AJ$67="Mayor"),CONCATENATE("R2C",'Mapa final'!$R$67),"")</f>
        <v/>
      </c>
      <c r="AD21" s="39" t="str">
        <f>IF(AND('Mapa final'!$AH$68="Muy Alta",'Mapa final'!$AJ$68="Mayor"),CONCATENATE("R2C",'Mapa final'!$R$68),"")</f>
        <v/>
      </c>
      <c r="AE21" s="39" t="str">
        <f>IF(AND('Mapa final'!$AH$69="Muy Alta",'Mapa final'!$AJ$69="Mayor"),CONCATENATE("R2C",'Mapa final'!$R$69),"")</f>
        <v/>
      </c>
      <c r="AF21" s="39" t="str">
        <f>IF(AND('Mapa final'!$AH$70="Muy Alta",'Mapa final'!$AJ$70="Mayor"),CONCATENATE("R2C",'Mapa final'!$R$70),"")</f>
        <v/>
      </c>
      <c r="AG21" s="39" t="str">
        <f>IF(AND('Mapa final'!$AH$72="Muy Alta",'Mapa final'!$AJ$72="Mayor"),CONCATENATE("R2C",'Mapa final'!$R$72),"")</f>
        <v/>
      </c>
      <c r="AH21" s="40" t="str">
        <f>IF(AND('Mapa final'!$AH$73="Muy Alta",'Mapa final'!$AJ$73="Mayor"),CONCATENATE("R2C",'Mapa final'!$R$73),"")</f>
        <v/>
      </c>
      <c r="AI21" s="47" t="str">
        <f>IF(AND('Mapa final'!$AH$67="Muy Alta",'Mapa final'!$AJ$67="Catastrófico"),CONCATENATE("R2C",'Mapa final'!$R$67),"")</f>
        <v/>
      </c>
      <c r="AJ21" s="48" t="str">
        <f>IF(AND('Mapa final'!$AH$68="Muy Alta",'Mapa final'!$AJ$68="Catastrófico"),CONCATENATE("R2C",'Mapa final'!$R$68),"")</f>
        <v/>
      </c>
      <c r="AK21" s="48" t="str">
        <f>IF(AND('Mapa final'!$AH$69="Muy Alta",'Mapa final'!$AJ$69="Catastrófico"),CONCATENATE("R2C",'Mapa final'!$R$69),"")</f>
        <v/>
      </c>
      <c r="AL21" s="48" t="str">
        <f>IF(AND('Mapa final'!$AH$70="Muy Alta",'Mapa final'!$AJ$70="Catastrófico"),CONCATENATE("R2C",'Mapa final'!$R$70),"")</f>
        <v/>
      </c>
      <c r="AM21" s="48" t="str">
        <f>IF(AND('Mapa final'!$AH$72="Muy Alta",'Mapa final'!$AJ$72="Catastrófico"),CONCATENATE("R2C",'Mapa final'!$R$72),"")</f>
        <v/>
      </c>
      <c r="AN21" s="49" t="str">
        <f>IF(AND('Mapa final'!$AH$73="Muy Alta",'Mapa final'!$AJ$73="Catastrófico"),CONCATENATE("R2C",'Mapa final'!$R$73),"")</f>
        <v/>
      </c>
      <c r="AO21" s="68"/>
      <c r="AP21" s="541"/>
      <c r="AQ21" s="542"/>
      <c r="AR21" s="542"/>
      <c r="AS21" s="542"/>
      <c r="AT21" s="542"/>
      <c r="AU21" s="543"/>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row>
    <row r="22" spans="2:77" ht="15" customHeight="1">
      <c r="B22" s="68"/>
      <c r="C22" s="429"/>
      <c r="D22" s="429"/>
      <c r="E22" s="430"/>
      <c r="F22" s="516" t="s">
        <v>255</v>
      </c>
      <c r="G22" s="517"/>
      <c r="H22" s="517"/>
      <c r="I22" s="517"/>
      <c r="J22" s="517"/>
      <c r="K22" s="53"/>
      <c r="L22" s="54" t="str">
        <f>IF(AND('Mapa final'!$AH$16="Alta",'Mapa final'!$AJ$16="Leve"),CONCATENATE("R2C",'Mapa final'!$R$15),"")</f>
        <v/>
      </c>
      <c r="M22" s="54" t="str">
        <f>IF(AND('Mapa final'!$AH$17="Alta",'Mapa final'!$AJ$17="Leve"),CONCATENATE("R2C",'Mapa final'!$R$17),"")</f>
        <v/>
      </c>
      <c r="N22" s="54" t="e">
        <f>IF(AND('Mapa final'!#REF!="Alta",'Mapa final'!#REF!="Leve"),CONCATENATE("R2C",'Mapa final'!#REF!),"")</f>
        <v>#REF!</v>
      </c>
      <c r="O22" s="54" t="e">
        <f>IF(AND('Mapa final'!#REF!="Alta",'Mapa final'!#REF!="Leve"),CONCATENATE("R2C",'Mapa final'!#REF!),"")</f>
        <v>#REF!</v>
      </c>
      <c r="P22" s="55" t="e">
        <f>IF(AND('Mapa final'!#REF!="Alta",'Mapa final'!#REF!="Leve"),CONCATENATE("R2C",'Mapa final'!#REF!),"")</f>
        <v>#REF!</v>
      </c>
      <c r="Q22" s="50"/>
      <c r="R22" s="51" t="str">
        <f>IF(AND('Mapa final'!$AH$16="Alta",'Mapa final'!$AJ$16="Menore"),CONCATENATE("R2C",'Mapa final'!$R$15),"")</f>
        <v/>
      </c>
      <c r="S22" s="51" t="str">
        <f>IF(AND('Mapa final'!$AH$17="Alta",'Mapa final'!$AJ$17="Menor"),CONCATENATE("R2C",'Mapa final'!$R$17),"")</f>
        <v/>
      </c>
      <c r="T22" s="51" t="e">
        <f>IF(AND('Mapa final'!#REF!="Alta",'Mapa final'!#REF!="Menor"),CONCATENATE("R2C",'Mapa final'!#REF!),"")</f>
        <v>#REF!</v>
      </c>
      <c r="U22" s="51" t="e">
        <f>IF(AND('Mapa final'!#REF!="Alta",'Mapa final'!#REF!="Menor"),CONCATENATE("R2C",'Mapa final'!#REF!),"")</f>
        <v>#REF!</v>
      </c>
      <c r="V22" s="52" t="e">
        <f>IF(AND('Mapa final'!#REF!="Alta",'Mapa final'!#REF!="Menor"),CONCATENATE("R2C",'Mapa final'!#REF!),"")</f>
        <v>#REF!</v>
      </c>
      <c r="W22" s="32"/>
      <c r="X22" s="33" t="str">
        <f>IF(AND('Mapa final'!$AH$16="Alta",'Mapa final'!$AJ$16="Moderado"),CONCATENATE("R2C",'Mapa final'!$R$15),"")</f>
        <v/>
      </c>
      <c r="Y22" s="33"/>
      <c r="Z22" s="33" t="e">
        <f>IF(AND('Mapa final'!#REF!="Alta",'Mapa final'!#REF!="Moderado"),CONCATENATE("R2C",'Mapa final'!#REF!),"")</f>
        <v>#REF!</v>
      </c>
      <c r="AA22" s="33" t="e">
        <f>IF(AND('Mapa final'!#REF!="Alta",'Mapa final'!#REF!="Moderado"),CONCATENATE("R2C",'Mapa final'!#REF!),"")</f>
        <v>#REF!</v>
      </c>
      <c r="AB22" s="34" t="e">
        <f>IF(AND('Mapa final'!#REF!="Alta",'Mapa final'!#REF!="Moderado"),CONCATENATE("R2C",'Mapa final'!#REF!),"")</f>
        <v>#REF!</v>
      </c>
      <c r="AC22" s="32"/>
      <c r="AD22" s="33" t="str">
        <f>IF(AND('Mapa final'!$AH$16="Alta",'Mapa final'!$AJ$16="Mayor"),CONCATENATE("R2C",'Mapa final'!$R$15),"")</f>
        <v/>
      </c>
      <c r="AE22" s="33" t="str">
        <f>IF(AND('Mapa final'!$AH$17="Alta",'Mapa final'!$AJ$17="Mayor"),CONCATENATE("R2C",'Mapa final'!$R$17),"")</f>
        <v/>
      </c>
      <c r="AF22" s="33" t="e">
        <f>IF(AND('Mapa final'!#REF!="Alta",'Mapa final'!#REF!="Mayor"),CONCATENATE("R2C",'Mapa final'!#REF!),"")</f>
        <v>#REF!</v>
      </c>
      <c r="AG22" s="33" t="e">
        <f>IF(AND('Mapa final'!#REF!="Alta",'Mapa final'!#REF!="Mayor"),CONCATENATE("R2C",'Mapa final'!#REF!),"")</f>
        <v>#REF!</v>
      </c>
      <c r="AH22" s="34" t="e">
        <f>IF(AND('Mapa final'!#REF!="Alta",'Mapa final'!#REF!="Mayor"),CONCATENATE("R2C",'Mapa final'!#REF!),"")</f>
        <v>#REF!</v>
      </c>
      <c r="AI22" s="35"/>
      <c r="AJ22" s="36" t="str">
        <f>IF(AND('Mapa final'!$AH$16="Alta",'Mapa final'!$AJ$16="Catastrófico"),CONCATENATE("R2C",'Mapa final'!$R$15),"")</f>
        <v/>
      </c>
      <c r="AK22" s="36" t="str">
        <f>IF(AND('Mapa final'!$AH$17="Alta",'Mapa final'!$AJ$17="Catastrófico"),CONCATENATE("R2C",'Mapa final'!$R$17),"")</f>
        <v/>
      </c>
      <c r="AL22" s="36" t="e">
        <f>IF(AND('Mapa final'!#REF!="Alta",'Mapa final'!#REF!="Catastrófico"),CONCATENATE("R2C",'Mapa final'!#REF!),"")</f>
        <v>#REF!</v>
      </c>
      <c r="AM22" s="36" t="e">
        <f>IF(AND('Mapa final'!#REF!="Alta",'Mapa final'!#REF!="Catastrófico"),CONCATENATE("R2C",'Mapa final'!#REF!),"")</f>
        <v>#REF!</v>
      </c>
      <c r="AN22" s="37" t="e">
        <f>IF(AND('Mapa final'!#REF!="Alta",'Mapa final'!#REF!="Catastrófico"),CONCATENATE("R2C",'Mapa final'!#REF!),"")</f>
        <v>#REF!</v>
      </c>
      <c r="AO22" s="68"/>
      <c r="AP22" s="525" t="s">
        <v>256</v>
      </c>
      <c r="AQ22" s="526"/>
      <c r="AR22" s="526"/>
      <c r="AS22" s="526"/>
      <c r="AT22" s="526"/>
      <c r="AU22" s="527"/>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row>
    <row r="23" spans="2:77" ht="15" customHeight="1">
      <c r="B23" s="68"/>
      <c r="C23" s="429"/>
      <c r="D23" s="429"/>
      <c r="E23" s="430"/>
      <c r="F23" s="534"/>
      <c r="G23" s="520"/>
      <c r="H23" s="520"/>
      <c r="I23" s="520"/>
      <c r="J23" s="520"/>
      <c r="K23" s="53" t="e">
        <f>IF(AND('Mapa final'!#REF!="Alta",'Mapa final'!#REF!="Leve"),CONCATENATE("R2C",'Mapa final'!#REF!),"")</f>
        <v>#REF!</v>
      </c>
      <c r="L23" s="54" t="e">
        <f>IF(AND('Mapa final'!#REF!="Alta",'Mapa final'!#REF!="Leve"),CONCATENATE("R2C",'Mapa final'!#REF!),"")</f>
        <v>#REF!</v>
      </c>
      <c r="M23" s="54" t="str">
        <f>IF(AND('Mapa final'!$AH$21="Alta",'Mapa final'!$AJ$21="Leve"),CONCATENATE("R2C",'Mapa final'!$R$21),"")</f>
        <v/>
      </c>
      <c r="N23" s="54" t="e">
        <f>IF(AND('Mapa final'!#REF!="Alta",'Mapa final'!#REF!="Leve"),CONCATENATE("R2C",'Mapa final'!#REF!),"")</f>
        <v>#REF!</v>
      </c>
      <c r="O23" s="54" t="str">
        <f>IF(AND('Mapa final'!$AH$23="Alta",'Mapa final'!$AJ$23="Leve"),CONCATENATE("R2C",'Mapa final'!$R$23),"")</f>
        <v/>
      </c>
      <c r="P23" s="55" t="str">
        <f>IF(AND('Mapa final'!$AH$24="Alta",'Mapa final'!$AJ$24="Leve"),CONCATENATE("R2C",'Mapa final'!$R$24),"")</f>
        <v/>
      </c>
      <c r="Q23" s="53" t="e">
        <f>IF(AND('Mapa final'!#REF!="Alta",'Mapa final'!#REF!="Menor"),CONCATENATE("R2C",'Mapa final'!#REF!),"")</f>
        <v>#REF!</v>
      </c>
      <c r="R23" s="54" t="e">
        <f>IF(AND('Mapa final'!#REF!="Alta",'Mapa final'!#REF!="Menor"),CONCATENATE("R2C",'Mapa final'!#REF!),"")</f>
        <v>#REF!</v>
      </c>
      <c r="S23" s="54" t="str">
        <f>IF(AND('Mapa final'!$AH$21="Alta",'Mapa final'!$AJ$21="Menor"),CONCATENATE("R2C",'Mapa final'!$R$21),"")</f>
        <v/>
      </c>
      <c r="T23" s="54" t="str">
        <f>IF(AND('Mapa final'!$AH$22="Alta",'Mapa final'!$AJ$22="Menor"),CONCATENATE("R2C",'Mapa final'!$R$22),"")</f>
        <v/>
      </c>
      <c r="U23" s="54" t="str">
        <f>IF(AND('Mapa final'!$AH$23="Alta",'Mapa final'!$AJ$23="Menor"),CONCATENATE("R2C",'Mapa final'!$R$23),"")</f>
        <v/>
      </c>
      <c r="V23" s="55" t="str">
        <f>IF(AND('Mapa final'!$AH$24="Alta",'Mapa final'!$AJ$24="Menor"),CONCATENATE("R2C",'Mapa final'!$R$24),"")</f>
        <v/>
      </c>
      <c r="W23" s="38" t="e">
        <f>IF(AND('Mapa final'!#REF!="Alta",'Mapa final'!#REF!="Moderado"),CONCATENATE("R2C",'Mapa final'!#REF!),"")</f>
        <v>#REF!</v>
      </c>
      <c r="X23" s="39" t="e">
        <f>IF(AND('Mapa final'!#REF!="Alta",'Mapa final'!#REF!="Moderado"),CONCATENATE("R2C",'Mapa final'!#REF!),"")</f>
        <v>#REF!</v>
      </c>
      <c r="Y23" s="39" t="str">
        <f>IF(AND('Mapa final'!$AH$21="Alta",'Mapa final'!$AJ$21="Moderado"),CONCATENATE("R2C",'Mapa final'!$R$21),"")</f>
        <v/>
      </c>
      <c r="Z23" s="39" t="str">
        <f>IF(AND('Mapa final'!$AH$22="Alta",'Mapa final'!$AJ$22="Moderado"),CONCATENATE("R2C",'Mapa final'!$R$22),"")</f>
        <v/>
      </c>
      <c r="AA23" s="39" t="str">
        <f>IF(AND('Mapa final'!$AH$23="Alta",'Mapa final'!$AJ$23="Moderado"),CONCATENATE("R2C",'Mapa final'!$R$23),"")</f>
        <v/>
      </c>
      <c r="AB23" s="40" t="str">
        <f>IF(AND('Mapa final'!$AH$24="Alta",'Mapa final'!$AJ$24="Moderado"),CONCATENATE("R2C",'Mapa final'!$R$24),"")</f>
        <v/>
      </c>
      <c r="AC23" s="38" t="e">
        <f>IF(AND('Mapa final'!#REF!="Alta",'Mapa final'!#REF!="Mayor"),CONCATENATE("R2C",'Mapa final'!#REF!),"")</f>
        <v>#REF!</v>
      </c>
      <c r="AD23" s="39" t="e">
        <f>IF(AND('Mapa final'!#REF!="Alta",'Mapa final'!#REF!="Mayor"),CONCATENATE("R2C",'Mapa final'!#REF!),"")</f>
        <v>#REF!</v>
      </c>
      <c r="AE23" s="39" t="str">
        <f>IF(AND('Mapa final'!$AH$21="Alta",'Mapa final'!$AJ$21="Mayor"),CONCATENATE("R2C",'Mapa final'!$R$21),"")</f>
        <v/>
      </c>
      <c r="AF23" s="39" t="str">
        <f>IF(AND('Mapa final'!$AH$22="Alta",'Mapa final'!$AJ$22="Mayor"),CONCATENATE("R2C",'Mapa final'!$R$22),"")</f>
        <v/>
      </c>
      <c r="AG23" s="39" t="str">
        <f>IF(AND('Mapa final'!$AH$23="Alta",'Mapa final'!$AJ$23="Mayor"),CONCATENATE("R2C",'Mapa final'!$R$23),"")</f>
        <v/>
      </c>
      <c r="AH23" s="40" t="str">
        <f>IF(AND('Mapa final'!$AH$24="Alta",'Mapa final'!$AJ$24="Mayor"),CONCATENATE("R2C",'Mapa final'!$R$24),"")</f>
        <v/>
      </c>
      <c r="AI23" s="41" t="e">
        <f>IF(AND('Mapa final'!#REF!="Alta",'Mapa final'!#REF!="Catastrófico"),CONCATENATE("R2C",'Mapa final'!#REF!),"")</f>
        <v>#REF!</v>
      </c>
      <c r="AJ23" s="42" t="e">
        <f>IF(AND('Mapa final'!#REF!="Alta",'Mapa final'!#REF!="Catastrófico"),CONCATENATE("R2C",'Mapa final'!#REF!),"")</f>
        <v>#REF!</v>
      </c>
      <c r="AK23" s="42" t="str">
        <f>IF(AND('Mapa final'!$AH$21="Alta",'Mapa final'!$AJ$21="Catastrófico"),CONCATENATE("R2C",'Mapa final'!$R$21),"")</f>
        <v/>
      </c>
      <c r="AL23" s="42" t="str">
        <f>IF(AND('Mapa final'!$AH$22="Alta",'Mapa final'!$AJ$22="Catastrófico"),CONCATENATE("R2C",'Mapa final'!$R$22),"")</f>
        <v/>
      </c>
      <c r="AM23" s="42" t="str">
        <f>IF(AND('Mapa final'!$AH$23="Alta",'Mapa final'!$AJ$23="Catastrófico"),CONCATENATE("R2C",'Mapa final'!$R$23),"")</f>
        <v/>
      </c>
      <c r="AN23" s="43" t="str">
        <f>IF(AND('Mapa final'!$AH$24="Alta",'Mapa final'!$AJ$24="Catastrófico"),CONCATENATE("R2C",'Mapa final'!$R$24),"")</f>
        <v/>
      </c>
      <c r="AO23" s="68"/>
      <c r="AP23" s="528"/>
      <c r="AQ23" s="529"/>
      <c r="AR23" s="529"/>
      <c r="AS23" s="529"/>
      <c r="AT23" s="529"/>
      <c r="AU23" s="530"/>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row>
    <row r="24" spans="2:77" ht="15" customHeight="1">
      <c r="B24" s="68"/>
      <c r="C24" s="429"/>
      <c r="D24" s="429"/>
      <c r="E24" s="430"/>
      <c r="F24" s="519"/>
      <c r="G24" s="520"/>
      <c r="H24" s="520"/>
      <c r="I24" s="520"/>
      <c r="J24" s="520"/>
      <c r="K24" s="53" t="str">
        <f>IF(AND('Mapa final'!$AH$25="Alta",'Mapa final'!$AJ$25="Leve"),CONCATENATE("R2C",'Mapa final'!$R$25),"")</f>
        <v/>
      </c>
      <c r="L24" s="54" t="str">
        <f>IF(AND('Mapa final'!$AH$26="Alta",'Mapa final'!$AJ$26="Leve"),CONCATENATE("R2C",'Mapa final'!$R$26),"")</f>
        <v/>
      </c>
      <c r="M24" s="54" t="str">
        <f>IF(AND('Mapa final'!$AH$27="Alta",'Mapa final'!$AJ$27="Leve"),CONCATENATE("R2C",'Mapa final'!$R$27),"")</f>
        <v/>
      </c>
      <c r="N24" s="54" t="e">
        <f>IF(AND('Mapa final'!#REF!="Alta",'Mapa final'!#REF!="Leve"),CONCATENATE("R2C",'Mapa final'!#REF!),"")</f>
        <v>#REF!</v>
      </c>
      <c r="O24" s="54" t="str">
        <f>IF(AND('Mapa final'!$AH$29="Alta",'Mapa final'!$AJ$29="Leve"),CONCATENATE("R2C",'Mapa final'!$R$29),"")</f>
        <v/>
      </c>
      <c r="P24" s="55" t="str">
        <f>IF(AND('Mapa final'!$AH$30="Alta",'Mapa final'!$AJ$30="Leve"),CONCATENATE("R2C",'Mapa final'!$R$30),"")</f>
        <v/>
      </c>
      <c r="Q24" s="53" t="str">
        <f>IF(AND('Mapa final'!$AH$25="Alta",'Mapa final'!$AJ$25="Menor"),CONCATENATE("R2C",'Mapa final'!$R$25),"")</f>
        <v/>
      </c>
      <c r="R24" s="54" t="str">
        <f>IF(AND('Mapa final'!$AH$26="Alta",'Mapa final'!$AJ$26="Menor"),CONCATENATE("R2C",'Mapa final'!$R$26),"")</f>
        <v/>
      </c>
      <c r="S24" s="54" t="str">
        <f>IF(AND('Mapa final'!$AH$27="Alta",'Mapa final'!$AJ$27="Menor"),CONCATENATE("R2C",'Mapa final'!$R$27),"")</f>
        <v/>
      </c>
      <c r="T24" s="54" t="str">
        <f>IF(AND('Mapa final'!$AH$28="Alta",'Mapa final'!$AJ$28="Menor"),CONCATENATE("R2C",'Mapa final'!$R$28),"")</f>
        <v/>
      </c>
      <c r="U24" s="54" t="str">
        <f>IF(AND('Mapa final'!$AH$29="Alta",'Mapa final'!$AJ$29="Menor"),CONCATENATE("R2C",'Mapa final'!$R$29),"")</f>
        <v/>
      </c>
      <c r="V24" s="55" t="str">
        <f>IF(AND('Mapa final'!$AH$30="Alta",'Mapa final'!$AJ$30="Menor"),CONCATENATE("R2C",'Mapa final'!$R$30),"")</f>
        <v/>
      </c>
      <c r="W24" s="38" t="str">
        <f>IF(AND('Mapa final'!$AH$25="Alta",'Mapa final'!$AJ$25="Moderado"),CONCATENATE("R2C",'Mapa final'!$R$25),"")</f>
        <v/>
      </c>
      <c r="X24" s="39" t="str">
        <f>IF(AND('Mapa final'!$AH$26="Alta",'Mapa final'!$AJ$26="Moderado"),CONCATENATE("R2C",'Mapa final'!$R$26),"")</f>
        <v/>
      </c>
      <c r="Y24" s="39" t="str">
        <f>IF(AND('Mapa final'!$AH$27="Alta",'Mapa final'!$AJ$27="Moderado"),CONCATENATE("R2C",'Mapa final'!$R$27),"")</f>
        <v/>
      </c>
      <c r="Z24" s="39" t="str">
        <f>IF(AND('Mapa final'!$AH$28="Alta",'Mapa final'!$AJ$28="Moderado"),CONCATENATE("R2C",'Mapa final'!$R$28),"")</f>
        <v/>
      </c>
      <c r="AA24" s="39" t="str">
        <f>IF(AND('Mapa final'!$AH$29="Alta",'Mapa final'!$AJ$29="Moderado"),CONCATENATE("R2C",'Mapa final'!$R$29),"")</f>
        <v/>
      </c>
      <c r="AB24" s="40" t="str">
        <f>IF(AND('Mapa final'!$AH$30="Alta",'Mapa final'!$AJ$30="Moderado"),CONCATENATE("R2C",'Mapa final'!$R$30),"")</f>
        <v/>
      </c>
      <c r="AC24" s="38" t="str">
        <f>IF(AND('Mapa final'!$AH$25="Alta",'Mapa final'!$AJ$25="Mayor"),CONCATENATE("R2C",'Mapa final'!$R$25),"")</f>
        <v/>
      </c>
      <c r="AD24" s="39" t="str">
        <f>IF(AND('Mapa final'!$AH$26="Alta",'Mapa final'!$AJ$26="Mayor"),CONCATENATE("R2C",'Mapa final'!$R$26),"")</f>
        <v/>
      </c>
      <c r="AE24" s="39" t="str">
        <f>IF(AND('Mapa final'!$AH$27="Alta",'Mapa final'!$AJ$27="Mayor"),CONCATENATE("R2C",'Mapa final'!$R$27),"")</f>
        <v/>
      </c>
      <c r="AF24" s="39" t="str">
        <f>IF(AND('Mapa final'!$AH$28="Alta",'Mapa final'!$AJ$28="Mayor"),CONCATENATE("R2C",'Mapa final'!$R$28),"")</f>
        <v/>
      </c>
      <c r="AG24" s="39" t="str">
        <f>IF(AND('Mapa final'!$AH$29="Alta",'Mapa final'!$AJ$29="Mayor"),CONCATENATE("R2C",'Mapa final'!$R$29),"")</f>
        <v/>
      </c>
      <c r="AH24" s="40" t="str">
        <f>IF(AND('Mapa final'!$AH$30="Alta",'Mapa final'!$AJ$30="Mayor"),CONCATENATE("R2C",'Mapa final'!$R$30),"")</f>
        <v/>
      </c>
      <c r="AI24" s="41" t="str">
        <f>IF(AND('Mapa final'!$AH$25="Alta",'Mapa final'!$AJ$25="Catastrófico"),CONCATENATE("R2C",'Mapa final'!$R$25),"")</f>
        <v/>
      </c>
      <c r="AJ24" s="42" t="str">
        <f>IF(AND('Mapa final'!$AH$26="Alta",'Mapa final'!$AJ$26="Catastrófico"),CONCATENATE("R2C",'Mapa final'!$R$26),"")</f>
        <v/>
      </c>
      <c r="AK24" s="42" t="str">
        <f>IF(AND('Mapa final'!$AH$27="Alta",'Mapa final'!$AJ$27="Catastrófico"),CONCATENATE("R2C",'Mapa final'!$R$27),"")</f>
        <v/>
      </c>
      <c r="AL24" s="42" t="str">
        <f>IF(AND('Mapa final'!$AH$28="Alta",'Mapa final'!$AJ$28="Catastrófico"),CONCATENATE("R2C",'Mapa final'!$R$28),"")</f>
        <v/>
      </c>
      <c r="AM24" s="42" t="str">
        <f>IF(AND('Mapa final'!$AH$29="Alta",'Mapa final'!$AJ$29="Catastrófico"),CONCATENATE("R2C",'Mapa final'!$R$29),"")</f>
        <v/>
      </c>
      <c r="AN24" s="43" t="str">
        <f>IF(AND('Mapa final'!$AH$30="Alta",'Mapa final'!$AJ$30="Catastrófico"),CONCATENATE("R2C",'Mapa final'!$R$30),"")</f>
        <v/>
      </c>
      <c r="AO24" s="68"/>
      <c r="AP24" s="528"/>
      <c r="AQ24" s="529"/>
      <c r="AR24" s="529"/>
      <c r="AS24" s="529"/>
      <c r="AT24" s="529"/>
      <c r="AU24" s="530"/>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row>
    <row r="25" spans="2:77" ht="15" customHeight="1">
      <c r="B25" s="68"/>
      <c r="C25" s="429"/>
      <c r="D25" s="429"/>
      <c r="E25" s="430"/>
      <c r="F25" s="519"/>
      <c r="G25" s="520"/>
      <c r="H25" s="520"/>
      <c r="I25" s="520"/>
      <c r="J25" s="520"/>
      <c r="K25" s="53" t="str">
        <f>IF(AND('Mapa final'!$AH$31="Alta",'Mapa final'!$AJ$31="Leve"),CONCATENATE("R2C",'Mapa final'!$R$31),"")</f>
        <v/>
      </c>
      <c r="L25" s="54" t="str">
        <f>IF(AND('Mapa final'!$AH$32="Alta",'Mapa final'!$AJ$32="Leve"),CONCATENATE("R2C",'Mapa final'!$R$32),"")</f>
        <v/>
      </c>
      <c r="M25" s="54" t="str">
        <f>IF(AND('Mapa final'!$AH$33="Alta",'Mapa final'!$AJ$33="Leve"),CONCATENATE("R2C",'Mapa final'!$R$33),"")</f>
        <v/>
      </c>
      <c r="N25" s="54" t="e">
        <f>IF(AND('Mapa final'!#REF!="Alta",'Mapa final'!#REF!="Leve"),CONCATENATE("R2C",'Mapa final'!#REF!),"")</f>
        <v>#REF!</v>
      </c>
      <c r="O25" s="54" t="str">
        <f>IF(AND('Mapa final'!$AH$35="Alta",'Mapa final'!$AJ$35="Leve"),CONCATENATE("R2C",'Mapa final'!$R$35),"")</f>
        <v/>
      </c>
      <c r="P25" s="55" t="str">
        <f>IF(AND('Mapa final'!$AH$36="Alta",'Mapa final'!$AJ$36="Leve"),CONCATENATE("R2C",'Mapa final'!$R$36),"")</f>
        <v/>
      </c>
      <c r="Q25" s="53" t="str">
        <f>IF(AND('Mapa final'!$AH$31="Alta",'Mapa final'!$AJ$31="Menor"),CONCATENATE("R2C",'Mapa final'!$R$31),"")</f>
        <v/>
      </c>
      <c r="R25" s="54" t="str">
        <f>IF(AND('Mapa final'!$AH$32="Alta",'Mapa final'!$AJ$32="Menor"),CONCATENATE("R2C",'Mapa final'!$R$32),"")</f>
        <v/>
      </c>
      <c r="S25" s="54" t="str">
        <f>IF(AND('Mapa final'!$AH$33="Alta",'Mapa final'!$AJ$33="Menor"),CONCATENATE("R2C",'Mapa final'!$R$33),"")</f>
        <v/>
      </c>
      <c r="T25" s="54" t="str">
        <f>IF(AND('Mapa final'!$AH$34="Alta",'Mapa final'!$AJ$34="Menor"),CONCATENATE("R2C",'Mapa final'!$R$34),"")</f>
        <v/>
      </c>
      <c r="U25" s="54" t="str">
        <f>IF(AND('Mapa final'!$AH$35="Alta",'Mapa final'!$AJ$35="LMenor"),CONCATENATE("R2C",'Mapa final'!$R$35),"")</f>
        <v/>
      </c>
      <c r="V25" s="55" t="str">
        <f>IF(AND('Mapa final'!$AH$36="Alta",'Mapa final'!$AJ$36="Menor"),CONCATENATE("R2C",'Mapa final'!$R$36),"")</f>
        <v/>
      </c>
      <c r="W25" s="38" t="str">
        <f>IF(AND('Mapa final'!$AH$31="Alta",'Mapa final'!$AJ$31="Moderado"),CONCATENATE("R2C",'Mapa final'!$R$31),"")</f>
        <v/>
      </c>
      <c r="X25" s="39" t="str">
        <f>IF(AND('Mapa final'!$AH$32="Alta",'Mapa final'!$AJ$32="Moderado"),CONCATENATE("R2C",'Mapa final'!$R$32),"")</f>
        <v/>
      </c>
      <c r="Y25" s="39" t="str">
        <f>IF(AND('Mapa final'!$AH$33="Alta",'Mapa final'!$AJ$33="Moderado"),CONCATENATE("R2C",'Mapa final'!$R$33),"")</f>
        <v/>
      </c>
      <c r="Z25" s="39" t="str">
        <f>IF(AND('Mapa final'!$AH$34="Alta",'Mapa final'!$AJ$34="Moderado"),CONCATENATE("R2C",'Mapa final'!$R$34),"")</f>
        <v/>
      </c>
      <c r="AA25" s="39" t="str">
        <f>IF(AND('Mapa final'!$AH$35="Alta",'Mapa final'!$AJ$35="Moderado"),CONCATENATE("R2C",'Mapa final'!$R$35),"")</f>
        <v/>
      </c>
      <c r="AB25" s="40" t="str">
        <f>IF(AND('Mapa final'!$AH$36="Alta",'Mapa final'!$AJ$36="Moderado"),CONCATENATE("R2C",'Mapa final'!$R$36),"")</f>
        <v/>
      </c>
      <c r="AC25" s="38" t="str">
        <f>IF(AND('Mapa final'!$AH$31="Alta",'Mapa final'!$AJ$31="Mayor"),CONCATENATE("R2C",'Mapa final'!$R$31),"")</f>
        <v/>
      </c>
      <c r="AD25" s="39" t="str">
        <f>IF(AND('Mapa final'!$AH$32="Alta",'Mapa final'!$AJ$32="Mayor"),CONCATENATE("R2C",'Mapa final'!$R$32),"")</f>
        <v/>
      </c>
      <c r="AE25" s="39" t="str">
        <f>IF(AND('Mapa final'!$AH$33="Alta",'Mapa final'!$AJ$33="Mayor"),CONCATENATE("R2C",'Mapa final'!$R$33),"")</f>
        <v/>
      </c>
      <c r="AF25" s="39" t="str">
        <f>IF(AND('Mapa final'!$AH$34="Alta",'Mapa final'!$AJ$34="Mayor"),CONCATENATE("R2C",'Mapa final'!$R$34),"")</f>
        <v/>
      </c>
      <c r="AG25" s="39" t="str">
        <f>IF(AND('Mapa final'!$AH$35="Alta",'Mapa final'!$AJ$35="Mayor"),CONCATENATE("R2C",'Mapa final'!$R$35),"")</f>
        <v/>
      </c>
      <c r="AH25" s="40" t="str">
        <f>IF(AND('Mapa final'!$AH$36="Alta",'Mapa final'!$AJ$36="Mayor"),CONCATENATE("R2C",'Mapa final'!$R$36),"")</f>
        <v/>
      </c>
      <c r="AI25" s="41" t="str">
        <f>IF(AND('Mapa final'!$AH$31="Alta",'Mapa final'!$AJ$31="Catastrófico"),CONCATENATE("R2C",'Mapa final'!$R$31),"")</f>
        <v/>
      </c>
      <c r="AJ25" s="42" t="str">
        <f>IF(AND('Mapa final'!$AH$32="Alta",'Mapa final'!$AJ$32="Catastrófico"),CONCATENATE("R2C",'Mapa final'!$R$32),"")</f>
        <v/>
      </c>
      <c r="AK25" s="42" t="str">
        <f>IF(AND('Mapa final'!$AH$33="Alta",'Mapa final'!$AJ$33="Catastrófico"),CONCATENATE("R2C",'Mapa final'!$R$33),"")</f>
        <v/>
      </c>
      <c r="AL25" s="42" t="str">
        <f>IF(AND('Mapa final'!$AH$34="Alta",'Mapa final'!$AJ$34="Catastrófico"),CONCATENATE("R2C",'Mapa final'!$R$34),"")</f>
        <v/>
      </c>
      <c r="AM25" s="42" t="str">
        <f>IF(AND('Mapa final'!$AH$35="Alta",'Mapa final'!$AJ$35="LCatastrófico"),CONCATENATE("R2C",'Mapa final'!$R$35),"")</f>
        <v/>
      </c>
      <c r="AN25" s="43" t="str">
        <f>IF(AND('Mapa final'!$AH$36="Alta",'Mapa final'!$AJ$36="Catastrófico"),CONCATENATE("R2C",'Mapa final'!$R$36),"")</f>
        <v/>
      </c>
      <c r="AO25" s="68"/>
      <c r="AP25" s="528"/>
      <c r="AQ25" s="529"/>
      <c r="AR25" s="529"/>
      <c r="AS25" s="529"/>
      <c r="AT25" s="529"/>
      <c r="AU25" s="530"/>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row>
    <row r="26" spans="2:77" ht="15" customHeight="1">
      <c r="B26" s="68"/>
      <c r="C26" s="429"/>
      <c r="D26" s="429"/>
      <c r="E26" s="430"/>
      <c r="F26" s="519"/>
      <c r="G26" s="520"/>
      <c r="H26" s="520"/>
      <c r="I26" s="520"/>
      <c r="J26" s="520"/>
      <c r="K26" s="53" t="str">
        <f>IF(AND('Mapa final'!$AH$37="Alta",'Mapa final'!$AJ$37="Leve"),CONCATENATE("R2C",'Mapa final'!$R$37),"")</f>
        <v/>
      </c>
      <c r="L26" s="54" t="str">
        <f>IF(AND('Mapa final'!$AH$38="Alta",'Mapa final'!$AJ$38="Leve"),CONCATENATE("R2C",'Mapa final'!$R$38),"")</f>
        <v/>
      </c>
      <c r="M26" s="54" t="str">
        <f>IF(AND('Mapa final'!$AH$39="Alta",'Mapa final'!$AJ$39="Leve"),CONCATENATE("R2C",'Mapa final'!$R$39),"")</f>
        <v/>
      </c>
      <c r="N26" s="54" t="e">
        <f>IF(AND('Mapa final'!#REF!="Alta",'Mapa final'!#REF!="Leve"),CONCATENATE("R2C",'Mapa final'!#REF!),"")</f>
        <v>#REF!</v>
      </c>
      <c r="O26" s="54" t="str">
        <f>IF(AND('Mapa final'!$AH$41="Alta",'Mapa final'!$AJ$41="Leve"),CONCATENATE("R2C",'Mapa final'!$R$41),"")</f>
        <v/>
      </c>
      <c r="P26" s="55" t="str">
        <f>IF(AND('Mapa final'!$AH$42="Alta",'Mapa final'!$AJ$42="Leve"),CONCATENATE("R2C",'Mapa final'!$R$42),"")</f>
        <v/>
      </c>
      <c r="Q26" s="53" t="str">
        <f>IF(AND('Mapa final'!$AH$37="Alta",'Mapa final'!$AJ$37="Menor"),CONCATENATE("R2C",'Mapa final'!$R$37),"")</f>
        <v/>
      </c>
      <c r="R26" s="54" t="str">
        <f>IF(AND('Mapa final'!$AH$38="Alta",'Mapa final'!$AJ$38="Menor"),CONCATENATE("R2C",'Mapa final'!$R$38),"")</f>
        <v/>
      </c>
      <c r="S26" s="54" t="str">
        <f>IF(AND('Mapa final'!$AH$39="Alta",'Mapa final'!$AJ$39="Menor"),CONCATENATE("R2C",'Mapa final'!$R$39),"")</f>
        <v/>
      </c>
      <c r="T26" s="54" t="str">
        <f>IF(AND('Mapa final'!$AH$40="Alta",'Mapa final'!$AJ$40="Menor"),CONCATENATE("R2C",'Mapa final'!$R$40),"")</f>
        <v/>
      </c>
      <c r="U26" s="54" t="str">
        <f>IF(AND('Mapa final'!$AH$41="Alta",'Mapa final'!$AJ$41="Menor"),CONCATENATE("R2C",'Mapa final'!$R$41),"")</f>
        <v/>
      </c>
      <c r="V26" s="55" t="str">
        <f>IF(AND('Mapa final'!$AH$42="Alta",'Mapa final'!$AJ$42="Menor"),CONCATENATE("R2C",'Mapa final'!$R$42),"")</f>
        <v/>
      </c>
      <c r="W26" s="38" t="str">
        <f>IF(AND('Mapa final'!$AH$37="Alta",'Mapa final'!$AJ$37="Moderado"),CONCATENATE("R2C",'Mapa final'!$R$37),"")</f>
        <v/>
      </c>
      <c r="X26" s="39" t="str">
        <f>IF(AND('Mapa final'!$AH$38="Alta",'Mapa final'!$AJ$38="Moderado"),CONCATENATE("R2C",'Mapa final'!$R$38),"")</f>
        <v/>
      </c>
      <c r="Y26" s="39" t="str">
        <f>IF(AND('Mapa final'!$AH$39="Alta",'Mapa final'!$AJ$39="Moderado"),CONCATENATE("R2C",'Mapa final'!$R$39),"")</f>
        <v/>
      </c>
      <c r="Z26" s="39" t="str">
        <f>IF(AND('Mapa final'!$AH$40="Alta",'Mapa final'!$AJ$40="Moderado"),CONCATENATE("R2C",'Mapa final'!$R$40),"")</f>
        <v/>
      </c>
      <c r="AA26" s="39" t="str">
        <f>IF(AND('Mapa final'!$AH$41="Alta",'Mapa final'!$AJ$41="Moderado"),CONCATENATE("R2C",'Mapa final'!$R$41),"")</f>
        <v/>
      </c>
      <c r="AB26" s="40" t="str">
        <f>IF(AND('Mapa final'!$AH$42="Alta",'Mapa final'!$AJ$42="Moderado"),CONCATENATE("R2C",'Mapa final'!$R$42),"")</f>
        <v/>
      </c>
      <c r="AC26" s="38" t="str">
        <f>IF(AND('Mapa final'!$AH$37="Alta",'Mapa final'!$AJ$37="Mayor"),CONCATENATE("R2C",'Mapa final'!$R$37),"")</f>
        <v/>
      </c>
      <c r="AD26" s="39" t="str">
        <f>IF(AND('Mapa final'!$AH$38="Alta",'Mapa final'!$AJ$38="Mayor"),CONCATENATE("R2C",'Mapa final'!$R$38),"")</f>
        <v/>
      </c>
      <c r="AE26" s="39" t="str">
        <f>IF(AND('Mapa final'!$AH$39="Alta",'Mapa final'!$AJ$39="Mayor"),CONCATENATE("R2C",'Mapa final'!$R$39),"")</f>
        <v/>
      </c>
      <c r="AF26" s="39" t="str">
        <f>IF(AND('Mapa final'!$AH$40="Alta",'Mapa final'!$AJ$40="Mayor"),CONCATENATE("R2C",'Mapa final'!$R$40),"")</f>
        <v/>
      </c>
      <c r="AG26" s="39" t="str">
        <f>IF(AND('Mapa final'!$AH$41="Alta",'Mapa final'!$AJ$41="Mayor"),CONCATENATE("R2C",'Mapa final'!$R$41),"")</f>
        <v/>
      </c>
      <c r="AH26" s="40" t="str">
        <f>IF(AND('Mapa final'!$AH$42="Alta",'Mapa final'!$AJ$42="Mayor"),CONCATENATE("R2C",'Mapa final'!$R$42),"")</f>
        <v/>
      </c>
      <c r="AI26" s="41" t="str">
        <f>IF(AND('Mapa final'!$AH$37="Alta",'Mapa final'!$AJ$37="Catastrófico"),CONCATENATE("R2C",'Mapa final'!$R$37),"")</f>
        <v/>
      </c>
      <c r="AJ26" s="42" t="str">
        <f>IF(AND('Mapa final'!$AH$38="Alta",'Mapa final'!$AJ$38="Catastrófico"),CONCATENATE("R2C",'Mapa final'!$R$38),"")</f>
        <v/>
      </c>
      <c r="AK26" s="42" t="str">
        <f>IF(AND('Mapa final'!$AH$39="Alta",'Mapa final'!$AJ$39="Catastrófico"),CONCATENATE("R2C",'Mapa final'!$R$39),"")</f>
        <v/>
      </c>
      <c r="AL26" s="42" t="str">
        <f>IF(AND('Mapa final'!$AH$40="Alta",'Mapa final'!$AJ$40="Catastrófico"),CONCATENATE("R2C",'Mapa final'!$R$40),"")</f>
        <v/>
      </c>
      <c r="AM26" s="42" t="str">
        <f>IF(AND('Mapa final'!$AH$41="Alta",'Mapa final'!$AJ$41="Catastrófico"),CONCATENATE("R2C",'Mapa final'!$R$41),"")</f>
        <v/>
      </c>
      <c r="AN26" s="43" t="str">
        <f>IF(AND('Mapa final'!$AH$42="Alta",'Mapa final'!$AJ$42="Catastrófico"),CONCATENATE("R2C",'Mapa final'!$R$42),"")</f>
        <v/>
      </c>
      <c r="AO26" s="68"/>
      <c r="AP26" s="528"/>
      <c r="AQ26" s="529"/>
      <c r="AR26" s="529"/>
      <c r="AS26" s="529"/>
      <c r="AT26" s="529"/>
      <c r="AU26" s="530"/>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row>
    <row r="27" spans="2:77" ht="15" customHeight="1">
      <c r="B27" s="68"/>
      <c r="C27" s="429"/>
      <c r="D27" s="429"/>
      <c r="E27" s="430"/>
      <c r="F27" s="519"/>
      <c r="G27" s="520"/>
      <c r="H27" s="520"/>
      <c r="I27" s="520"/>
      <c r="J27" s="520"/>
      <c r="K27" s="53" t="str">
        <f>IF(AND('Mapa final'!$AH$43="Alta",'Mapa final'!$AJ$43="Leve"),CONCATENATE("R2C",'Mapa final'!$R$43),"")</f>
        <v/>
      </c>
      <c r="L27" s="54" t="str">
        <f>IF(AND('Mapa final'!$AH$44="Alta",'Mapa final'!$AJ$44="Leve"),CONCATENATE("R2C",'Mapa final'!$R$44),"")</f>
        <v/>
      </c>
      <c r="M27" s="54" t="str">
        <f>IF(AND('Mapa final'!$AH$45="Alta",'Mapa final'!$AJ$45="Leve"),CONCATENATE("R2C",'Mapa final'!$R$45),"")</f>
        <v/>
      </c>
      <c r="N27" s="54" t="e">
        <f>IF(AND('Mapa final'!#REF!="Alta",'Mapa final'!#REF!="Leve"),CONCATENATE("R2C",'Mapa final'!#REF!),"")</f>
        <v>#REF!</v>
      </c>
      <c r="O27" s="54" t="str">
        <f>IF(AND('Mapa final'!$AH$47="Alta",'Mapa final'!$AJ$47="Leve"),CONCATENATE("R2C",'Mapa final'!$R$47),"")</f>
        <v/>
      </c>
      <c r="P27" s="55" t="str">
        <f>IF(AND('Mapa final'!$AH$58="Alta",'Mapa final'!$AJ$48="Leve"),CONCATENATE("R2C",'Mapa final'!$R$48),"")</f>
        <v/>
      </c>
      <c r="Q27" s="53" t="str">
        <f>IF(AND('Mapa final'!$AH$43="Alta",'Mapa final'!$AJ$43="Menor"),CONCATENATE("R2C",'Mapa final'!$R$43),"")</f>
        <v/>
      </c>
      <c r="R27" s="54" t="str">
        <f>IF(AND('Mapa final'!$AH$44="Alta",'Mapa final'!$AJ$44="Menor"),CONCATENATE("R2C",'Mapa final'!$R$44),"")</f>
        <v/>
      </c>
      <c r="S27" s="54" t="str">
        <f>IF(AND('Mapa final'!$AH$45="Alta",'Mapa final'!$AJ$45="Menor"),CONCATENATE("R2C",'Mapa final'!$R$45),"")</f>
        <v/>
      </c>
      <c r="T27" s="54" t="str">
        <f>IF(AND('Mapa final'!$AH$46="Alta",'Mapa final'!$AJ$46="Menor"),CONCATENATE("R2C",'Mapa final'!$R$46),"")</f>
        <v/>
      </c>
      <c r="U27" s="54" t="str">
        <f>IF(AND('Mapa final'!$AH$47="Alta",'Mapa final'!$AJ$47="Menor"),CONCATENATE("R2C",'Mapa final'!$R$47),"")</f>
        <v/>
      </c>
      <c r="V27" s="55" t="str">
        <f>IF(AND('Mapa final'!$AH$58="Alta",'Mapa final'!$AJ$48="Menor"),CONCATENATE("R2C",'Mapa final'!$R$48),"")</f>
        <v/>
      </c>
      <c r="W27" s="38" t="str">
        <f>IF(AND('Mapa final'!$AH$43="Alta",'Mapa final'!$AJ$43="Moderado"),CONCATENATE("R2C",'Mapa final'!$R$43),"")</f>
        <v/>
      </c>
      <c r="X27" s="39" t="str">
        <f>IF(AND('Mapa final'!$AH$44="Alta",'Mapa final'!$AJ$44="Moderado"),CONCATENATE("R2C",'Mapa final'!$R$44),"")</f>
        <v/>
      </c>
      <c r="Y27" s="39" t="str">
        <f>IF(AND('Mapa final'!$AH$45="Alta",'Mapa final'!$AJ$45="Moderado"),CONCATENATE("R2C",'Mapa final'!$R$45),"")</f>
        <v/>
      </c>
      <c r="Z27" s="39" t="str">
        <f>IF(AND('Mapa final'!$AH$46="Alta",'Mapa final'!$AJ$46="Moderado"),CONCATENATE("R2C",'Mapa final'!$R$46),"")</f>
        <v/>
      </c>
      <c r="AA27" s="39" t="str">
        <f>IF(AND('Mapa final'!$AH$47="Alta",'Mapa final'!$AJ$47="Moderado"),CONCATENATE("R2C",'Mapa final'!$R$47),"")</f>
        <v/>
      </c>
      <c r="AB27" s="40" t="str">
        <f>IF(AND('Mapa final'!$AH$58="Alta",'Mapa final'!$AJ$48="Moderado"),CONCATENATE("R2C",'Mapa final'!$R$48),"")</f>
        <v/>
      </c>
      <c r="AC27" s="38" t="str">
        <f>IF(AND('Mapa final'!$AH$43="Alta",'Mapa final'!$AJ$43="Mayor"),CONCATENATE("R2C",'Mapa final'!$R$43),"")</f>
        <v/>
      </c>
      <c r="AD27" s="39" t="str">
        <f>IF(AND('Mapa final'!$AH$44="Alta",'Mapa final'!$AJ$44="Mayor"),CONCATENATE("R2C",'Mapa final'!$R$44),"")</f>
        <v/>
      </c>
      <c r="AE27" s="39" t="str">
        <f>IF(AND('Mapa final'!$AH$45="Alta",'Mapa final'!$AJ$45="Mayor"),CONCATENATE("R2C",'Mapa final'!$R$45),"")</f>
        <v/>
      </c>
      <c r="AF27" s="39" t="str">
        <f>IF(AND('Mapa final'!$AH$46="Alta",'Mapa final'!$AJ$46="Mayor"),CONCATENATE("R2C",'Mapa final'!$R$46),"")</f>
        <v/>
      </c>
      <c r="AG27" s="39" t="str">
        <f>IF(AND('Mapa final'!$AH$47="Alta",'Mapa final'!$AJ$47="Mayor"),CONCATENATE("R2C",'Mapa final'!$R$47),"")</f>
        <v/>
      </c>
      <c r="AH27" s="40" t="str">
        <f>IF(AND('Mapa final'!$AH$58="Alta",'Mapa final'!$AJ$48="Mayor"),CONCATENATE("R2C",'Mapa final'!$R$48),"")</f>
        <v/>
      </c>
      <c r="AI27" s="41" t="str">
        <f>IF(AND('Mapa final'!$AH$43="Alta",'Mapa final'!$AJ$43="Catastrófico"),CONCATENATE("R2C",'Mapa final'!$R$43),"")</f>
        <v/>
      </c>
      <c r="AJ27" s="42" t="str">
        <f>IF(AND('Mapa final'!$AH$44="Alta",'Mapa final'!$AJ$44="Catastrófico"),CONCATENATE("R2C",'Mapa final'!$R$44),"")</f>
        <v/>
      </c>
      <c r="AK27" s="42" t="str">
        <f>IF(AND('Mapa final'!$AH$45="Alta",'Mapa final'!$AJ$45="Catastrófico"),CONCATENATE("R2C",'Mapa final'!$R$45),"")</f>
        <v/>
      </c>
      <c r="AL27" s="42" t="str">
        <f>IF(AND('Mapa final'!$AH$46="Alta",'Mapa final'!$AJ$46="Catastrófico"),CONCATENATE("R2C",'Mapa final'!$R$46),"")</f>
        <v/>
      </c>
      <c r="AM27" s="42" t="str">
        <f>IF(AND('Mapa final'!$AH$47="Alta",'Mapa final'!$AJ$47="Catastrófico"),CONCATENATE("R2C",'Mapa final'!$R$47),"")</f>
        <v/>
      </c>
      <c r="AN27" s="43" t="str">
        <f>IF(AND('Mapa final'!$AH$58="Alta",'Mapa final'!$AJ$48="Catastrófico"),CONCATENATE("R2C",'Mapa final'!$R$48),"")</f>
        <v/>
      </c>
      <c r="AO27" s="68"/>
      <c r="AP27" s="528"/>
      <c r="AQ27" s="529"/>
      <c r="AR27" s="529"/>
      <c r="AS27" s="529"/>
      <c r="AT27" s="529"/>
      <c r="AU27" s="530"/>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row>
    <row r="28" spans="2:77" ht="15" customHeight="1">
      <c r="B28" s="68"/>
      <c r="C28" s="429"/>
      <c r="D28" s="429"/>
      <c r="E28" s="430"/>
      <c r="F28" s="519"/>
      <c r="G28" s="520"/>
      <c r="H28" s="520"/>
      <c r="I28" s="520"/>
      <c r="J28" s="520"/>
      <c r="K28" s="53" t="str">
        <f>IF(AND('Mapa final'!$AH$49="Alta",'Mapa final'!$AJ$49="Leve"),CONCATENATE("R2C",'Mapa final'!$R$49),"")</f>
        <v/>
      </c>
      <c r="L28" s="54" t="str">
        <f>IF(AND('Mapa final'!$AH$50="Alta",'Mapa final'!$AJ$50="Leve"),CONCATENATE("R2C",'Mapa final'!$R$50),"")</f>
        <v/>
      </c>
      <c r="M28" s="54" t="str">
        <f>IF(AND('Mapa final'!$AH$51="Alta",'Mapa final'!$AJ$51="Leve"),CONCATENATE("R2C",'Mapa final'!$R$51),"")</f>
        <v/>
      </c>
      <c r="N28" s="54" t="e">
        <f>IF(AND('Mapa final'!#REF!="Alta",'Mapa final'!#REF!="Leve"),CONCATENATE("R2C",'Mapa final'!#REF!),"")</f>
        <v>#REF!</v>
      </c>
      <c r="O28" s="54" t="str">
        <f>IF(AND('Mapa final'!$AH$53="Alta",'Mapa final'!$AJ$53="Leve"),CONCATENATE("R2C",'Mapa final'!$R$53),"")</f>
        <v/>
      </c>
      <c r="P28" s="55" t="str">
        <f>IF(AND('Mapa final'!$AH$54="Alta",'Mapa final'!$AJ$54="Leve"),CONCATENATE("R2C",'Mapa final'!$R$54),"")</f>
        <v/>
      </c>
      <c r="Q28" s="53" t="str">
        <f>IF(AND('Mapa final'!$AH$49="Alta",'Mapa final'!$AJ$49="Menor"),CONCATENATE("R2C",'Mapa final'!$R$49),"")</f>
        <v/>
      </c>
      <c r="R28" s="54" t="str">
        <f>IF(AND('Mapa final'!$AH$50="Alta",'Mapa final'!$AJ$50="Menor"),CONCATENATE("R2C",'Mapa final'!$R$50),"")</f>
        <v/>
      </c>
      <c r="S28" s="54" t="str">
        <f>IF(AND('Mapa final'!$AH$51="Alta",'Mapa final'!$AJ$51="Menor"),CONCATENATE("R2C",'Mapa final'!$R$51),"")</f>
        <v/>
      </c>
      <c r="T28" s="54" t="str">
        <f>IF(AND('Mapa final'!$AH$52="Alta",'Mapa final'!$AJ$52="Menor"),CONCATENATE("R2C",'Mapa final'!$R$52),"")</f>
        <v/>
      </c>
      <c r="U28" s="54" t="str">
        <f>IF(AND('Mapa final'!$AH$53="Alta",'Mapa final'!$AJ$53="Menor"),CONCATENATE("R2C",'Mapa final'!$R$53),"")</f>
        <v/>
      </c>
      <c r="V28" s="55" t="str">
        <f>IF(AND('Mapa final'!$AH$54="Alta",'Mapa final'!$AJ$54="Menor"),CONCATENATE("R2C",'Mapa final'!$R$54),"")</f>
        <v/>
      </c>
      <c r="W28" s="38" t="str">
        <f>IF(AND('Mapa final'!$AH$49="Alta",'Mapa final'!$AJ$49="Moderado"),CONCATENATE("R2C",'Mapa final'!$R$49),"")</f>
        <v/>
      </c>
      <c r="X28" s="39" t="str">
        <f>IF(AND('Mapa final'!$AH$50="Alta",'Mapa final'!$AJ$50="Moderado"),CONCATENATE("R2C",'Mapa final'!$R$50),"")</f>
        <v/>
      </c>
      <c r="Y28" s="39" t="str">
        <f>IF(AND('Mapa final'!$AH$51="Alta",'Mapa final'!$AJ$51="Moderado"),CONCATENATE("R2C",'Mapa final'!$R$51),"")</f>
        <v/>
      </c>
      <c r="Z28" s="39" t="str">
        <f>IF(AND('Mapa final'!$AH$52="Alta",'Mapa final'!$AJ$52="Moderado"),CONCATENATE("R2C",'Mapa final'!$R$52),"")</f>
        <v/>
      </c>
      <c r="AA28" s="39" t="str">
        <f>IF(AND('Mapa final'!$AH$53="Alta",'Mapa final'!$AJ$53="Moderado"),CONCATENATE("R2C",'Mapa final'!$R$53),"")</f>
        <v/>
      </c>
      <c r="AB28" s="40" t="str">
        <f>IF(AND('Mapa final'!$AH$54="Alta",'Mapa final'!$AJ$54="Moderado"),CONCATENATE("R2C",'Mapa final'!$R$54),"")</f>
        <v/>
      </c>
      <c r="AC28" s="38" t="str">
        <f>IF(AND('Mapa final'!$AH$49="Alta",'Mapa final'!$AJ$49="Mayor"),CONCATENATE("R2C",'Mapa final'!$R$49),"")</f>
        <v/>
      </c>
      <c r="AD28" s="39" t="str">
        <f>IF(AND('Mapa final'!$AH$50="Alta",'Mapa final'!$AJ$50="Mayor"),CONCATENATE("R2C",'Mapa final'!$R$50),"")</f>
        <v/>
      </c>
      <c r="AE28" s="39" t="str">
        <f>IF(AND('Mapa final'!$AH$51="Alta",'Mapa final'!$AJ$51="Mayor"),CONCATENATE("R2C",'Mapa final'!$R$51),"")</f>
        <v/>
      </c>
      <c r="AF28" s="39" t="str">
        <f>IF(AND('Mapa final'!$AH$52="Alta",'Mapa final'!$AJ$52="Mayor"),CONCATENATE("R2C",'Mapa final'!$R$52),"")</f>
        <v/>
      </c>
      <c r="AG28" s="39" t="str">
        <f>IF(AND('Mapa final'!$AH$53="Alta",'Mapa final'!$AJ$53="Mayor"),CONCATENATE("R2C",'Mapa final'!$R$53),"")</f>
        <v/>
      </c>
      <c r="AH28" s="40" t="str">
        <f>IF(AND('Mapa final'!$AH$54="Alta",'Mapa final'!$AJ$54="Mayor"),CONCATENATE("R2C",'Mapa final'!$R$54),"")</f>
        <v/>
      </c>
      <c r="AI28" s="41" t="str">
        <f>IF(AND('Mapa final'!$AH$49="Alta",'Mapa final'!$AJ$49="Catastrófico"),CONCATENATE("R2C",'Mapa final'!$R$49),"")</f>
        <v/>
      </c>
      <c r="AJ28" s="42" t="str">
        <f>IF(AND('Mapa final'!$AH$50="Alta",'Mapa final'!$AJ$50="Catastrófico"),CONCATENATE("R2C",'Mapa final'!$R$50),"")</f>
        <v/>
      </c>
      <c r="AK28" s="42" t="str">
        <f>IF(AND('Mapa final'!$AH$51="Alta",'Mapa final'!$AJ$51="Catastrófico"),CONCATENATE("R2C",'Mapa final'!$R$51),"")</f>
        <v/>
      </c>
      <c r="AL28" s="42" t="str">
        <f>IF(AND('Mapa final'!$AH$52="Alta",'Mapa final'!$AJ$52="Catastrófico"),CONCATENATE("R2C",'Mapa final'!$R$52),"")</f>
        <v/>
      </c>
      <c r="AM28" s="42" t="str">
        <f>IF(AND('Mapa final'!$AH$53="Alta",'Mapa final'!$AJ$53="Catastrófico"),CONCATENATE("R2C",'Mapa final'!$R$53),"")</f>
        <v/>
      </c>
      <c r="AN28" s="43" t="str">
        <f>IF(AND('Mapa final'!$AH$54="Alta",'Mapa final'!$AJ$54="Catastrófico"),CONCATENATE("R2C",'Mapa final'!$R$54),"")</f>
        <v/>
      </c>
      <c r="AO28" s="68"/>
      <c r="AP28" s="528"/>
      <c r="AQ28" s="529"/>
      <c r="AR28" s="529"/>
      <c r="AS28" s="529"/>
      <c r="AT28" s="529"/>
      <c r="AU28" s="530"/>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row>
    <row r="29" spans="2:77" ht="15" customHeight="1">
      <c r="B29" s="68"/>
      <c r="C29" s="429"/>
      <c r="D29" s="429"/>
      <c r="E29" s="430"/>
      <c r="F29" s="519"/>
      <c r="G29" s="520"/>
      <c r="H29" s="520"/>
      <c r="I29" s="520"/>
      <c r="J29" s="520"/>
      <c r="K29" s="53" t="str">
        <f>IF(AND('Mapa final'!$AH$55="Alta",'Mapa final'!$AJ$55="Leve"),CONCATENATE("R2C",'Mapa final'!$R$55),"")</f>
        <v/>
      </c>
      <c r="L29" s="54" t="str">
        <f>IF(AND('Mapa final'!$AH$56="Alta",'Mapa final'!$AJ$56="Leve"),CONCATENATE("R2C",'Mapa final'!$R$56),"")</f>
        <v/>
      </c>
      <c r="M29" s="54" t="str">
        <f>IF(AND('Mapa final'!$AH$57="Alta",'Mapa final'!$AJ$57="Leve"),CONCATENATE("R2C",'Mapa final'!$R$57),"")</f>
        <v/>
      </c>
      <c r="N29" s="54" t="e">
        <f>IF(AND('Mapa final'!#REF!="Alta",'Mapa final'!#REF!="Leve"),CONCATENATE("R2C",'Mapa final'!#REF!),"")</f>
        <v>#REF!</v>
      </c>
      <c r="O29" s="54" t="str">
        <f>IF(AND('Mapa final'!$AH$59="Alta",'Mapa final'!$AJ$59="Leve"),CONCATENATE("R2C",'Mapa final'!$R$59),"")</f>
        <v/>
      </c>
      <c r="P29" s="55" t="str">
        <f>IF(AND('Mapa final'!$AH$60="Alta",'Mapa final'!$AJ$60="Leve"),CONCATENATE("R2C",'Mapa final'!$R$60),"")</f>
        <v/>
      </c>
      <c r="Q29" s="53" t="str">
        <f>IF(AND('Mapa final'!$AH$55="Alta",'Mapa final'!$AJ$55="Menor"),CONCATENATE("R2C",'Mapa final'!$R$55),"")</f>
        <v/>
      </c>
      <c r="R29" s="54" t="str">
        <f>IF(AND('Mapa final'!$AH$56="Alta",'Mapa final'!$AJ$56="Menor"),CONCATENATE("R2C",'Mapa final'!$R$56),"")</f>
        <v/>
      </c>
      <c r="S29" s="54" t="str">
        <f>IF(AND('Mapa final'!$AH$57="Alta",'Mapa final'!$AJ$57="Menor"),CONCATENATE("R2C",'Mapa final'!$R$57),"")</f>
        <v/>
      </c>
      <c r="T29" s="54" t="str">
        <f>IF(AND('Mapa final'!$AH$58="Alta",'Mapa final'!$AJ$58="Menor"),CONCATENATE("R2C",'Mapa final'!$R$58),"")</f>
        <v/>
      </c>
      <c r="U29" s="54" t="str">
        <f>IF(AND('Mapa final'!$AH$59="Alta",'Mapa final'!$AJ$59="Menor"),CONCATENATE("R2C",'Mapa final'!$R$59),"")</f>
        <v/>
      </c>
      <c r="V29" s="55" t="str">
        <f>IF(AND('Mapa final'!$AH$60="Alta",'Mapa final'!$AJ$60="Menor"),CONCATENATE("R2C",'Mapa final'!$R$60),"")</f>
        <v/>
      </c>
      <c r="W29" s="38" t="str">
        <f>IF(AND('Mapa final'!$AH$55="Alta",'Mapa final'!$AJ$55="Moderado"),CONCATENATE("R2C",'Mapa final'!$R$55),"")</f>
        <v/>
      </c>
      <c r="X29" s="39" t="str">
        <f>IF(AND('Mapa final'!$AH$56="Alta",'Mapa final'!$AJ$56="Moderado"),CONCATENATE("R2C",'Mapa final'!$R$56),"")</f>
        <v/>
      </c>
      <c r="Y29" s="39" t="str">
        <f>IF(AND('Mapa final'!$AH$57="Alta",'Mapa final'!$AJ$57="Moderado"),CONCATENATE("R2C",'Mapa final'!$R$57),"")</f>
        <v/>
      </c>
      <c r="Z29" s="39" t="str">
        <f>IF(AND('Mapa final'!$AH$58="Alta",'Mapa final'!$AJ$58="Moderado"),CONCATENATE("R2C",'Mapa final'!$R$58),"")</f>
        <v/>
      </c>
      <c r="AA29" s="39" t="str">
        <f>IF(AND('Mapa final'!$AH$59="Alta",'Mapa final'!$AJ$59="Moderado"),CONCATENATE("R2C",'Mapa final'!$R$59),"")</f>
        <v/>
      </c>
      <c r="AB29" s="40" t="str">
        <f>IF(AND('Mapa final'!$AH$60="Alta",'Mapa final'!$AJ$60="Moderado"),CONCATENATE("R2C",'Mapa final'!$R$60),"")</f>
        <v/>
      </c>
      <c r="AC29" s="38" t="str">
        <f>IF(AND('Mapa final'!$AH$55="Alta",'Mapa final'!$AJ$55="Mayor"),CONCATENATE("R2C",'Mapa final'!$R$55),"")</f>
        <v/>
      </c>
      <c r="AD29" s="39" t="str">
        <f>IF(AND('Mapa final'!$AH$56="Alta",'Mapa final'!$AJ$56="Mayor"),CONCATENATE("R2C",'Mapa final'!$R$56),"")</f>
        <v/>
      </c>
      <c r="AE29" s="39" t="str">
        <f>IF(AND('Mapa final'!$AH$57="Alta",'Mapa final'!$AJ$57="Mayor"),CONCATENATE("R2C",'Mapa final'!$R$57),"")</f>
        <v/>
      </c>
      <c r="AF29" s="39" t="str">
        <f>IF(AND('Mapa final'!$AH$58="Alta",'Mapa final'!$AJ$58="Mayor"),CONCATENATE("R2C",'Mapa final'!$R$58),"")</f>
        <v/>
      </c>
      <c r="AG29" s="39" t="str">
        <f>IF(AND('Mapa final'!$AH$59="Alta",'Mapa final'!$AJ$59="Mayor"),CONCATENATE("R2C",'Mapa final'!$R$59),"")</f>
        <v/>
      </c>
      <c r="AH29" s="40" t="str">
        <f>IF(AND('Mapa final'!$AH$60="Alta",'Mapa final'!$AJ$60="Mayor"),CONCATENATE("R2C",'Mapa final'!$R$60),"")</f>
        <v/>
      </c>
      <c r="AI29" s="41" t="str">
        <f>IF(AND('Mapa final'!$AH$55="Alta",'Mapa final'!$AJ$55="Catastrófico"),CONCATENATE("R2C",'Mapa final'!$R$55),"")</f>
        <v/>
      </c>
      <c r="AJ29" s="42" t="str">
        <f>IF(AND('Mapa final'!$AH$56="Alta",'Mapa final'!$AJ$56="Catastrófico"),CONCATENATE("R2C",'Mapa final'!$R$56),"")</f>
        <v/>
      </c>
      <c r="AK29" s="42" t="str">
        <f>IF(AND('Mapa final'!$AH$57="Alta",'Mapa final'!$AJ$57="Catastrófico"),CONCATENATE("R2C",'Mapa final'!$R$57),"")</f>
        <v/>
      </c>
      <c r="AL29" s="42" t="str">
        <f>IF(AND('Mapa final'!$AH$58="Alta",'Mapa final'!$AJ$58="Catastrófico"),CONCATENATE("R2C",'Mapa final'!$R$58),"")</f>
        <v/>
      </c>
      <c r="AM29" s="42" t="str">
        <f>IF(AND('Mapa final'!$AH$59="Alta",'Mapa final'!$AJ$59="Catastrófico"),CONCATENATE("R2C",'Mapa final'!$R$59),"")</f>
        <v/>
      </c>
      <c r="AN29" s="43" t="str">
        <f>IF(AND('Mapa final'!$AH$60="Alta",'Mapa final'!$AJ$60="Catastrófico"),CONCATENATE("R2C",'Mapa final'!$R$60),"")</f>
        <v/>
      </c>
      <c r="AO29" s="68"/>
      <c r="AP29" s="528"/>
      <c r="AQ29" s="529"/>
      <c r="AR29" s="529"/>
      <c r="AS29" s="529"/>
      <c r="AT29" s="529"/>
      <c r="AU29" s="530"/>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row>
    <row r="30" spans="2:77" ht="15" customHeight="1">
      <c r="B30" s="68"/>
      <c r="C30" s="429"/>
      <c r="D30" s="429"/>
      <c r="E30" s="430"/>
      <c r="F30" s="519"/>
      <c r="G30" s="520"/>
      <c r="H30" s="520"/>
      <c r="I30" s="520"/>
      <c r="J30" s="520"/>
      <c r="K30" s="53" t="str">
        <f>IF(AND('Mapa final'!$AH$61="Alta",'Mapa final'!$AJ$61="Leve"),CONCATENATE("R2C",'Mapa final'!$R$61),"")</f>
        <v/>
      </c>
      <c r="L30" s="54" t="str">
        <f>IF(AND('Mapa final'!$AH$62="Alta",'Mapa final'!$AJ$62="Leve"),CONCATENATE("R2C",'Mapa final'!$R$62),"")</f>
        <v/>
      </c>
      <c r="M30" s="54" t="str">
        <f>IF(AND('Mapa final'!$AH$63="Alta",'Mapa final'!$AJ$63="Leve"),CONCATENATE("R2C",'Mapa final'!$R$63),"")</f>
        <v/>
      </c>
      <c r="N30" s="54" t="e">
        <f>IF(AND('Mapa final'!#REF!="Alta",'Mapa final'!#REF!="Leve"),CONCATENATE("R2C",'Mapa final'!#REF!),"")</f>
        <v>#REF!</v>
      </c>
      <c r="O30" s="54" t="str">
        <f>IF(AND('Mapa final'!$AH$65="Alta",'Mapa final'!$AJ$65="Leve"),CONCATENATE("R2C",'Mapa final'!$R$65),"")</f>
        <v/>
      </c>
      <c r="P30" s="55" t="str">
        <f>IF(AND('Mapa final'!$AH$66="Alta",'Mapa final'!$AJ$66="Leve"),CONCATENATE("R2C",'Mapa final'!$R$66),"")</f>
        <v/>
      </c>
      <c r="Q30" s="53" t="str">
        <f>IF(AND('Mapa final'!$AH$61="Alta",'Mapa final'!$AJ$61="Menor"),CONCATENATE("R2C",'Mapa final'!$R$61),"")</f>
        <v/>
      </c>
      <c r="R30" s="54" t="str">
        <f>IF(AND('Mapa final'!$AH$62="Alta",'Mapa final'!$AJ$62="Menor"),CONCATENATE("R2C",'Mapa final'!$R$62),"")</f>
        <v/>
      </c>
      <c r="S30" s="54" t="str">
        <f>IF(AND('Mapa final'!$AH$63="Alta",'Mapa final'!$AJ$63="Menor"),CONCATENATE("R2C",'Mapa final'!$R$63),"")</f>
        <v/>
      </c>
      <c r="T30" s="54" t="str">
        <f>IF(AND('Mapa final'!$AH$64="Alta",'Mapa final'!$AJ$64="Menor"),CONCATENATE("R2C",'Mapa final'!$R$64),"")</f>
        <v/>
      </c>
      <c r="U30" s="54" t="str">
        <f>IF(AND('Mapa final'!$AH$65="Alta",'Mapa final'!$AJ$65="Menor"),CONCATENATE("R2C",'Mapa final'!$R$65),"")</f>
        <v/>
      </c>
      <c r="V30" s="55" t="str">
        <f>IF(AND('Mapa final'!$AH$66="Alta",'Mapa final'!$AJ$66="Menor"),CONCATENATE("R2C",'Mapa final'!$R$66),"")</f>
        <v/>
      </c>
      <c r="W30" s="38" t="str">
        <f>IF(AND('Mapa final'!$AH$61="Alta",'Mapa final'!$AJ$61="Moderado"),CONCATENATE("R2C",'Mapa final'!$R$61),"")</f>
        <v/>
      </c>
      <c r="X30" s="39" t="str">
        <f>IF(AND('Mapa final'!$AH$62="Alta",'Mapa final'!$AJ$62="Moderado"),CONCATENATE("R2C",'Mapa final'!$R$62),"")</f>
        <v/>
      </c>
      <c r="Y30" s="39" t="str">
        <f>IF(AND('Mapa final'!$AH$63="Alta",'Mapa final'!$AJ$63="Moderado"),CONCATENATE("R2C",'Mapa final'!$R$63),"")</f>
        <v/>
      </c>
      <c r="Z30" s="39" t="str">
        <f>IF(AND('Mapa final'!$AH$64="Alta",'Mapa final'!$AJ$64="Moderado"),CONCATENATE("R2C",'Mapa final'!$R$64),"")</f>
        <v/>
      </c>
      <c r="AA30" s="39" t="str">
        <f>IF(AND('Mapa final'!$AH$65="Alta",'Mapa final'!$AJ$65="Moderado"),CONCATENATE("R2C",'Mapa final'!$R$65),"")</f>
        <v/>
      </c>
      <c r="AB30" s="40" t="str">
        <f>IF(AND('Mapa final'!$AH$66="Alta",'Mapa final'!$AJ$66="Moderado"),CONCATENATE("R2C",'Mapa final'!$R$66),"")</f>
        <v/>
      </c>
      <c r="AC30" s="38" t="str">
        <f>IF(AND('Mapa final'!$AH$61="Alta",'Mapa final'!$AJ$61="Mayor"),CONCATENATE("R2C",'Mapa final'!$R$61),"")</f>
        <v/>
      </c>
      <c r="AD30" s="39" t="str">
        <f>IF(AND('Mapa final'!$AH$62="Alta",'Mapa final'!$AJ$62="Mayor"),CONCATENATE("R2C",'Mapa final'!$R$62),"")</f>
        <v/>
      </c>
      <c r="AE30" s="39" t="str">
        <f>IF(AND('Mapa final'!$AH$63="Alta",'Mapa final'!$AJ$63="Mayor"),CONCATENATE("R2C",'Mapa final'!$R$63),"")</f>
        <v/>
      </c>
      <c r="AF30" s="39" t="str">
        <f>IF(AND('Mapa final'!$AH$64="Alta",'Mapa final'!$AJ$64="Mayor"),CONCATENATE("R2C",'Mapa final'!$R$64),"")</f>
        <v/>
      </c>
      <c r="AG30" s="39" t="str">
        <f>IF(AND('Mapa final'!$AH$65="Alta",'Mapa final'!$AJ$65="Mayor"),CONCATENATE("R2C",'Mapa final'!$R$65),"")</f>
        <v/>
      </c>
      <c r="AH30" s="40" t="str">
        <f>IF(AND('Mapa final'!$AH$66="Alta",'Mapa final'!$AJ$66="Mayor"),CONCATENATE("R2C",'Mapa final'!$R$66),"")</f>
        <v/>
      </c>
      <c r="AI30" s="41" t="str">
        <f>IF(AND('Mapa final'!$AH$61="Alta",'Mapa final'!$AJ$61="Catastrófico"),CONCATENATE("R2C",'Mapa final'!$R$61),"")</f>
        <v/>
      </c>
      <c r="AJ30" s="42" t="str">
        <f>IF(AND('Mapa final'!$AH$62="Alta",'Mapa final'!$AJ$62="Catastrófico"),CONCATENATE("R2C",'Mapa final'!$R$62),"")</f>
        <v/>
      </c>
      <c r="AK30" s="42" t="str">
        <f>IF(AND('Mapa final'!$AH$63="Alta",'Mapa final'!$AJ$63="Catastrófico"),CONCATENATE("R2C",'Mapa final'!$R$63),"")</f>
        <v/>
      </c>
      <c r="AL30" s="42" t="str">
        <f>IF(AND('Mapa final'!$AH$64="Alta",'Mapa final'!$AJ$64="Catastrófico"),CONCATENATE("R2C",'Mapa final'!$R$64),"")</f>
        <v/>
      </c>
      <c r="AM30" s="42" t="str">
        <f>IF(AND('Mapa final'!$AH$65="Alta",'Mapa final'!$AJ$65="Catastrófico"),CONCATENATE("R2C",'Mapa final'!$R$65),"")</f>
        <v/>
      </c>
      <c r="AN30" s="43" t="str">
        <f>IF(AND('Mapa final'!$AH$66="Alta",'Mapa final'!$AJ$66="Catastrófico"),CONCATENATE("R2C",'Mapa final'!$R$66),"")</f>
        <v/>
      </c>
      <c r="AO30" s="68"/>
      <c r="AP30" s="528"/>
      <c r="AQ30" s="529"/>
      <c r="AR30" s="529"/>
      <c r="AS30" s="529"/>
      <c r="AT30" s="529"/>
      <c r="AU30" s="530"/>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row>
    <row r="31" spans="2:77" ht="15.75" customHeight="1" thickBot="1">
      <c r="B31" s="68"/>
      <c r="C31" s="429"/>
      <c r="D31" s="429"/>
      <c r="E31" s="430"/>
      <c r="F31" s="522"/>
      <c r="G31" s="523"/>
      <c r="H31" s="523"/>
      <c r="I31" s="523"/>
      <c r="J31" s="523"/>
      <c r="K31" s="56" t="str">
        <f>IF(AND('Mapa final'!$AH$67="Alta",'Mapa final'!$AJ$67="Leve"),CONCATENATE("R2C",'Mapa final'!$R$67),"")</f>
        <v/>
      </c>
      <c r="L31" s="57" t="str">
        <f>IF(AND('Mapa final'!$AH$68="Alta",'Mapa final'!$AJ$68="Leve"),CONCATENATE("R2C",'Mapa final'!$R$68),"")</f>
        <v/>
      </c>
      <c r="M31" s="57" t="str">
        <f>IF(AND('Mapa final'!$AH$69="Alta",'Mapa final'!$AJ$69="Leve"),CONCATENATE("R2C",'Mapa final'!$R$69),"")</f>
        <v/>
      </c>
      <c r="N31" s="54" t="e">
        <f>IF(AND('Mapa final'!#REF!="Alta",'Mapa final'!#REF!="Leve"),CONCATENATE("R2C",'Mapa final'!#REF!),"")</f>
        <v>#REF!</v>
      </c>
      <c r="O31" s="57" t="str">
        <f>IF(AND('Mapa final'!$AH$72="Alta",'Mapa final'!$AJ$72="Leve"),CONCATENATE("R2C",'Mapa final'!$R$72),"")</f>
        <v/>
      </c>
      <c r="P31" s="58" t="str">
        <f>IF(AND('Mapa final'!$AH$73="Alta",'Mapa final'!$AJ$73="Leve"),CONCATENATE("R2C",'Mapa final'!$R$73),"")</f>
        <v/>
      </c>
      <c r="Q31" s="56" t="str">
        <f>IF(AND('Mapa final'!$AH$67="Alta",'Mapa final'!$AJ$67="Menor"),CONCATENATE("R2C",'Mapa final'!$R$67),"")</f>
        <v/>
      </c>
      <c r="R31" s="57" t="str">
        <f>IF(AND('Mapa final'!$AH$68="Alta",'Mapa final'!$AJ$68="Menor"),CONCATENATE("R2C",'Mapa final'!$R$68),"")</f>
        <v/>
      </c>
      <c r="S31" s="57" t="str">
        <f>IF(AND('Mapa final'!$AH$69="Alta",'Mapa final'!$AJ$69="Menor"),CONCATENATE("R2C",'Mapa final'!$R$69),"")</f>
        <v/>
      </c>
      <c r="T31" s="57" t="str">
        <f>IF(AND('Mapa final'!$AH$70="Alta",'Mapa final'!$AJ$70="Menor"),CONCATENATE("R2C",'Mapa final'!$R$70),"")</f>
        <v/>
      </c>
      <c r="U31" s="57" t="str">
        <f>IF(AND('Mapa final'!$AH$72="Alta",'Mapa final'!$AJ$72="Menor"),CONCATENATE("R2C",'Mapa final'!$R$72),"")</f>
        <v/>
      </c>
      <c r="V31" s="58" t="str">
        <f>IF(AND('Mapa final'!$AH$73="Alta",'Mapa final'!$AJ$73="Menor"),CONCATENATE("R2C",'Mapa final'!$R$73),"")</f>
        <v/>
      </c>
      <c r="W31" s="44" t="str">
        <f>IF(AND('Mapa final'!$AH$67="Alta",'Mapa final'!$AJ$67="Moderado"),CONCATENATE("R2C",'Mapa final'!$R$67),"")</f>
        <v/>
      </c>
      <c r="X31" s="45" t="str">
        <f>IF(AND('Mapa final'!$AH$68="Alta",'Mapa final'!$AJ$68="Moderado"),CONCATENATE("R2C",'Mapa final'!$R$68),"")</f>
        <v/>
      </c>
      <c r="Y31" s="45" t="str">
        <f>IF(AND('Mapa final'!$AH$69="Alta",'Mapa final'!$AJ$69="Moderado"),CONCATENATE("R2C",'Mapa final'!$R$69),"")</f>
        <v/>
      </c>
      <c r="Z31" s="45" t="str">
        <f>IF(AND('Mapa final'!$AH$70="Alta",'Mapa final'!$AJ$70="Moderado"),CONCATENATE("R2C",'Mapa final'!$R$70),"")</f>
        <v/>
      </c>
      <c r="AA31" s="45" t="str">
        <f>IF(AND('Mapa final'!$AH$72="Alta",'Mapa final'!$AJ$72="Moderado"),CONCATENATE("R2C",'Mapa final'!$R$72),"")</f>
        <v/>
      </c>
      <c r="AB31" s="46" t="str">
        <f>IF(AND('Mapa final'!$AH$73="Alta",'Mapa final'!$AJ$73="Moderado"),CONCATENATE("R2C",'Mapa final'!$R$73),"")</f>
        <v/>
      </c>
      <c r="AC31" s="44" t="str">
        <f>IF(AND('Mapa final'!$AH$67="Alta",'Mapa final'!$AJ$67="Mayor"),CONCATENATE("R2C",'Mapa final'!$R$67),"")</f>
        <v/>
      </c>
      <c r="AD31" s="45" t="str">
        <f>IF(AND('Mapa final'!$AH$68="Alta",'Mapa final'!$AJ$68="Mayor"),CONCATENATE("R2C",'Mapa final'!$R$68),"")</f>
        <v/>
      </c>
      <c r="AE31" s="45" t="str">
        <f>IF(AND('Mapa final'!$AH$69="Alta",'Mapa final'!$AJ$69="Mayor"),CONCATENATE("R2C",'Mapa final'!$R$69),"")</f>
        <v/>
      </c>
      <c r="AF31" s="45" t="str">
        <f>IF(AND('Mapa final'!$AH$70="Alta",'Mapa final'!$AJ$70="Mayor"),CONCATENATE("R2C",'Mapa final'!$R$70),"")</f>
        <v/>
      </c>
      <c r="AG31" s="45" t="str">
        <f>IF(AND('Mapa final'!$AH$72="Alta",'Mapa final'!$AJ$72="Mayor"),CONCATENATE("R2C",'Mapa final'!$R$72),"")</f>
        <v/>
      </c>
      <c r="AH31" s="46" t="str">
        <f>IF(AND('Mapa final'!$AH$73="Alta",'Mapa final'!$AJ$73="Mayor"),CONCATENATE("R2C",'Mapa final'!$R$73),"")</f>
        <v/>
      </c>
      <c r="AI31" s="47" t="str">
        <f>IF(AND('Mapa final'!$AH$67="Alta",'Mapa final'!$AJ$67="Catastrófico"),CONCATENATE("R2C",'Mapa final'!$R$67),"")</f>
        <v/>
      </c>
      <c r="AJ31" s="48" t="str">
        <f>IF(AND('Mapa final'!$AH$68="Alta",'Mapa final'!$AJ$68="Catastrófico"),CONCATENATE("R2C",'Mapa final'!$R$68),"")</f>
        <v/>
      </c>
      <c r="AK31" s="48" t="str">
        <f>IF(AND('Mapa final'!$AH$69="Alta",'Mapa final'!$AJ$69="Catastrófico"),CONCATENATE("R2C",'Mapa final'!$R$69),"")</f>
        <v/>
      </c>
      <c r="AL31" s="48" t="str">
        <f>IF(AND('Mapa final'!$AH$70="Alta",'Mapa final'!$AJ$70="Catastrófico"),CONCATENATE("R2C",'Mapa final'!$R$70),"")</f>
        <v/>
      </c>
      <c r="AM31" s="48" t="str">
        <f>IF(AND('Mapa final'!$AH$72="Alta",'Mapa final'!$AJ$72="Catastrófico"),CONCATENATE("R2C",'Mapa final'!$R$72),"")</f>
        <v/>
      </c>
      <c r="AN31" s="49" t="str">
        <f>IF(AND('Mapa final'!$AH$73="Muy Alta",'Mapa final'!$AJ$73="Catastrófico"),CONCATENATE("R2C",'Mapa final'!$R$73),"")</f>
        <v/>
      </c>
      <c r="AO31" s="68"/>
      <c r="AP31" s="531"/>
      <c r="AQ31" s="532"/>
      <c r="AR31" s="532"/>
      <c r="AS31" s="532"/>
      <c r="AT31" s="532"/>
      <c r="AU31" s="533"/>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row>
    <row r="32" spans="2:77" ht="15" customHeight="1">
      <c r="B32" s="68"/>
      <c r="C32" s="429"/>
      <c r="D32" s="429"/>
      <c r="E32" s="430"/>
      <c r="F32" s="516" t="s">
        <v>257</v>
      </c>
      <c r="G32" s="517"/>
      <c r="H32" s="517"/>
      <c r="I32" s="517"/>
      <c r="J32" s="518"/>
      <c r="K32" s="50"/>
      <c r="L32" s="51" t="str">
        <f>IF(AND('Mapa final'!$AH$16="Media",'Mapa final'!$AJ$16="Leve"),CONCATENATE("R2C",'Mapa final'!$R$15),"")</f>
        <v/>
      </c>
      <c r="M32" s="51" t="str">
        <f>IF(AND('Mapa final'!$AH$17="Media",'Mapa final'!$AJ$17="Leve"),CONCATENATE("R2C",'Mapa final'!$R$17),"")</f>
        <v/>
      </c>
      <c r="N32" s="54" t="e">
        <f>IF(AND('Mapa final'!#REF!="Alta",'Mapa final'!#REF!="Leve"),CONCATENATE("R2C",'Mapa final'!#REF!),"")</f>
        <v>#REF!</v>
      </c>
      <c r="O32" s="51" t="e">
        <f>IF(AND('Mapa final'!#REF!="Media",'Mapa final'!#REF!="Leve"),CONCATENATE("R2C",'Mapa final'!#REF!),"")</f>
        <v>#REF!</v>
      </c>
      <c r="P32" s="52" t="e">
        <f>IF(AND('Mapa final'!#REF!="Media",'Mapa final'!#REF!="Leve"),CONCATENATE("R2C",'Mapa final'!#REF!),"")</f>
        <v>#REF!</v>
      </c>
      <c r="Q32" s="50"/>
      <c r="R32" s="51" t="str">
        <f>IF(AND('Mapa final'!$AH$16="Media",'Mapa final'!$AJ$16="Menore"),CONCATENATE("R2C",'Mapa final'!$R$15),"")</f>
        <v/>
      </c>
      <c r="S32" s="51" t="str">
        <f>IF(AND('Mapa final'!$AH$17="Media",'Mapa final'!$AJ$17="Menor"),CONCATENATE("R2C",'Mapa final'!$R$17),"")</f>
        <v>R2C     El riesgo afecta la imagen de la entidad internamente, de conocimiento general, nivel interno, de junta dircetiva y accionistas y/o de provedores</v>
      </c>
      <c r="T32" s="51" t="e">
        <f>IF(AND('Mapa final'!#REF!="Media",'Mapa final'!#REF!="Menor"),CONCATENATE("R2C",'Mapa final'!#REF!),"")</f>
        <v>#REF!</v>
      </c>
      <c r="U32" s="51" t="e">
        <f>IF(AND('Mapa final'!#REF!="Media",'Mapa final'!#REF!="Menor"),CONCATENATE("R2C",'Mapa final'!#REF!),"")</f>
        <v>#REF!</v>
      </c>
      <c r="V32" s="52" t="e">
        <f>IF(AND('Mapa final'!#REF!="Media",'Mapa final'!#REF!="Menor"),CONCATENATE("R2C",'Mapa final'!#REF!),"")</f>
        <v>#REF!</v>
      </c>
      <c r="W32" s="50"/>
      <c r="X32" s="51" t="str">
        <f>IF(AND('Mapa final'!$AH$16="Media",'Mapa final'!$AJ$16="Moderado"),CONCATENATE("R2C",'Mapa final'!$R$15),"")</f>
        <v/>
      </c>
      <c r="Y32" s="51"/>
      <c r="Z32" s="51" t="e">
        <f>IF(AND('Mapa final'!#REF!="Media",'Mapa final'!#REF!="Moderado"),CONCATENATE("R2C",'Mapa final'!#REF!),"")</f>
        <v>#REF!</v>
      </c>
      <c r="AA32" s="51" t="e">
        <f>IF(AND('Mapa final'!#REF!="Media",'Mapa final'!#REF!="Moderado"),CONCATENATE("R2C",'Mapa final'!#REF!),"")</f>
        <v>#REF!</v>
      </c>
      <c r="AB32" s="52" t="e">
        <f>IF(AND('Mapa final'!#REF!="Media",'Mapa final'!#REF!="Moderado"),CONCATENATE("R2C",'Mapa final'!#REF!),"")</f>
        <v>#REF!</v>
      </c>
      <c r="AC32" s="32"/>
      <c r="AD32" s="33" t="str">
        <f>IF(AND('Mapa final'!$AH$16="Media",'Mapa final'!$AJ$16="Mayor"),CONCATENATE("R2C",'Mapa final'!$R$15),"")</f>
        <v/>
      </c>
      <c r="AE32" s="33" t="str">
        <f>IF(AND('Mapa final'!$AH$17="Media",'Mapa final'!$AJ$17="Mayor"),CONCATENATE("R2C",'Mapa final'!$R$17),"")</f>
        <v/>
      </c>
      <c r="AF32" s="33" t="e">
        <f>IF(AND('Mapa final'!#REF!="Media",'Mapa final'!#REF!="Mayor"),CONCATENATE("R2C",'Mapa final'!#REF!),"")</f>
        <v>#REF!</v>
      </c>
      <c r="AG32" s="33" t="e">
        <f>IF(AND('Mapa final'!#REF!="Media",'Mapa final'!#REF!="Mayor"),CONCATENATE("R2C",'Mapa final'!#REF!),"")</f>
        <v>#REF!</v>
      </c>
      <c r="AH32" s="34" t="e">
        <f>IF(AND('Mapa final'!#REF!="Media",'Mapa final'!#REF!="Mayor"),CONCATENATE("R2C",'Mapa final'!#REF!),"")</f>
        <v>#REF!</v>
      </c>
      <c r="AI32" s="35"/>
      <c r="AJ32" s="36" t="str">
        <f>IF(AND('Mapa final'!$AH$16="Media",'Mapa final'!$AJ$16="Catastrófico"),CONCATENATE("R2C",'Mapa final'!$R$15),"")</f>
        <v/>
      </c>
      <c r="AK32" s="36" t="str">
        <f>IF(AND('Mapa final'!$AH$17="Media",'Mapa final'!$AJ$17="Catastrófico"),CONCATENATE("R2C",'Mapa final'!$R$17),"")</f>
        <v/>
      </c>
      <c r="AL32" s="36" t="e">
        <f>IF(AND('Mapa final'!#REF!="Media",'Mapa final'!#REF!="Catastrófico"),CONCATENATE("R2C",'Mapa final'!#REF!),"")</f>
        <v>#REF!</v>
      </c>
      <c r="AM32" s="36" t="e">
        <f>IF(AND('Mapa final'!#REF!="Media",'Mapa final'!#REF!="Catastrófico"),CONCATENATE("R2C",'Mapa final'!#REF!),"")</f>
        <v>#REF!</v>
      </c>
      <c r="AN32" s="37" t="e">
        <f>IF(AND('Mapa final'!#REF!="Media",'Mapa final'!#REF!="Catastrófico"),CONCATENATE("R2C",'Mapa final'!#REF!),"")</f>
        <v>#REF!</v>
      </c>
      <c r="AO32" s="68"/>
      <c r="AP32" s="556" t="s">
        <v>121</v>
      </c>
      <c r="AQ32" s="557"/>
      <c r="AR32" s="557"/>
      <c r="AS32" s="557"/>
      <c r="AT32" s="557"/>
      <c r="AU32" s="55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row>
    <row r="33" spans="2:77" ht="15" customHeight="1">
      <c r="B33" s="68"/>
      <c r="C33" s="429"/>
      <c r="D33" s="429"/>
      <c r="E33" s="430"/>
      <c r="F33" s="534"/>
      <c r="G33" s="520"/>
      <c r="H33" s="520"/>
      <c r="I33" s="520"/>
      <c r="J33" s="521"/>
      <c r="K33" s="53" t="e">
        <f>IF(AND('Mapa final'!#REF!="Media",'Mapa final'!#REF!="Leve"),CONCATENATE("R2C",'Mapa final'!#REF!),"")</f>
        <v>#REF!</v>
      </c>
      <c r="L33" s="54" t="e">
        <f>IF(AND('Mapa final'!#REF!="Media",'Mapa final'!#REF!="Leve"),CONCATENATE("R2C",'Mapa final'!#REF!),"")</f>
        <v>#REF!</v>
      </c>
      <c r="M33" s="54" t="str">
        <f>IF(AND('Mapa final'!$AH$21="Media",'Mapa final'!$AJ$21="Leve"),CONCATENATE("R2C",'Mapa final'!$R$21),"")</f>
        <v/>
      </c>
      <c r="N33" s="54" t="e">
        <f>IF(AND('Mapa final'!#REF!="Alta",'Mapa final'!#REF!="Leve"),CONCATENATE("R2C",'Mapa final'!#REF!),"")</f>
        <v>#REF!</v>
      </c>
      <c r="O33" s="54" t="str">
        <f>IF(AND('Mapa final'!$AH$23="Media",'Mapa final'!$AJ$23="Leve"),CONCATENATE("R2C",'Mapa final'!$R$23),"")</f>
        <v/>
      </c>
      <c r="P33" s="55" t="str">
        <f>IF(AND('Mapa final'!$AH$24="Media",'Mapa final'!$AJ$24="Leve"),CONCATENATE("R2C",'Mapa final'!$R$24),"")</f>
        <v/>
      </c>
      <c r="Q33" s="53" t="e">
        <f>IF(AND('Mapa final'!#REF!="Media",'Mapa final'!#REF!="Menor"),CONCATENATE("R2C",'Mapa final'!#REF!),"")</f>
        <v>#REF!</v>
      </c>
      <c r="R33" s="54" t="e">
        <f>IF(AND('Mapa final'!#REF!="Media",'Mapa final'!#REF!="Menor"),CONCATENATE("R2C",'Mapa final'!#REF!),"")</f>
        <v>#REF!</v>
      </c>
      <c r="S33" s="54" t="str">
        <f>IF(AND('Mapa final'!$AH$21="Media",'Mapa final'!$AJ$21="Menor"),CONCATENATE("R2C",'Mapa final'!$R$21),"")</f>
        <v/>
      </c>
      <c r="T33" s="54" t="str">
        <f>IF(AND('Mapa final'!$AH$22="Media",'Mapa final'!$AJ$22="Menor"),CONCATENATE("R2C",'Mapa final'!$R$22),"")</f>
        <v/>
      </c>
      <c r="U33" s="54" t="str">
        <f>IF(AND('Mapa final'!$AH$23="Media",'Mapa final'!$AJ$23="Menor"),CONCATENATE("R2C",'Mapa final'!$R$23),"")</f>
        <v/>
      </c>
      <c r="V33" s="55" t="str">
        <f>IF(AND('Mapa final'!$AH$24="Media",'Mapa final'!$AJ$24="Menor"),CONCATENATE("R2C",'Mapa final'!$R$24),"")</f>
        <v/>
      </c>
      <c r="W33" s="53" t="e">
        <f>IF(AND('Mapa final'!#REF!="Media",'Mapa final'!#REF!="Moderado"),CONCATENATE("R2C",'Mapa final'!#REF!),"")</f>
        <v>#REF!</v>
      </c>
      <c r="X33" s="54" t="e">
        <f>IF(AND('Mapa final'!#REF!="Media",'Mapa final'!#REF!="Moderado"),CONCATENATE("R2C",'Mapa final'!#REF!),"")</f>
        <v>#REF!</v>
      </c>
      <c r="Y33" s="54" t="str">
        <f>IF(AND('Mapa final'!$AH$21="Media",'Mapa final'!$AJ$21="Moderado"),CONCATENATE("R2C",'Mapa final'!$R$21),"")</f>
        <v/>
      </c>
      <c r="Z33" s="54" t="str">
        <f>IF(AND('Mapa final'!$AH$22="Media",'Mapa final'!$AJ$22="Moderado"),CONCATENATE("R2C",'Mapa final'!$R$22),"")</f>
        <v/>
      </c>
      <c r="AA33" s="54" t="str">
        <f>IF(AND('Mapa final'!$AH$23="Media",'Mapa final'!$AJ$23="Moderado"),CONCATENATE("R2C",'Mapa final'!$R$23),"")</f>
        <v/>
      </c>
      <c r="AB33" s="55" t="str">
        <f>IF(AND('Mapa final'!$AH$24="Media",'Mapa final'!$AJ$24="Moderado"),CONCATENATE("R2C",'Mapa final'!$R$24),"")</f>
        <v/>
      </c>
      <c r="AC33" s="38" t="e">
        <f>IF(AND('Mapa final'!#REF!="Media",'Mapa final'!#REF!="Mayor"),CONCATENATE("R2C",'Mapa final'!#REF!),"")</f>
        <v>#REF!</v>
      </c>
      <c r="AD33" s="39" t="e">
        <f>IF(AND('Mapa final'!#REF!="Muy Alta",'Mapa final'!#REF!="Mayor"),CONCATENATE("R2C",'Mapa final'!#REF!),"")</f>
        <v>#REF!</v>
      </c>
      <c r="AE33" s="39" t="str">
        <f>IF(AND('Mapa final'!$AH$21="Media",'Mapa final'!$AJ$21="Mayor"),CONCATENATE("R2C",'Mapa final'!$R$21),"")</f>
        <v/>
      </c>
      <c r="AF33" s="39" t="str">
        <f>IF(AND('Mapa final'!$AH$22="Media",'Mapa final'!$AJ$22="Mayor"),CONCATENATE("R2C",'Mapa final'!$R$22),"")</f>
        <v/>
      </c>
      <c r="AG33" s="39" t="str">
        <f>IF(AND('Mapa final'!$AH$23="Media",'Mapa final'!$AJ$23="Mayor"),CONCATENATE("R2C",'Mapa final'!$R$23),"")</f>
        <v/>
      </c>
      <c r="AH33" s="40" t="str">
        <f>IF(AND('Mapa final'!$AH$24="Media",'Mapa final'!$AJ$24="Mayor"),CONCATENATE("R2C",'Mapa final'!$R$24),"")</f>
        <v/>
      </c>
      <c r="AI33" s="41" t="e">
        <f>IF(AND('Mapa final'!#REF!="Media",'Mapa final'!#REF!="Catastrófico"),CONCATENATE("R2C",'Mapa final'!#REF!),"")</f>
        <v>#REF!</v>
      </c>
      <c r="AJ33" s="42" t="e">
        <f>IF(AND('Mapa final'!#REF!="Media",'Mapa final'!#REF!="Catastrófico"),CONCATENATE("R2C",'Mapa final'!#REF!),"")</f>
        <v>#REF!</v>
      </c>
      <c r="AK33" s="42" t="str">
        <f>IF(AND('Mapa final'!$AH$21="Media",'Mapa final'!$AJ$21="Catastrófico"),CONCATENATE("R2C",'Mapa final'!$R$21),"")</f>
        <v/>
      </c>
      <c r="AL33" s="42" t="str">
        <f>IF(AND('Mapa final'!$AH$22="Media",'Mapa final'!$AJ$22="Catastrófico"),CONCATENATE("R2C",'Mapa final'!$R$22),"")</f>
        <v/>
      </c>
      <c r="AM33" s="42" t="str">
        <f>IF(AND('Mapa final'!$AH$23="Media",'Mapa final'!$AJ$23="Catastrófico"),CONCATENATE("R2C",'Mapa final'!$R$23),"")</f>
        <v/>
      </c>
      <c r="AN33" s="43" t="str">
        <f>IF(AND('Mapa final'!$AH$24="Media",'Mapa final'!$AJ$24="Catastrófico"),CONCATENATE("R2C",'Mapa final'!$R$24),"")</f>
        <v/>
      </c>
      <c r="AO33" s="68"/>
      <c r="AP33" s="559"/>
      <c r="AQ33" s="560"/>
      <c r="AR33" s="560"/>
      <c r="AS33" s="560"/>
      <c r="AT33" s="560"/>
      <c r="AU33" s="561"/>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row>
    <row r="34" spans="2:77" ht="15" customHeight="1">
      <c r="B34" s="68"/>
      <c r="C34" s="429"/>
      <c r="D34" s="429"/>
      <c r="E34" s="430"/>
      <c r="F34" s="519"/>
      <c r="G34" s="520"/>
      <c r="H34" s="520"/>
      <c r="I34" s="520"/>
      <c r="J34" s="521"/>
      <c r="K34" s="53" t="str">
        <f>IF(AND('Mapa final'!$AH$25="Media",'Mapa final'!$AJ$25="Leve"),CONCATENATE("R2C",'Mapa final'!$R$25),"")</f>
        <v/>
      </c>
      <c r="L34" s="54" t="str">
        <f>IF(AND('Mapa final'!$AH$26="Media",'Mapa final'!$AJ$26="Leve"),CONCATENATE("R2C",'Mapa final'!$R$26),"")</f>
        <v/>
      </c>
      <c r="M34" s="54" t="str">
        <f>IF(AND('Mapa final'!$AH$27="Media",'Mapa final'!$AJ$27="Leve"),CONCATENATE("R2C",'Mapa final'!$R$27),"")</f>
        <v/>
      </c>
      <c r="N34" s="54" t="e">
        <f>IF(AND('Mapa final'!#REF!="Alta",'Mapa final'!#REF!="Leve"),CONCATENATE("R2C",'Mapa final'!#REF!),"")</f>
        <v>#REF!</v>
      </c>
      <c r="O34" s="54" t="str">
        <f>IF(AND('Mapa final'!$AH$29="Media",'Mapa final'!$AJ$29="Leve"),CONCATENATE("R2C",'Mapa final'!$R$29),"")</f>
        <v/>
      </c>
      <c r="P34" s="55" t="str">
        <f>IF(AND('Mapa final'!$AH$30="Media",'Mapa final'!$AJ$30="Leve"),CONCATENATE("R2C",'Mapa final'!$R$30),"")</f>
        <v/>
      </c>
      <c r="Q34" s="53" t="str">
        <f>IF(AND('Mapa final'!$AH$25="Media",'Mapa final'!$AJ$25="Menor"),CONCATENATE("R2C",'Mapa final'!$R$25),"")</f>
        <v/>
      </c>
      <c r="R34" s="54" t="str">
        <f>IF(AND('Mapa final'!$AH$26="Media",'Mapa final'!$AJ$26="Menor"),CONCATENATE("R2C",'Mapa final'!$R$26),"")</f>
        <v/>
      </c>
      <c r="S34" s="54" t="str">
        <f>IF(AND('Mapa final'!$AH$27="Media",'Mapa final'!$AJ$27="Menor"),CONCATENATE("R2C",'Mapa final'!$R$27),"")</f>
        <v/>
      </c>
      <c r="T34" s="54" t="str">
        <f>IF(AND('Mapa final'!$AH$28="Media",'Mapa final'!$AJ$28="Menor"),CONCATENATE("R2C",'Mapa final'!$R$28),"")</f>
        <v/>
      </c>
      <c r="U34" s="54" t="str">
        <f>IF(AND('Mapa final'!$AH$29="Media",'Mapa final'!$AJ$29="Menor"),CONCATENATE("R2C",'Mapa final'!$R$29),"")</f>
        <v/>
      </c>
      <c r="V34" s="55" t="str">
        <f>IF(AND('Mapa final'!$AH$30="Media",'Mapa final'!$AJ$30="Menor"),CONCATENATE("R2C",'Mapa final'!$R$30),"")</f>
        <v/>
      </c>
      <c r="W34" s="53" t="str">
        <f>IF(AND('Mapa final'!$AH$25="Media",'Mapa final'!$AJ$25="Moderado"),CONCATENATE("R2C",'Mapa final'!$R$25),"")</f>
        <v/>
      </c>
      <c r="X34" s="54" t="str">
        <f>IF(AND('Mapa final'!$AH$26="Media",'Mapa final'!$AJ$26="Moderado"),CONCATENATE("R2C",'Mapa final'!$R$26),"")</f>
        <v/>
      </c>
      <c r="Y34" s="54" t="str">
        <f>IF(AND('Mapa final'!$AH$27="Media",'Mapa final'!$AJ$27="Moderado"),CONCATENATE("R2C",'Mapa final'!$R$27),"")</f>
        <v/>
      </c>
      <c r="Z34" s="54" t="str">
        <f>IF(AND('Mapa final'!$AH$28="Media",'Mapa final'!$AJ$28="Moderado"),CONCATENATE("R2C",'Mapa final'!$R$28),"")</f>
        <v/>
      </c>
      <c r="AA34" s="54" t="str">
        <f>IF(AND('Mapa final'!$AH$29="Media",'Mapa final'!$AJ$29="Moderado"),CONCATENATE("R2C",'Mapa final'!$R$29),"")</f>
        <v/>
      </c>
      <c r="AB34" s="55" t="str">
        <f>IF(AND('Mapa final'!$AH$30="Media",'Mapa final'!$AJ$30="Moderado"),CONCATENATE("R2C",'Mapa final'!$R$30),"")</f>
        <v/>
      </c>
      <c r="AC34" s="38" t="str">
        <f>IF(AND('Mapa final'!$AH$25="Media",'Mapa final'!$AJ$25="Mayor"),CONCATENATE("R2C",'Mapa final'!$R$25),"")</f>
        <v/>
      </c>
      <c r="AD34" s="39" t="str">
        <f>IF(AND('Mapa final'!$AH$26="Media",'Mapa final'!$AJ$26="Mayor"),CONCATENATE("R2C",'Mapa final'!$R$26),"")</f>
        <v/>
      </c>
      <c r="AE34" s="39" t="str">
        <f>IF(AND('Mapa final'!$AH$27="Media",'Mapa final'!$AJ$27="Mayor"),CONCATENATE("R2C",'Mapa final'!$R$27),"")</f>
        <v/>
      </c>
      <c r="AF34" s="39" t="str">
        <f>IF(AND('Mapa final'!$AH$28="Media",'Mapa final'!$AJ$28="Mayor"),CONCATENATE("R2C",'Mapa final'!$R$28),"")</f>
        <v/>
      </c>
      <c r="AG34" s="39" t="str">
        <f>IF(AND('Mapa final'!$AH$29="Media",'Mapa final'!$AJ$29="Mayor"),CONCATENATE("R2C",'Mapa final'!$R$29),"")</f>
        <v/>
      </c>
      <c r="AH34" s="40" t="str">
        <f>IF(AND('Mapa final'!$AH$30="Media",'Mapa final'!$AJ$30="Mayor"),CONCATENATE("R2C",'Mapa final'!$R$30),"")</f>
        <v/>
      </c>
      <c r="AI34" s="41" t="str">
        <f>IF(AND('Mapa final'!$AH$25="Media",'Mapa final'!$AJ$25="Catastrófico"),CONCATENATE("R2C",'Mapa final'!$R$25),"")</f>
        <v/>
      </c>
      <c r="AJ34" s="42" t="str">
        <f>IF(AND('Mapa final'!$AH$26="Media",'Mapa final'!$AJ$26="Catastrófico"),CONCATENATE("R2C",'Mapa final'!$R$26),"")</f>
        <v/>
      </c>
      <c r="AK34" s="42" t="str">
        <f>IF(AND('Mapa final'!$AH$27="Media",'Mapa final'!$AJ$27="Catastrófico"),CONCATENATE("R2C",'Mapa final'!$R$27),"")</f>
        <v/>
      </c>
      <c r="AL34" s="42" t="str">
        <f>IF(AND('Mapa final'!$AH$28="Media",'Mapa final'!$AJ$28="Catastrófico"),CONCATENATE("R2C",'Mapa final'!$R$28),"")</f>
        <v/>
      </c>
      <c r="AM34" s="42" t="str">
        <f>IF(AND('Mapa final'!$AH$29="Media",'Mapa final'!$AJ$29="Catastrófico"),CONCATENATE("R2C",'Mapa final'!$R$29),"")</f>
        <v/>
      </c>
      <c r="AN34" s="43" t="str">
        <f>IF(AND('Mapa final'!$AH$30="Media",'Mapa final'!$AJ$30="Catastrófico"),CONCATENATE("R2C",'Mapa final'!$R$30),"")</f>
        <v/>
      </c>
      <c r="AO34" s="68"/>
      <c r="AP34" s="559"/>
      <c r="AQ34" s="560"/>
      <c r="AR34" s="560"/>
      <c r="AS34" s="560"/>
      <c r="AT34" s="560"/>
      <c r="AU34" s="561"/>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row>
    <row r="35" spans="2:77" ht="15" customHeight="1">
      <c r="B35" s="68"/>
      <c r="C35" s="429"/>
      <c r="D35" s="429"/>
      <c r="E35" s="430"/>
      <c r="F35" s="519"/>
      <c r="G35" s="520"/>
      <c r="H35" s="520"/>
      <c r="I35" s="520"/>
      <c r="J35" s="521"/>
      <c r="K35" s="53" t="str">
        <f>IF(AND('Mapa final'!$AH$31="Media",'Mapa final'!$AJ$31="Leve"),CONCATENATE("R2C",'Mapa final'!$R$31),"")</f>
        <v/>
      </c>
      <c r="L35" s="54" t="str">
        <f>IF(AND('Mapa final'!$AH$32="Media",'Mapa final'!$AJ$32="Leve"),CONCATENATE("R2C",'Mapa final'!$R$32),"")</f>
        <v/>
      </c>
      <c r="M35" s="54" t="str">
        <f>IF(AND('Mapa final'!$AH$33="Media",'Mapa final'!$AJ$33="Leve"),CONCATENATE("R2C",'Mapa final'!$R$33),"")</f>
        <v/>
      </c>
      <c r="N35" s="54" t="e">
        <f>IF(AND('Mapa final'!#REF!="Alta",'Mapa final'!#REF!="Leve"),CONCATENATE("R2C",'Mapa final'!#REF!),"")</f>
        <v>#REF!</v>
      </c>
      <c r="O35" s="54" t="str">
        <f>IF(AND('Mapa final'!$AH$35="Media",'Mapa final'!$AJ$35="Leve"),CONCATENATE("R2C",'Mapa final'!$R$35),"")</f>
        <v/>
      </c>
      <c r="P35" s="55" t="str">
        <f>IF(AND('Mapa final'!$AH$36="Media",'Mapa final'!$AJ$36="Leve"),CONCATENATE("R2C",'Mapa final'!$R$36),"")</f>
        <v/>
      </c>
      <c r="Q35" s="53" t="str">
        <f>IF(AND('Mapa final'!$AH$31="Media",'Mapa final'!$AJ$31="Menor"),CONCATENATE("R2C",'Mapa final'!$R$31),"")</f>
        <v/>
      </c>
      <c r="R35" s="54" t="str">
        <f>IF(AND('Mapa final'!$AH$32="Media",'Mapa final'!$AJ$32="Menor"),CONCATENATE("R2C",'Mapa final'!$R$32),"")</f>
        <v/>
      </c>
      <c r="S35" s="54" t="str">
        <f>IF(AND('Mapa final'!$AH$33="Media",'Mapa final'!$AJ$33="Menor"),CONCATENATE("R2C",'Mapa final'!$R$33),"")</f>
        <v/>
      </c>
      <c r="T35" s="54" t="str">
        <f>IF(AND('Mapa final'!$AH$34="Media",'Mapa final'!$AJ$34="Menor"),CONCATENATE("R2C",'Mapa final'!$R$34),"")</f>
        <v/>
      </c>
      <c r="U35" s="54" t="str">
        <f>IF(AND('Mapa final'!$AH$35="Media",'Mapa final'!$AJ$35="LMenor"),CONCATENATE("R2C",'Mapa final'!$R$35),"")</f>
        <v/>
      </c>
      <c r="V35" s="55" t="str">
        <f>IF(AND('Mapa final'!$AH$36="Media",'Mapa final'!$AJ$36="Menor"),CONCATENATE("R2C",'Mapa final'!$R$36),"")</f>
        <v/>
      </c>
      <c r="W35" s="53" t="str">
        <f>IF(AND('Mapa final'!$AH$31="Media",'Mapa final'!$AJ$31="Moderado"),CONCATENATE("R2C",'Mapa final'!$R$31),"")</f>
        <v/>
      </c>
      <c r="X35" s="54" t="str">
        <f>IF(AND('Mapa final'!$AH$32="Media",'Mapa final'!$AJ$32="Moderado"),CONCATENATE("R2C",'Mapa final'!$R$32),"")</f>
        <v/>
      </c>
      <c r="Y35" s="54" t="str">
        <f>IF(AND('Mapa final'!$AH$33="Media",'Mapa final'!$AJ$33="Moderado"),CONCATENATE("R2C",'Mapa final'!$R$33),"")</f>
        <v/>
      </c>
      <c r="Z35" s="54" t="str">
        <f>IF(AND('Mapa final'!$AH$34="Media",'Mapa final'!$AJ$34="Moderado"),CONCATENATE("R2C",'Mapa final'!$R$34),"")</f>
        <v/>
      </c>
      <c r="AA35" s="54" t="str">
        <f>IF(AND('Mapa final'!$AH$35="Media",'Mapa final'!$AJ$35="Moderado"),CONCATENATE("R2C",'Mapa final'!$R$35),"")</f>
        <v/>
      </c>
      <c r="AB35" s="55" t="str">
        <f>IF(AND('Mapa final'!$AH$36="Media",'Mapa final'!$AJ$36="Moderado"),CONCATENATE("R2C",'Mapa final'!$R$36),"")</f>
        <v/>
      </c>
      <c r="AC35" s="38" t="str">
        <f>IF(AND('Mapa final'!$AH$31="Media",'Mapa final'!$AJ$31="Mayor"),CONCATENATE("R2C",'Mapa final'!$R$31),"")</f>
        <v/>
      </c>
      <c r="AD35" s="39" t="str">
        <f>IF(AND('Mapa final'!$AH$32="Media",'Mapa final'!$AJ$32="Mayor"),CONCATENATE("R2C",'Mapa final'!$R$32),"")</f>
        <v/>
      </c>
      <c r="AE35" s="39" t="str">
        <f>IF(AND('Mapa final'!$AH$33="Media",'Mapa final'!$AJ$33="Mayor"),CONCATENATE("R2C",'Mapa final'!$R$33),"")</f>
        <v/>
      </c>
      <c r="AF35" s="39" t="str">
        <f>IF(AND('Mapa final'!$AH$34="Media",'Mapa final'!$AJ$34="Mayor"),CONCATENATE("R2C",'Mapa final'!$R$34),"")</f>
        <v/>
      </c>
      <c r="AG35" s="39" t="str">
        <f>IF(AND('Mapa final'!$AH$35="Media",'Mapa final'!$AJ$35="Mayor"),CONCATENATE("R2C",'Mapa final'!$R$35),"")</f>
        <v/>
      </c>
      <c r="AH35" s="40" t="str">
        <f>IF(AND('Mapa final'!$AH$36="Media",'Mapa final'!$AJ$36="Mayor"),CONCATENATE("R2C",'Mapa final'!$R$36),"")</f>
        <v/>
      </c>
      <c r="AI35" s="41" t="str">
        <f>IF(AND('Mapa final'!$AH$31="Media",'Mapa final'!$AJ$31="Catastrófico"),CONCATENATE("R2C",'Mapa final'!$R$31),"")</f>
        <v/>
      </c>
      <c r="AJ35" s="42" t="str">
        <f>IF(AND('Mapa final'!$AH$32="Media",'Mapa final'!$AJ$32="Catastrófico"),CONCATENATE("R2C",'Mapa final'!$R$32),"")</f>
        <v/>
      </c>
      <c r="AK35" s="42" t="str">
        <f>IF(AND('Mapa final'!$AH$33="Media",'Mapa final'!$AJ$33="Catastrófico"),CONCATENATE("R2C",'Mapa final'!$R$33),"")</f>
        <v/>
      </c>
      <c r="AL35" s="42" t="str">
        <f>IF(AND('Mapa final'!$AH$34="Media",'Mapa final'!$AJ$34="Catastrófico"),CONCATENATE("R2C",'Mapa final'!$R$34),"")</f>
        <v/>
      </c>
      <c r="AM35" s="42" t="str">
        <f>IF(AND('Mapa final'!$AH$35="Media",'Mapa final'!$AJ$35="LCatastrófico"),CONCATENATE("R2C",'Mapa final'!$R$35),"")</f>
        <v/>
      </c>
      <c r="AN35" s="43" t="str">
        <f>IF(AND('Mapa final'!$AH$36="Media",'Mapa final'!$AJ$36="Catastrófico"),CONCATENATE("R2C",'Mapa final'!$R$36),"")</f>
        <v/>
      </c>
      <c r="AO35" s="68"/>
      <c r="AP35" s="559"/>
      <c r="AQ35" s="560"/>
      <c r="AR35" s="560"/>
      <c r="AS35" s="560"/>
      <c r="AT35" s="560"/>
      <c r="AU35" s="561"/>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row>
    <row r="36" spans="2:77" ht="15" customHeight="1">
      <c r="B36" s="68"/>
      <c r="C36" s="429"/>
      <c r="D36" s="429"/>
      <c r="E36" s="430"/>
      <c r="F36" s="519"/>
      <c r="G36" s="520"/>
      <c r="H36" s="520"/>
      <c r="I36" s="520"/>
      <c r="J36" s="521"/>
      <c r="K36" s="53" t="str">
        <f>IF(AND('Mapa final'!$AH$37="Media",'Mapa final'!$AJ$37="Leve"),CONCATENATE("R2C",'Mapa final'!$R$37),"")</f>
        <v/>
      </c>
      <c r="L36" s="54" t="str">
        <f>IF(AND('Mapa final'!$AH$38="Media",'Mapa final'!$AJ$38="Leve"),CONCATENATE("R2C",'Mapa final'!$R$38),"")</f>
        <v/>
      </c>
      <c r="M36" s="54" t="str">
        <f>IF(AND('Mapa final'!$AH$39="Media",'Mapa final'!$AJ$39="Leve"),CONCATENATE("R2C",'Mapa final'!$R$39),"")</f>
        <v/>
      </c>
      <c r="N36" s="54" t="e">
        <f>IF(AND('Mapa final'!#REF!="Alta",'Mapa final'!#REF!="Leve"),CONCATENATE("R2C",'Mapa final'!#REF!),"")</f>
        <v>#REF!</v>
      </c>
      <c r="O36" s="54" t="str">
        <f>IF(AND('Mapa final'!$AH$41="Media",'Mapa final'!$AJ$41="Leve"),CONCATENATE("R2C",'Mapa final'!$R$41),"")</f>
        <v/>
      </c>
      <c r="P36" s="55" t="str">
        <f>IF(AND('Mapa final'!$AH$42="Media",'Mapa final'!$AJ$42="Leve"),CONCATENATE("R2C",'Mapa final'!$R$42),"")</f>
        <v/>
      </c>
      <c r="Q36" s="53" t="str">
        <f>IF(AND('Mapa final'!$AH$37="Media",'Mapa final'!$AJ$37="Menor"),CONCATENATE("R2C",'Mapa final'!$R$37),"")</f>
        <v/>
      </c>
      <c r="R36" s="54" t="str">
        <f>IF(AND('Mapa final'!$AH$38="Media",'Mapa final'!$AJ$38="Menor"),CONCATENATE("R2C",'Mapa final'!$R$38),"")</f>
        <v/>
      </c>
      <c r="S36" s="54" t="str">
        <f>IF(AND('Mapa final'!$AH$39="Media",'Mapa final'!$AJ$39="Menor"),CONCATENATE("R2C",'Mapa final'!$R$39),"")</f>
        <v/>
      </c>
      <c r="T36" s="54" t="str">
        <f>IF(AND('Mapa final'!$AH$40="Media",'Mapa final'!$AJ$40="Menor"),CONCATENATE("R2C",'Mapa final'!$R$40),"")</f>
        <v/>
      </c>
      <c r="U36" s="54" t="str">
        <f>IF(AND('Mapa final'!$AH$41="Media",'Mapa final'!$AJ$41="Menor"),CONCATENATE("R2C",'Mapa final'!$R$41),"")</f>
        <v/>
      </c>
      <c r="V36" s="55" t="str">
        <f>IF(AND('Mapa final'!$AH$42="Media",'Mapa final'!$AJ$42="Menor"),CONCATENATE("R2C",'Mapa final'!$R$42),"")</f>
        <v/>
      </c>
      <c r="W36" s="53" t="str">
        <f>IF(AND('Mapa final'!$AH$37="Media",'Mapa final'!$AJ$37="Moderado"),CONCATENATE("R2C",'Mapa final'!$R$37),"")</f>
        <v/>
      </c>
      <c r="X36" s="54" t="str">
        <f>IF(AND('Mapa final'!$AH$38="Media",'Mapa final'!$AJ$38="Moderado"),CONCATENATE("R2C",'Mapa final'!$R$38),"")</f>
        <v/>
      </c>
      <c r="Y36" s="54" t="str">
        <f>IF(AND('Mapa final'!$AH$39="Media",'Mapa final'!$AJ$39="Moderado"),CONCATENATE("R2C",'Mapa final'!$R$39),"")</f>
        <v/>
      </c>
      <c r="Z36" s="54" t="str">
        <f>IF(AND('Mapa final'!$AH$40="Media",'Mapa final'!$AJ$40="Moderado"),CONCATENATE("R2C",'Mapa final'!$R$40),"")</f>
        <v/>
      </c>
      <c r="AA36" s="54" t="str">
        <f>IF(AND('Mapa final'!$AH$41="Media",'Mapa final'!$AJ$41="Moderado"),CONCATENATE("R2C",'Mapa final'!$R$41),"")</f>
        <v/>
      </c>
      <c r="AB36" s="55" t="str">
        <f>IF(AND('Mapa final'!$AH$42="Media",'Mapa final'!$AJ$42="Moderado"),CONCATENATE("R2C",'Mapa final'!$R$42),"")</f>
        <v/>
      </c>
      <c r="AC36" s="38" t="str">
        <f>IF(AND('Mapa final'!$AH$37="Media",'Mapa final'!$AJ$37="Mayor"),CONCATENATE("R2C",'Mapa final'!$R$37),"")</f>
        <v/>
      </c>
      <c r="AD36" s="39" t="str">
        <f>IF(AND('Mapa final'!$AH$38="Media",'Mapa final'!$AJ$38="Mayor"),CONCATENATE("R2C",'Mapa final'!$R$38),"")</f>
        <v/>
      </c>
      <c r="AE36" s="39" t="str">
        <f>IF(AND('Mapa final'!$AH$39="Media",'Mapa final'!$AJ$39="Mayor"),CONCATENATE("R2C",'Mapa final'!$R$39),"")</f>
        <v/>
      </c>
      <c r="AF36" s="39" t="str">
        <f>IF(AND('Mapa final'!$AH$40="Media",'Mapa final'!$AJ$40="Mayor"),CONCATENATE("R2C",'Mapa final'!$R$40),"")</f>
        <v/>
      </c>
      <c r="AG36" s="39" t="str">
        <f>IF(AND('Mapa final'!$AH$41="Media",'Mapa final'!$AJ$41="Mayor"),CONCATENATE("R2C",'Mapa final'!$R$41),"")</f>
        <v/>
      </c>
      <c r="AH36" s="40" t="str">
        <f>IF(AND('Mapa final'!$AH$42="Media",'Mapa final'!$AJ$42="Mayor"),CONCATENATE("R2C",'Mapa final'!$R$42),"")</f>
        <v/>
      </c>
      <c r="AI36" s="41" t="str">
        <f>IF(AND('Mapa final'!$AH$37="Media",'Mapa final'!$AJ$37="Catastrófico"),CONCATENATE("R2C",'Mapa final'!$R$37),"")</f>
        <v/>
      </c>
      <c r="AJ36" s="42" t="str">
        <f>IF(AND('Mapa final'!$AH$38="Media",'Mapa final'!$AJ$38="Catastrófico"),CONCATENATE("R2C",'Mapa final'!$R$38),"")</f>
        <v/>
      </c>
      <c r="AK36" s="42" t="str">
        <f>IF(AND('Mapa final'!$AH$39="Media",'Mapa final'!$AJ$39="Catastrófico"),CONCATENATE("R2C",'Mapa final'!$R$39),"")</f>
        <v/>
      </c>
      <c r="AL36" s="42" t="str">
        <f>IF(AND('Mapa final'!$AH$40="Media",'Mapa final'!$AJ$40="Catastrófico"),CONCATENATE("R2C",'Mapa final'!$R$40),"")</f>
        <v/>
      </c>
      <c r="AM36" s="42" t="str">
        <f>IF(AND('Mapa final'!$AH$41="Media",'Mapa final'!$AJ$41="Catastrófico"),CONCATENATE("R2C",'Mapa final'!$R$41),"")</f>
        <v/>
      </c>
      <c r="AN36" s="43" t="str">
        <f>IF(AND('Mapa final'!$AH$42="Media",'Mapa final'!$AJ$42="Catastrófico"),CONCATENATE("R2C",'Mapa final'!$R$42),"")</f>
        <v/>
      </c>
      <c r="AO36" s="68"/>
      <c r="AP36" s="559"/>
      <c r="AQ36" s="560"/>
      <c r="AR36" s="560"/>
      <c r="AS36" s="560"/>
      <c r="AT36" s="560"/>
      <c r="AU36" s="561"/>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row>
    <row r="37" spans="2:77" ht="15" customHeight="1">
      <c r="B37" s="68"/>
      <c r="C37" s="429"/>
      <c r="D37" s="429"/>
      <c r="E37" s="430"/>
      <c r="F37" s="519"/>
      <c r="G37" s="520"/>
      <c r="H37" s="520"/>
      <c r="I37" s="520"/>
      <c r="J37" s="521"/>
      <c r="K37" s="53" t="str">
        <f>IF(AND('Mapa final'!$AH$43="Media",'Mapa final'!$AJ$43="Leve"),CONCATENATE("R2C",'Mapa final'!$R$43),"")</f>
        <v/>
      </c>
      <c r="L37" s="54" t="str">
        <f>IF(AND('Mapa final'!$AH$44="Media",'Mapa final'!$AJ$44="Leve"),CONCATENATE("R2C",'Mapa final'!$R$44),"")</f>
        <v/>
      </c>
      <c r="M37" s="54" t="str">
        <f>IF(AND('Mapa final'!$AH$45="Media",'Mapa final'!$AJ$45="Leve"),CONCATENATE("R2C",'Mapa final'!$R$45),"")</f>
        <v/>
      </c>
      <c r="N37" s="54" t="e">
        <f>IF(AND('Mapa final'!#REF!="Alta",'Mapa final'!#REF!="Leve"),CONCATENATE("R2C",'Mapa final'!#REF!),"")</f>
        <v>#REF!</v>
      </c>
      <c r="O37" s="54" t="str">
        <f>IF(AND('Mapa final'!$AH$47="Media",'Mapa final'!$AJ$47="Leve"),CONCATENATE("R2C",'Mapa final'!$R$47),"")</f>
        <v/>
      </c>
      <c r="P37" s="55" t="str">
        <f>IF(AND('Mapa final'!$AH$58="Media",'Mapa final'!$AJ$48="Leve"),CONCATENATE("R2C",'Mapa final'!$R$48),"")</f>
        <v/>
      </c>
      <c r="Q37" s="53" t="str">
        <f>IF(AND('Mapa final'!$AH$43="Media",'Mapa final'!$AJ$43="Menor"),CONCATENATE("R2C",'Mapa final'!$R$43),"")</f>
        <v/>
      </c>
      <c r="R37" s="54" t="str">
        <f>IF(AND('Mapa final'!$AH$44="Media",'Mapa final'!$AJ$44="Menor"),CONCATENATE("R2C",'Mapa final'!$R$44),"")</f>
        <v/>
      </c>
      <c r="S37" s="54" t="str">
        <f>IF(AND('Mapa final'!$AH$45="Media",'Mapa final'!$AJ$45="Menor"),CONCATENATE("R2C",'Mapa final'!$R$45),"")</f>
        <v/>
      </c>
      <c r="T37" s="54" t="str">
        <f>IF(AND('Mapa final'!$AH$46="Media",'Mapa final'!$AJ$46="Menor"),CONCATENATE("R2C",'Mapa final'!$R$46),"")</f>
        <v/>
      </c>
      <c r="U37" s="54" t="str">
        <f>IF(AND('Mapa final'!$AH$47="Media",'Mapa final'!$AJ$47="Menor"),CONCATENATE("R2C",'Mapa final'!$R$47),"")</f>
        <v/>
      </c>
      <c r="V37" s="55" t="str">
        <f>IF(AND('Mapa final'!$AH$58="Media",'Mapa final'!$AJ$48="Menor"),CONCATENATE("R2C",'Mapa final'!$R$48),"")</f>
        <v/>
      </c>
      <c r="W37" s="53" t="str">
        <f>IF(AND('Mapa final'!$AH$43="Media",'Mapa final'!$AJ$43="Moderado"),CONCATENATE("R2C",'Mapa final'!$R$43),"")</f>
        <v/>
      </c>
      <c r="X37" s="54" t="str">
        <f>IF(AND('Mapa final'!$AH$44="Media",'Mapa final'!$AJ$44="Moderado"),CONCATENATE("R2C",'Mapa final'!$R$44),"")</f>
        <v/>
      </c>
      <c r="Y37" s="54" t="str">
        <f>IF(AND('Mapa final'!$AH$45="Media",'Mapa final'!$AJ$45="Moderado"),CONCATENATE("R2C",'Mapa final'!$R$45),"")</f>
        <v/>
      </c>
      <c r="Z37" s="54" t="str">
        <f>IF(AND('Mapa final'!$AH$46="Media",'Mapa final'!$AJ$46="Moderado"),CONCATENATE("R2C",'Mapa final'!$R$46),"")</f>
        <v/>
      </c>
      <c r="AA37" s="54" t="str">
        <f>IF(AND('Mapa final'!$AH$47="Media",'Mapa final'!$AJ$47="Moderado"),CONCATENATE("R2C",'Mapa final'!$R$47),"")</f>
        <v/>
      </c>
      <c r="AB37" s="55" t="str">
        <f>IF(AND('Mapa final'!$AH$58="Media",'Mapa final'!$AJ$48="Moderado"),CONCATENATE("R2C",'Mapa final'!$R$48),"")</f>
        <v/>
      </c>
      <c r="AC37" s="38" t="str">
        <f>IF(AND('Mapa final'!$AH$43="Media",'Mapa final'!$AJ$43="Mayor"),CONCATENATE("R2C",'Mapa final'!$R$43),"")</f>
        <v/>
      </c>
      <c r="AD37" s="39" t="str">
        <f>IF(AND('Mapa final'!$AH$44="Media",'Mapa final'!$AJ$44="Mayor"),CONCATENATE("R2C",'Mapa final'!$R$44),"")</f>
        <v/>
      </c>
      <c r="AE37" s="39" t="str">
        <f>IF(AND('Mapa final'!$AH$45="Media",'Mapa final'!$AJ$45="Mayor"),CONCATENATE("R2C",'Mapa final'!$R$45),"")</f>
        <v/>
      </c>
      <c r="AF37" s="39" t="str">
        <f>IF(AND('Mapa final'!$AH$46="Media",'Mapa final'!$AJ$46="Mayor"),CONCATENATE("R2C",'Mapa final'!$R$46),"")</f>
        <v/>
      </c>
      <c r="AG37" s="39" t="str">
        <f>IF(AND('Mapa final'!$AH$47="Media",'Mapa final'!$AJ$47="Mayor"),CONCATENATE("R2C",'Mapa final'!$R$47),"")</f>
        <v/>
      </c>
      <c r="AH37" s="40" t="str">
        <f>IF(AND('Mapa final'!$AH$58="Media",'Mapa final'!$AJ$48="Mayor"),CONCATENATE("R2C",'Mapa final'!$R$48),"")</f>
        <v/>
      </c>
      <c r="AI37" s="41" t="str">
        <f>IF(AND('Mapa final'!$AH$43="Media",'Mapa final'!$AJ$43="Catastrófico"),CONCATENATE("R2C",'Mapa final'!$R$43),"")</f>
        <v/>
      </c>
      <c r="AJ37" s="42" t="str">
        <f>IF(AND('Mapa final'!$AH$44="Media",'Mapa final'!$AJ$44="Catastrófico"),CONCATENATE("R2C",'Mapa final'!$R$44),"")</f>
        <v/>
      </c>
      <c r="AK37" s="42" t="str">
        <f>IF(AND('Mapa final'!$AH$45="Media",'Mapa final'!$AJ$45="Catastrófico"),CONCATENATE("R2C",'Mapa final'!$R$45),"")</f>
        <v/>
      </c>
      <c r="AL37" s="42" t="str">
        <f>IF(AND('Mapa final'!$AH$46="Media",'Mapa final'!$AJ$46="Catastrófico"),CONCATENATE("R2C",'Mapa final'!$R$46),"")</f>
        <v/>
      </c>
      <c r="AM37" s="42" t="str">
        <f>IF(AND('Mapa final'!$AH$47="Media",'Mapa final'!$AJ$47="Catastrófico"),CONCATENATE("R2C",'Mapa final'!$R$47),"")</f>
        <v/>
      </c>
      <c r="AN37" s="43" t="str">
        <f>IF(AND('Mapa final'!$AH$58="Media",'Mapa final'!$AJ$48="Catastrófico"),CONCATENATE("R2C",'Mapa final'!$R$48),"")</f>
        <v/>
      </c>
      <c r="AO37" s="68"/>
      <c r="AP37" s="559"/>
      <c r="AQ37" s="560"/>
      <c r="AR37" s="560"/>
      <c r="AS37" s="560"/>
      <c r="AT37" s="560"/>
      <c r="AU37" s="561"/>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row>
    <row r="38" spans="2:77" ht="15" customHeight="1">
      <c r="B38" s="68"/>
      <c r="C38" s="429"/>
      <c r="D38" s="429"/>
      <c r="E38" s="430"/>
      <c r="F38" s="519"/>
      <c r="G38" s="520"/>
      <c r="H38" s="520"/>
      <c r="I38" s="520"/>
      <c r="J38" s="521"/>
      <c r="K38" s="53" t="str">
        <f>IF(AND('Mapa final'!$AH$49="Media",'Mapa final'!$AJ$49="Leve"),CONCATENATE("R2C",'Mapa final'!$R$49),"")</f>
        <v/>
      </c>
      <c r="L38" s="54" t="str">
        <f>IF(AND('Mapa final'!$AH$50="Media",'Mapa final'!$AJ$50="Leve"),CONCATENATE("R2C",'Mapa final'!$R$50),"")</f>
        <v/>
      </c>
      <c r="M38" s="54" t="str">
        <f>IF(AND('Mapa final'!$AH$51="Media",'Mapa final'!$AJ$51="Leve"),CONCATENATE("R2C",'Mapa final'!$R$51),"")</f>
        <v/>
      </c>
      <c r="N38" s="54" t="e">
        <f>IF(AND('Mapa final'!#REF!="Alta",'Mapa final'!#REF!="Leve"),CONCATENATE("R2C",'Mapa final'!#REF!),"")</f>
        <v>#REF!</v>
      </c>
      <c r="O38" s="54" t="str">
        <f>IF(AND('Mapa final'!$AH$53="Media",'Mapa final'!$AJ$53="Leve"),CONCATENATE("R2C",'Mapa final'!$R$53),"")</f>
        <v/>
      </c>
      <c r="P38" s="55" t="str">
        <f>IF(AND('Mapa final'!$AH$54="Media",'Mapa final'!$AJ$54="Leve"),CONCATENATE("R2C",'Mapa final'!$R$54),"")</f>
        <v/>
      </c>
      <c r="Q38" s="53" t="str">
        <f>IF(AND('Mapa final'!$AH$49="Media",'Mapa final'!$AJ$49="Menor"),CONCATENATE("R2C",'Mapa final'!$R$49),"")</f>
        <v/>
      </c>
      <c r="R38" s="54" t="str">
        <f>IF(AND('Mapa final'!$AH$50="Media",'Mapa final'!$AJ$50="Menor"),CONCATENATE("R2C",'Mapa final'!$R$50),"")</f>
        <v/>
      </c>
      <c r="S38" s="54" t="str">
        <f>IF(AND('Mapa final'!$AH$51="Media",'Mapa final'!$AJ$51="Menor"),CONCATENATE("R2C",'Mapa final'!$R$51),"")</f>
        <v/>
      </c>
      <c r="T38" s="54" t="str">
        <f>IF(AND('Mapa final'!$AH$52="Media",'Mapa final'!$AJ$52="Menor"),CONCATENATE("R2C",'Mapa final'!$R$52),"")</f>
        <v/>
      </c>
      <c r="U38" s="54" t="str">
        <f>IF(AND('Mapa final'!$AH$53="Media",'Mapa final'!$AJ$53="Menor"),CONCATENATE("R2C",'Mapa final'!$R$53),"")</f>
        <v/>
      </c>
      <c r="V38" s="55" t="str">
        <f>IF(AND('Mapa final'!$AH$54="Media",'Mapa final'!$AJ$54="Menor"),CONCATENATE("R2C",'Mapa final'!$R$54),"")</f>
        <v/>
      </c>
      <c r="W38" s="53" t="str">
        <f>IF(AND('Mapa final'!$AH$49="Media",'Mapa final'!$AJ$49="Moderado"),CONCATENATE("R2C",'Mapa final'!$R$49),"")</f>
        <v/>
      </c>
      <c r="X38" s="54" t="str">
        <f>IF(AND('Mapa final'!$AH$50="Media",'Mapa final'!$AJ$50="Moderado"),CONCATENATE("R2C",'Mapa final'!$R$50),"")</f>
        <v/>
      </c>
      <c r="Y38" s="54" t="str">
        <f>IF(AND('Mapa final'!$AH$51="Media",'Mapa final'!$AJ$51="Moderado"),CONCATENATE("R2C",'Mapa final'!$R$51),"")</f>
        <v/>
      </c>
      <c r="Z38" s="54" t="str">
        <f>IF(AND('Mapa final'!$AH$52="Media",'Mapa final'!$AJ$52="Moderado"),CONCATENATE("R2C",'Mapa final'!$R$52),"")</f>
        <v/>
      </c>
      <c r="AA38" s="54" t="str">
        <f>IF(AND('Mapa final'!$AH$53="Media",'Mapa final'!$AJ$53="Moderado"),CONCATENATE("R2C",'Mapa final'!$R$53),"")</f>
        <v/>
      </c>
      <c r="AB38" s="55" t="str">
        <f>IF(AND('Mapa final'!$AH$54="Media",'Mapa final'!$AJ$54="Moderado"),CONCATENATE("R2C",'Mapa final'!$R$54),"")</f>
        <v/>
      </c>
      <c r="AC38" s="38" t="str">
        <f>IF(AND('Mapa final'!$AH$49="Media",'Mapa final'!$AJ$49="Mayor"),CONCATENATE("R2C",'Mapa final'!$R$49),"")</f>
        <v/>
      </c>
      <c r="AD38" s="39" t="str">
        <f>IF(AND('Mapa final'!$AH$50="Media",'Mapa final'!$AJ$50="Mayor"),CONCATENATE("R2C",'Mapa final'!$R$50),"")</f>
        <v/>
      </c>
      <c r="AE38" s="39" t="str">
        <f>IF(AND('Mapa final'!$AH$51="Media",'Mapa final'!$AJ$51="Mayor"),CONCATENATE("R2C",'Mapa final'!$R$51),"")</f>
        <v/>
      </c>
      <c r="AF38" s="39" t="str">
        <f>IF(AND('Mapa final'!$AH$52="Media",'Mapa final'!$AJ$52="Mayor"),CONCATENATE("R2C",'Mapa final'!$R$52),"")</f>
        <v/>
      </c>
      <c r="AG38" s="39" t="str">
        <f>IF(AND('Mapa final'!$AH$53="Media",'Mapa final'!$AJ$53="Mayor"),CONCATENATE("R2C",'Mapa final'!$R$53),"")</f>
        <v/>
      </c>
      <c r="AH38" s="40" t="str">
        <f>IF(AND('Mapa final'!$AH$54="Media",'Mapa final'!$AJ$54="Mayor"),CONCATENATE("R2C",'Mapa final'!$R$54),"")</f>
        <v/>
      </c>
      <c r="AI38" s="41" t="str">
        <f>IF(AND('Mapa final'!$AH$49="Media",'Mapa final'!$AJ$49="Catastrófico"),CONCATENATE("R2C",'Mapa final'!$R$49),"")</f>
        <v/>
      </c>
      <c r="AJ38" s="42" t="str">
        <f>IF(AND('Mapa final'!$AH$50="Media",'Mapa final'!$AJ$50="Catastrófico"),CONCATENATE("R2C",'Mapa final'!$R$50),"")</f>
        <v/>
      </c>
      <c r="AK38" s="42" t="str">
        <f>IF(AND('Mapa final'!$AH$51="Media",'Mapa final'!$AJ$51="Catastrófico"),CONCATENATE("R2C",'Mapa final'!$R$51),"")</f>
        <v/>
      </c>
      <c r="AL38" s="42" t="str">
        <f>IF(AND('Mapa final'!$AH$52="Media",'Mapa final'!$AJ$52="Catastrófico"),CONCATENATE("R2C",'Mapa final'!$R$52),"")</f>
        <v/>
      </c>
      <c r="AM38" s="42" t="str">
        <f>IF(AND('Mapa final'!$AH$53="Media",'Mapa final'!$AJ$53="Catastrófico"),CONCATENATE("R2C",'Mapa final'!$R$53),"")</f>
        <v/>
      </c>
      <c r="AN38" s="43" t="str">
        <f>IF(AND('Mapa final'!$AH$54="Media",'Mapa final'!$AJ$54="Catastrófico"),CONCATENATE("R2C",'Mapa final'!$R$54),"")</f>
        <v/>
      </c>
      <c r="AO38" s="68"/>
      <c r="AP38" s="559"/>
      <c r="AQ38" s="560"/>
      <c r="AR38" s="560"/>
      <c r="AS38" s="560"/>
      <c r="AT38" s="560"/>
      <c r="AU38" s="561"/>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row>
    <row r="39" spans="2:77" ht="15" customHeight="1">
      <c r="B39" s="68"/>
      <c r="C39" s="429"/>
      <c r="D39" s="429"/>
      <c r="E39" s="430"/>
      <c r="F39" s="519"/>
      <c r="G39" s="520"/>
      <c r="H39" s="520"/>
      <c r="I39" s="520"/>
      <c r="J39" s="521"/>
      <c r="K39" s="53" t="str">
        <f>IF(AND('Mapa final'!$AH$55="Media",'Mapa final'!$AJ$55="Leve"),CONCATENATE("R2C",'Mapa final'!$R$55),"")</f>
        <v/>
      </c>
      <c r="L39" s="54" t="str">
        <f>IF(AND('Mapa final'!$AH$56="Media",'Mapa final'!$AJ$56="Leve"),CONCATENATE("R2C",'Mapa final'!$R$56),"")</f>
        <v/>
      </c>
      <c r="M39" s="54" t="str">
        <f>IF(AND('Mapa final'!$AH$57="Media",'Mapa final'!$AJ$57="Leve"),CONCATENATE("R2C",'Mapa final'!$R$57),"")</f>
        <v/>
      </c>
      <c r="N39" s="54" t="e">
        <f>IF(AND('Mapa final'!#REF!="Alta",'Mapa final'!#REF!="Leve"),CONCATENATE("R2C",'Mapa final'!#REF!),"")</f>
        <v>#REF!</v>
      </c>
      <c r="O39" s="54" t="str">
        <f>IF(AND('Mapa final'!$AH$59="Media",'Mapa final'!$AJ$59="Leve"),CONCATENATE("R2C",'Mapa final'!$R$59),"")</f>
        <v/>
      </c>
      <c r="P39" s="55" t="str">
        <f>IF(AND('Mapa final'!$AH$60="Media",'Mapa final'!$AJ$60="Leve"),CONCATENATE("R2C",'Mapa final'!$R$60),"")</f>
        <v/>
      </c>
      <c r="Q39" s="53" t="str">
        <f>IF(AND('Mapa final'!$AH$55="Media",'Mapa final'!$AJ$55="Menor"),CONCATENATE("R2C",'Mapa final'!$R$55),"")</f>
        <v/>
      </c>
      <c r="R39" s="54" t="str">
        <f>IF(AND('Mapa final'!$AH$56="Media",'Mapa final'!$AJ$56="Menor"),CONCATENATE("R2C",'Mapa final'!$R$56),"")</f>
        <v/>
      </c>
      <c r="S39" s="54" t="str">
        <f>IF(AND('Mapa final'!$AH$57="Media",'Mapa final'!$AJ$57="Menor"),CONCATENATE("R2C",'Mapa final'!$R$57),"")</f>
        <v/>
      </c>
      <c r="T39" s="54" t="str">
        <f>IF(AND('Mapa final'!$AH$58="Media",'Mapa final'!$AJ$58="Menor"),CONCATENATE("R2C",'Mapa final'!$R$58),"")</f>
        <v/>
      </c>
      <c r="U39" s="54" t="str">
        <f>IF(AND('Mapa final'!$AH$59="Media",'Mapa final'!$AJ$59="Menor"),CONCATENATE("R2C",'Mapa final'!$R$59),"")</f>
        <v/>
      </c>
      <c r="V39" s="55" t="str">
        <f>IF(AND('Mapa final'!$AH$60="Media",'Mapa final'!$AJ$60="Menor"),CONCATENATE("R2C",'Mapa final'!$R$60),"")</f>
        <v/>
      </c>
      <c r="W39" s="53" t="str">
        <f>IF(AND('Mapa final'!$AH$55="Media",'Mapa final'!$AJ$55="Moderado"),CONCATENATE("R2C",'Mapa final'!$R$55),"")</f>
        <v/>
      </c>
      <c r="X39" s="54" t="str">
        <f>IF(AND('Mapa final'!$AH$56="Media",'Mapa final'!$AJ$56="Moderado"),CONCATENATE("R2C",'Mapa final'!$R$56),"")</f>
        <v/>
      </c>
      <c r="Y39" s="54" t="str">
        <f>IF(AND('Mapa final'!$AH$57="Media",'Mapa final'!$AJ$57="Moderado"),CONCATENATE("R2C",'Mapa final'!$R$57),"")</f>
        <v/>
      </c>
      <c r="Z39" s="54" t="str">
        <f>IF(AND('Mapa final'!$AH$58="Media",'Mapa final'!$AJ$58="Moderado"),CONCATENATE("R2C",'Mapa final'!$R$58),"")</f>
        <v/>
      </c>
      <c r="AA39" s="54" t="str">
        <f>IF(AND('Mapa final'!$AH$59="Media",'Mapa final'!$AJ$59="Moderado"),CONCATENATE("R2C",'Mapa final'!$R$59),"")</f>
        <v/>
      </c>
      <c r="AB39" s="55" t="str">
        <f>IF(AND('Mapa final'!$AH$60="Media",'Mapa final'!$AJ$60="Moderado"),CONCATENATE("R2C",'Mapa final'!$R$60),"")</f>
        <v/>
      </c>
      <c r="AC39" s="38" t="str">
        <f>IF(AND('Mapa final'!$AH$55="Media",'Mapa final'!$AJ$55="Mayor"),CONCATENATE("R2C",'Mapa final'!$R$55),"")</f>
        <v/>
      </c>
      <c r="AD39" s="39" t="str">
        <f>IF(AND('Mapa final'!$AH$56="Media",'Mapa final'!$AJ$56="Mayor"),CONCATENATE("R2C",'Mapa final'!$R$56),"")</f>
        <v/>
      </c>
      <c r="AE39" s="39" t="str">
        <f>IF(AND('Mapa final'!$AH$57="Media",'Mapa final'!$AJ$57="Mayor"),CONCATENATE("R2C",'Mapa final'!$R$57),"")</f>
        <v/>
      </c>
      <c r="AF39" s="39" t="str">
        <f>IF(AND('Mapa final'!$AH$58="Media",'Mapa final'!$AJ$58="Mayor"),CONCATENATE("R2C",'Mapa final'!$R$58),"")</f>
        <v/>
      </c>
      <c r="AG39" s="39" t="str">
        <f>IF(AND('Mapa final'!$AH$59="Media",'Mapa final'!$AJ$59="Mayor"),CONCATENATE("R2C",'Mapa final'!$R$59),"")</f>
        <v/>
      </c>
      <c r="AH39" s="40" t="str">
        <f>IF(AND('Mapa final'!$AH$60="Media",'Mapa final'!$AJ$60="Mayor"),CONCATENATE("R2C",'Mapa final'!$R$60),"")</f>
        <v/>
      </c>
      <c r="AI39" s="41" t="str">
        <f>IF(AND('Mapa final'!$AH$55="Media",'Mapa final'!$AJ$55="Catastrófico"),CONCATENATE("R2C",'Mapa final'!$R$55),"")</f>
        <v/>
      </c>
      <c r="AJ39" s="42" t="str">
        <f>IF(AND('Mapa final'!$AH$56="Media",'Mapa final'!$AJ$56="Catastrófico"),CONCATENATE("R2C",'Mapa final'!$R$56),"")</f>
        <v/>
      </c>
      <c r="AK39" s="42" t="str">
        <f>IF(AND('Mapa final'!$AH$57="Media",'Mapa final'!$AJ$57="Catastrófico"),CONCATENATE("R2C",'Mapa final'!$R$57),"")</f>
        <v/>
      </c>
      <c r="AL39" s="42" t="str">
        <f>IF(AND('Mapa final'!$AH$58="Media",'Mapa final'!$AJ$58="Catastrófico"),CONCATENATE("R2C",'Mapa final'!$R$58),"")</f>
        <v/>
      </c>
      <c r="AM39" s="42" t="str">
        <f>IF(AND('Mapa final'!$AH$59="Media",'Mapa final'!$AJ$59="Catastrófico"),CONCATENATE("R2C",'Mapa final'!$R$59),"")</f>
        <v/>
      </c>
      <c r="AN39" s="43" t="str">
        <f>IF(AND('Mapa final'!$AH$60="Media",'Mapa final'!$AJ$60="Catastrófico"),CONCATENATE("R2C",'Mapa final'!$R$60),"")</f>
        <v/>
      </c>
      <c r="AO39" s="68"/>
      <c r="AP39" s="559"/>
      <c r="AQ39" s="560"/>
      <c r="AR39" s="560"/>
      <c r="AS39" s="560"/>
      <c r="AT39" s="560"/>
      <c r="AU39" s="561"/>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row>
    <row r="40" spans="2:77" ht="15" customHeight="1">
      <c r="B40" s="68"/>
      <c r="C40" s="429"/>
      <c r="D40" s="429"/>
      <c r="E40" s="430"/>
      <c r="F40" s="519"/>
      <c r="G40" s="520"/>
      <c r="H40" s="520"/>
      <c r="I40" s="520"/>
      <c r="J40" s="521"/>
      <c r="K40" s="53" t="str">
        <f>IF(AND('Mapa final'!$AH$61="Media",'Mapa final'!$AJ$61="Leve"),CONCATENATE("R2C",'Mapa final'!$R$61),"")</f>
        <v/>
      </c>
      <c r="L40" s="54" t="str">
        <f>IF(AND('Mapa final'!$AH$62="Media",'Mapa final'!$AJ$62="Leve"),CONCATENATE("R2C",'Mapa final'!$R$62),"")</f>
        <v/>
      </c>
      <c r="M40" s="54" t="str">
        <f>IF(AND('Mapa final'!$AH$63="Media",'Mapa final'!$AJ$63="Leve"),CONCATENATE("R2C",'Mapa final'!$R$63),"")</f>
        <v/>
      </c>
      <c r="N40" s="54" t="e">
        <f>IF(AND('Mapa final'!#REF!="Alta",'Mapa final'!#REF!="Leve"),CONCATENATE("R2C",'Mapa final'!#REF!),"")</f>
        <v>#REF!</v>
      </c>
      <c r="O40" s="54" t="str">
        <f>IF(AND('Mapa final'!$AH$65="Media",'Mapa final'!$AJ$65="Leve"),CONCATENATE("R2C",'Mapa final'!$R$65),"")</f>
        <v/>
      </c>
      <c r="P40" s="55" t="str">
        <f>IF(AND('Mapa final'!$AH$66="Media",'Mapa final'!$AJ$66="Leve"),CONCATENATE("R2C",'Mapa final'!$R$66),"")</f>
        <v/>
      </c>
      <c r="Q40" s="53" t="str">
        <f>IF(AND('Mapa final'!$AH$61="Media",'Mapa final'!$AJ$61="Menor"),CONCATENATE("R2C",'Mapa final'!$R$61),"")</f>
        <v/>
      </c>
      <c r="R40" s="54" t="str">
        <f>IF(AND('Mapa final'!$AH$62="Media",'Mapa final'!$AJ$62="Menor"),CONCATENATE("R2C",'Mapa final'!$R$62),"")</f>
        <v/>
      </c>
      <c r="S40" s="54" t="str">
        <f>IF(AND('Mapa final'!$AH$63="Media",'Mapa final'!$AJ$63="Menor"),CONCATENATE("R2C",'Mapa final'!$R$63),"")</f>
        <v/>
      </c>
      <c r="T40" s="54" t="str">
        <f>IF(AND('Mapa final'!$AH$64="Media",'Mapa final'!$AJ$64="Menor"),CONCATENATE("R2C",'Mapa final'!$R$64),"")</f>
        <v/>
      </c>
      <c r="U40" s="54" t="str">
        <f>IF(AND('Mapa final'!$AH$65="Media",'Mapa final'!$AJ$65="Menor"),CONCATENATE("R2C",'Mapa final'!$R$65),"")</f>
        <v/>
      </c>
      <c r="V40" s="55" t="str">
        <f>IF(AND('Mapa final'!$AH$66="Media",'Mapa final'!$AJ$66="Menor"),CONCATENATE("R2C",'Mapa final'!$R$66),"")</f>
        <v/>
      </c>
      <c r="W40" s="53" t="str">
        <f>IF(AND('Mapa final'!$AH$61="Media",'Mapa final'!$AJ$61="Moderado"),CONCATENATE("R2C",'Mapa final'!$R$61),"")</f>
        <v/>
      </c>
      <c r="X40" s="54" t="str">
        <f>IF(AND('Mapa final'!$AH$62="Media",'Mapa final'!$AJ$62="Moderado"),CONCATENATE("R2C",'Mapa final'!$R$62),"")</f>
        <v/>
      </c>
      <c r="Y40" s="54" t="str">
        <f>IF(AND('Mapa final'!$AH$63="Media",'Mapa final'!$AJ$63="Moderado"),CONCATENATE("R2C",'Mapa final'!$R$63),"")</f>
        <v/>
      </c>
      <c r="Z40" s="54" t="str">
        <f>IF(AND('Mapa final'!$AH$64="Media",'Mapa final'!$AJ$64="Moderado"),CONCATENATE("R2C",'Mapa final'!$R$64),"")</f>
        <v/>
      </c>
      <c r="AA40" s="54" t="str">
        <f>IF(AND('Mapa final'!$AH$65="Media",'Mapa final'!$AJ$65="Moderado"),CONCATENATE("R2C",'Mapa final'!$R$65),"")</f>
        <v/>
      </c>
      <c r="AB40" s="55" t="str">
        <f>IF(AND('Mapa final'!$AH$66="Media",'Mapa final'!$AJ$66="Moderado"),CONCATENATE("R2C",'Mapa final'!$R$66),"")</f>
        <v/>
      </c>
      <c r="AC40" s="38" t="str">
        <f>IF(AND('Mapa final'!$AH$61="Media",'Mapa final'!$AJ$61="Mayor"),CONCATENATE("R2C",'Mapa final'!$R$61),"")</f>
        <v/>
      </c>
      <c r="AD40" s="39" t="str">
        <f>IF(AND('Mapa final'!$AH$62="Media",'Mapa final'!$AJ$62="Mayor"),CONCATENATE("R2C",'Mapa final'!$R$62),"")</f>
        <v/>
      </c>
      <c r="AE40" s="39" t="str">
        <f>IF(AND('Mapa final'!$AH$63="Media",'Mapa final'!$AJ$63="Mayor"),CONCATENATE("R2C",'Mapa final'!$R$63),"")</f>
        <v/>
      </c>
      <c r="AF40" s="39" t="str">
        <f>IF(AND('Mapa final'!$AH$64="Media",'Mapa final'!$AJ$64="Mayor"),CONCATENATE("R2C",'Mapa final'!$R$64),"")</f>
        <v/>
      </c>
      <c r="AG40" s="39" t="str">
        <f>IF(AND('Mapa final'!$AH$65="Media",'Mapa final'!$AJ$65="Mayor"),CONCATENATE("R2C",'Mapa final'!$R$65),"")</f>
        <v/>
      </c>
      <c r="AH40" s="40" t="str">
        <f>IF(AND('Mapa final'!$AH$66="Media",'Mapa final'!$AJ$66="Mayor"),CONCATENATE("R2C",'Mapa final'!$R$66),"")</f>
        <v/>
      </c>
      <c r="AI40" s="41" t="str">
        <f>IF(AND('Mapa final'!$AH$61="Media",'Mapa final'!$AJ$61="Catastrófico"),CONCATENATE("R2C",'Mapa final'!$R$61),"")</f>
        <v/>
      </c>
      <c r="AJ40" s="42" t="str">
        <f>IF(AND('Mapa final'!$AH$62="Media",'Mapa final'!$AJ$62="Catastrófico"),CONCATENATE("R2C",'Mapa final'!$R$62),"")</f>
        <v/>
      </c>
      <c r="AK40" s="42" t="str">
        <f>IF(AND('Mapa final'!$AH$63="Media",'Mapa final'!$AJ$63="Catastrófico"),CONCATENATE("R2C",'Mapa final'!$R$63),"")</f>
        <v/>
      </c>
      <c r="AL40" s="42" t="str">
        <f>IF(AND('Mapa final'!$AH$64="Media",'Mapa final'!$AJ$64="Catastrófico"),CONCATENATE("R2C",'Mapa final'!$R$64),"")</f>
        <v/>
      </c>
      <c r="AM40" s="42" t="str">
        <f>IF(AND('Mapa final'!$AH$65="Media",'Mapa final'!$AJ$65="Catastrófico"),CONCATENATE("R2C",'Mapa final'!$R$65),"")</f>
        <v/>
      </c>
      <c r="AN40" s="43" t="str">
        <f>IF(AND('Mapa final'!$AH$66="Media",'Mapa final'!$AJ$66="Catastrófico"),CONCATENATE("R2C",'Mapa final'!$R$66),"")</f>
        <v/>
      </c>
      <c r="AO40" s="68"/>
      <c r="AP40" s="559"/>
      <c r="AQ40" s="560"/>
      <c r="AR40" s="560"/>
      <c r="AS40" s="560"/>
      <c r="AT40" s="560"/>
      <c r="AU40" s="561"/>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row>
    <row r="41" spans="2:77" ht="15.75" customHeight="1" thickBot="1">
      <c r="B41" s="68"/>
      <c r="C41" s="429"/>
      <c r="D41" s="429"/>
      <c r="E41" s="430"/>
      <c r="F41" s="522"/>
      <c r="G41" s="523"/>
      <c r="H41" s="523"/>
      <c r="I41" s="523"/>
      <c r="J41" s="524"/>
      <c r="K41" s="53" t="str">
        <f>IF(AND('Mapa final'!$AH$67="Media",'Mapa final'!$AJ$67="Leve"),CONCATENATE("R2C",'Mapa final'!$R$67),"")</f>
        <v/>
      </c>
      <c r="L41" s="54" t="str">
        <f>IF(AND('Mapa final'!$AH$68="Media",'Mapa final'!$AJ$68="Leve"),CONCATENATE("R2C",'Mapa final'!$R$68),"")</f>
        <v/>
      </c>
      <c r="M41" s="54" t="str">
        <f>IF(AND('Mapa final'!$AH$69="Media",'Mapa final'!$AJ$69="Leve"),CONCATENATE("R2C",'Mapa final'!$R$69),"")</f>
        <v/>
      </c>
      <c r="N41" s="54" t="e">
        <f>IF(AND('Mapa final'!#REF!="Alta",'Mapa final'!#REF!="Leve"),CONCATENATE("R2C",'Mapa final'!#REF!),"")</f>
        <v>#REF!</v>
      </c>
      <c r="O41" s="54" t="str">
        <f>IF(AND('Mapa final'!$AH$72="Media",'Mapa final'!$AJ$72="Leve"),CONCATENATE("R2C",'Mapa final'!$R$72),"")</f>
        <v/>
      </c>
      <c r="P41" s="55" t="str">
        <f>IF(AND('Mapa final'!$AH$73="Media",'Mapa final'!$AJ$73="Leve"),CONCATENATE("R2C",'Mapa final'!$R$73),"")</f>
        <v/>
      </c>
      <c r="Q41" s="53" t="str">
        <f>IF(AND('Mapa final'!$AH$67="Media",'Mapa final'!$AJ$67="Menor"),CONCATENATE("R2C",'Mapa final'!$R$67),"")</f>
        <v/>
      </c>
      <c r="R41" s="54" t="str">
        <f>IF(AND('Mapa final'!$AH$68="Media",'Mapa final'!$AJ$68="Menor"),CONCATENATE("R2C",'Mapa final'!$R$68),"")</f>
        <v/>
      </c>
      <c r="S41" s="54" t="str">
        <f>IF(AND('Mapa final'!$AH$69="Media",'Mapa final'!$AJ$69="Menor"),CONCATENATE("R2C",'Mapa final'!$R$69),"")</f>
        <v/>
      </c>
      <c r="T41" s="54" t="str">
        <f>IF(AND('Mapa final'!$AH$70="Media",'Mapa final'!$AJ$70="Menor"),CONCATENATE("R2C",'Mapa final'!$R$70),"")</f>
        <v/>
      </c>
      <c r="U41" s="54" t="str">
        <f>IF(AND('Mapa final'!$AH$72="Media",'Mapa final'!$AJ$72="Menor"),CONCATENATE("R2C",'Mapa final'!$R$72),"")</f>
        <v/>
      </c>
      <c r="V41" s="55" t="str">
        <f>IF(AND('Mapa final'!$AH$73="Media",'Mapa final'!$AJ$73="Menor"),CONCATENATE("R2C",'Mapa final'!$R$73),"")</f>
        <v/>
      </c>
      <c r="W41" s="53" t="str">
        <f>IF(AND('Mapa final'!$AH$67="Media",'Mapa final'!$AJ$67="Moderado"),CONCATENATE("R2C",'Mapa final'!$R$67),"")</f>
        <v/>
      </c>
      <c r="X41" s="54" t="str">
        <f>IF(AND('Mapa final'!$AH$68="Media",'Mapa final'!$AJ$68="Moderado"),CONCATENATE("R2C",'Mapa final'!$R$68),"")</f>
        <v/>
      </c>
      <c r="Y41" s="54" t="str">
        <f>IF(AND('Mapa final'!$AH$69="Media",'Mapa final'!$AJ$69="Moderado"),CONCATENATE("R2C",'Mapa final'!$R$69),"")</f>
        <v/>
      </c>
      <c r="Z41" s="54" t="str">
        <f>IF(AND('Mapa final'!$AH$70="Media",'Mapa final'!$AJ$70="Moderado"),CONCATENATE("R2C",'Mapa final'!$R$70),"")</f>
        <v/>
      </c>
      <c r="AA41" s="54" t="str">
        <f>IF(AND('Mapa final'!$AH$72="Media",'Mapa final'!$AJ$72="Moderado"),CONCATENATE("R2C",'Mapa final'!$R$72),"")</f>
        <v/>
      </c>
      <c r="AB41" s="55" t="str">
        <f>IF(AND('Mapa final'!$AH$73="Media",'Mapa final'!$AJ$73="Moderado"),CONCATENATE("R2C",'Mapa final'!$R$73),"")</f>
        <v/>
      </c>
      <c r="AC41" s="44" t="str">
        <f>IF(AND('Mapa final'!$AH$67="Media",'Mapa final'!$AJ$67="Mayor"),CONCATENATE("R2C",'Mapa final'!$R$67),"")</f>
        <v/>
      </c>
      <c r="AD41" s="45" t="str">
        <f>IF(AND('Mapa final'!$AH$68="Media",'Mapa final'!$AJ$68="Mayor"),CONCATENATE("R2C",'Mapa final'!$R$68),"")</f>
        <v/>
      </c>
      <c r="AE41" s="45" t="str">
        <f>IF(AND('Mapa final'!$AH$69="Media",'Mapa final'!$AJ$69="Mayor"),CONCATENATE("R2C",'Mapa final'!$R$69),"")</f>
        <v/>
      </c>
      <c r="AF41" s="45" t="str">
        <f>IF(AND('Mapa final'!$AH$70="Media",'Mapa final'!$AJ$70="Mayor"),CONCATENATE("R2C",'Mapa final'!$R$70),"")</f>
        <v/>
      </c>
      <c r="AG41" s="45" t="str">
        <f>IF(AND('Mapa final'!$AH$72="Media",'Mapa final'!$AJ$72="Mayor"),CONCATENATE("R2C",'Mapa final'!$R$72),"")</f>
        <v/>
      </c>
      <c r="AH41" s="46" t="str">
        <f>IF(AND('Mapa final'!$AH$73="Media",'Mapa final'!$AJ$73="Mayor"),CONCATENATE("R2C",'Mapa final'!$R$73),"")</f>
        <v/>
      </c>
      <c r="AI41" s="47" t="str">
        <f>IF(AND('Mapa final'!$AH$67="Media",'Mapa final'!$AJ$67="Catastrófico"),CONCATENATE("R2C",'Mapa final'!$R$67),"")</f>
        <v/>
      </c>
      <c r="AJ41" s="48" t="str">
        <f>IF(AND('Mapa final'!$AH$68="Media",'Mapa final'!$AJ$68="Catastrófico"),CONCATENATE("R2C",'Mapa final'!$R$68),"")</f>
        <v/>
      </c>
      <c r="AK41" s="48" t="str">
        <f>IF(AND('Mapa final'!$AH$69="Media",'Mapa final'!$AJ$69="Catastrófico"),CONCATENATE("R2C",'Mapa final'!$R$69),"")</f>
        <v/>
      </c>
      <c r="AL41" s="48" t="str">
        <f>IF(AND('Mapa final'!$AH$70="Media",'Mapa final'!$AJ$70="Catastrófico"),CONCATENATE("R2C",'Mapa final'!$R$70),"")</f>
        <v/>
      </c>
      <c r="AM41" s="48" t="str">
        <f>IF(AND('Mapa final'!$AH$72="Media",'Mapa final'!$AJ$72="Catastrófico"),CONCATENATE("R2C",'Mapa final'!$R$72),"")</f>
        <v/>
      </c>
      <c r="AN41" s="49" t="str">
        <f>IF(AND('Mapa final'!$AH$73="Muy Alta",'Mapa final'!$AJ$73="Catastrófico"),CONCATENATE("R2C",'Mapa final'!$R$73),"")</f>
        <v/>
      </c>
      <c r="AO41" s="68"/>
      <c r="AP41" s="562"/>
      <c r="AQ41" s="563"/>
      <c r="AR41" s="563"/>
      <c r="AS41" s="563"/>
      <c r="AT41" s="563"/>
      <c r="AU41" s="564"/>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row>
    <row r="42" spans="2:77" ht="15" customHeight="1">
      <c r="B42" s="68"/>
      <c r="C42" s="429"/>
      <c r="D42" s="429"/>
      <c r="E42" s="430"/>
      <c r="F42" s="516" t="s">
        <v>258</v>
      </c>
      <c r="G42" s="517"/>
      <c r="H42" s="517"/>
      <c r="I42" s="517"/>
      <c r="J42" s="517"/>
      <c r="K42" s="59"/>
      <c r="L42" s="60" t="str">
        <f>IF(AND('Mapa final'!$AH$16="Baja",'Mapa final'!$AJ$16="Leve"),CONCATENATE("R2C",'Mapa final'!$R$15),"")</f>
        <v/>
      </c>
      <c r="M42" s="60" t="str">
        <f>IF(AND('Mapa final'!$AH$17="Baja",'Mapa final'!$AJ$17="Leve"),CONCATENATE("R2C",'Mapa final'!$R$17),"")</f>
        <v/>
      </c>
      <c r="N42" s="54" t="e">
        <f>IF(AND('Mapa final'!#REF!="Alta",'Mapa final'!#REF!="Leve"),CONCATENATE("R2C",'Mapa final'!#REF!),"")</f>
        <v>#REF!</v>
      </c>
      <c r="O42" s="60" t="e">
        <f>IF(AND('Mapa final'!#REF!="Baja",'Mapa final'!#REF!="Leve"),CONCATENATE("R2C",'Mapa final'!#REF!),"")</f>
        <v>#REF!</v>
      </c>
      <c r="P42" s="61" t="e">
        <f>IF(AND('Mapa final'!#REF!="Baja",'Mapa final'!#REF!="Leve"),CONCATENATE("R2C",'Mapa final'!#REF!),"")</f>
        <v>#REF!</v>
      </c>
      <c r="Q42" s="50"/>
      <c r="R42" s="51" t="str">
        <f>IF(AND('Mapa final'!$AH$16="Baja",'Mapa final'!$AJ$16="Menore"),CONCATENATE("R2C",'Mapa final'!$R$15),"")</f>
        <v/>
      </c>
      <c r="S42" s="51" t="str">
        <f>IF(AND('Mapa final'!$AH$17="Baja",'Mapa final'!$AJ$17="Menor"),CONCATENATE("R2C",'Mapa final'!$R$17),"")</f>
        <v/>
      </c>
      <c r="T42" s="51" t="e">
        <f>IF(AND('Mapa final'!#REF!="Baja",'Mapa final'!#REF!="Menor"),CONCATENATE("R2C",'Mapa final'!#REF!),"")</f>
        <v>#REF!</v>
      </c>
      <c r="U42" s="51" t="e">
        <f>IF(AND('Mapa final'!#REF!="Baja",'Mapa final'!#REF!="Menor"),CONCATENATE("R2C",'Mapa final'!#REF!),"")</f>
        <v>#REF!</v>
      </c>
      <c r="V42" s="52" t="e">
        <f>IF(AND('Mapa final'!#REF!="Baja",'Mapa final'!#REF!="Menor"),CONCATENATE("R2C",'Mapa final'!#REF!),"")</f>
        <v>#REF!</v>
      </c>
      <c r="W42" s="50"/>
      <c r="X42" s="51" t="str">
        <f>IF(AND('Mapa final'!$AH$16="Baja",'Mapa final'!$AJ$16="Moderado"),CONCATENATE("R2C",'Mapa final'!$R$15),"")</f>
        <v/>
      </c>
      <c r="Y42" s="51"/>
      <c r="Z42" s="51" t="e">
        <f>IF(AND('Mapa final'!#REF!="Baja",'Mapa final'!#REF!="Moderado"),CONCATENATE("R2C",'Mapa final'!#REF!),"")</f>
        <v>#REF!</v>
      </c>
      <c r="AA42" s="51" t="e">
        <f>IF(AND('Mapa final'!#REF!="Baja",'Mapa final'!#REF!="Moderado"),CONCATENATE("R2C",'Mapa final'!#REF!),"")</f>
        <v>#REF!</v>
      </c>
      <c r="AB42" s="52" t="e">
        <f>IF(AND('Mapa final'!#REF!="Baja",'Mapa final'!#REF!="Moderado"),CONCATENATE("R2C",'Mapa final'!#REF!),"")</f>
        <v>#REF!</v>
      </c>
      <c r="AC42" s="32"/>
      <c r="AD42" s="33" t="str">
        <f>IF(AND('Mapa final'!$AH$16="Baja",'Mapa final'!$AJ$16="Mayor"),CONCATENATE("R2C",'Mapa final'!$R$15),"")</f>
        <v/>
      </c>
      <c r="AE42" s="33" t="str">
        <f>IF(AND('Mapa final'!$AH$17="Baja",'Mapa final'!$AJ$17="Mayor"),CONCATENATE("R2C",'Mapa final'!$R$17),"")</f>
        <v/>
      </c>
      <c r="AF42" s="33" t="e">
        <f>IF(AND('Mapa final'!#REF!="Baja",'Mapa final'!#REF!="Mayor"),CONCATENATE("R2C",'Mapa final'!#REF!),"")</f>
        <v>#REF!</v>
      </c>
      <c r="AG42" s="33" t="e">
        <f>IF(AND('Mapa final'!#REF!="Baja",'Mapa final'!#REF!="Mayor"),CONCATENATE("R2C",'Mapa final'!#REF!),"")</f>
        <v>#REF!</v>
      </c>
      <c r="AH42" s="34" t="e">
        <f>IF(AND('Mapa final'!#REF!="Baja",'Mapa final'!#REF!="Mayor"),CONCATENATE("R2C",'Mapa final'!#REF!),"")</f>
        <v>#REF!</v>
      </c>
      <c r="AI42" s="35"/>
      <c r="AJ42" s="36" t="str">
        <f>IF(AND('Mapa final'!$AH$16="Baja",'Mapa final'!$AJ$16="Catastrófico"),CONCATENATE("R2C",'Mapa final'!$R$15),"")</f>
        <v/>
      </c>
      <c r="AK42" s="36" t="str">
        <f>IF(AND('Mapa final'!$AH$17="Baja",'Mapa final'!$AJ$17="Catastrófico"),CONCATENATE("R2C",'Mapa final'!$R$17),"")</f>
        <v/>
      </c>
      <c r="AL42" s="36" t="e">
        <f>IF(AND('Mapa final'!#REF!="Baja",'Mapa final'!#REF!="Catastrófico"),CONCATENATE("R2C",'Mapa final'!#REF!),"")</f>
        <v>#REF!</v>
      </c>
      <c r="AM42" s="36" t="e">
        <f>IF(AND('Mapa final'!#REF!="Baja",'Mapa final'!#REF!="Catastrófico"),CONCATENATE("R2C",'Mapa final'!#REF!),"")</f>
        <v>#REF!</v>
      </c>
      <c r="AN42" s="37" t="e">
        <f>IF(AND('Mapa final'!#REF!="Baja",'Mapa final'!#REF!="Catastrófico"),CONCATENATE("R2C",'Mapa final'!#REF!),"")</f>
        <v>#REF!</v>
      </c>
      <c r="AO42" s="68"/>
      <c r="AP42" s="547" t="s">
        <v>259</v>
      </c>
      <c r="AQ42" s="548"/>
      <c r="AR42" s="548"/>
      <c r="AS42" s="548"/>
      <c r="AT42" s="548"/>
      <c r="AU42" s="549"/>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row>
    <row r="43" spans="2:77" ht="15" customHeight="1">
      <c r="B43" s="68"/>
      <c r="C43" s="429"/>
      <c r="D43" s="429"/>
      <c r="E43" s="430"/>
      <c r="F43" s="534"/>
      <c r="G43" s="520"/>
      <c r="H43" s="520"/>
      <c r="I43" s="520"/>
      <c r="J43" s="520"/>
      <c r="K43" s="62" t="e">
        <f>IF(AND('Mapa final'!#REF!="Baja",'Mapa final'!#REF!="Leve"),CONCATENATE("R2C",'Mapa final'!#REF!),"")</f>
        <v>#REF!</v>
      </c>
      <c r="L43" s="63" t="e">
        <f>IF(AND('Mapa final'!#REF!="Baja",'Mapa final'!#REF!="Leve"),CONCATENATE("R2C",'Mapa final'!#REF!),"")</f>
        <v>#REF!</v>
      </c>
      <c r="M43" s="63" t="str">
        <f>IF(AND('Mapa final'!$AH$21="Baja",'Mapa final'!$AJ$21="Leve"),CONCATENATE("R2C",'Mapa final'!$R$21),"")</f>
        <v/>
      </c>
      <c r="N43" s="54" t="e">
        <f>IF(AND('Mapa final'!#REF!="Alta",'Mapa final'!#REF!="Leve"),CONCATENATE("R2C",'Mapa final'!#REF!),"")</f>
        <v>#REF!</v>
      </c>
      <c r="O43" s="63" t="str">
        <f>IF(AND('Mapa final'!$AH$23="Baja",'Mapa final'!$AJ$23="Leve"),CONCATENATE("R2C",'Mapa final'!$R$23),"")</f>
        <v/>
      </c>
      <c r="P43" s="64" t="str">
        <f>IF(AND('Mapa final'!$AH$24="Baja",'Mapa final'!$AJ$24="Leve"),CONCATENATE("R2C",'Mapa final'!$R$24),"")</f>
        <v/>
      </c>
      <c r="Q43" s="53" t="e">
        <f>IF(AND('Mapa final'!#REF!="Baja",'Mapa final'!#REF!="Menor"),CONCATENATE("R2C",'Mapa final'!#REF!),"")</f>
        <v>#REF!</v>
      </c>
      <c r="R43" s="54" t="e">
        <f>IF(AND('Mapa final'!#REF!="Baja",'Mapa final'!#REF!="Menor"),CONCATENATE("R2C",'Mapa final'!#REF!),"")</f>
        <v>#REF!</v>
      </c>
      <c r="S43" s="54" t="str">
        <f>IF(AND('Mapa final'!$AH$21="Baja",'Mapa final'!$AJ$21="Menor"),CONCATENATE("R2C",'Mapa final'!$R$21),"")</f>
        <v/>
      </c>
      <c r="T43" s="54" t="str">
        <f>IF(AND('Mapa final'!$AH$22="Baja",'Mapa final'!$AJ$22="Menor"),CONCATENATE("R2C",'Mapa final'!$R$22),"")</f>
        <v/>
      </c>
      <c r="U43" s="54" t="str">
        <f>IF(AND('Mapa final'!$AH$23="Baja",'Mapa final'!$AJ$23="Menor"),CONCATENATE("R2C",'Mapa final'!$R$23),"")</f>
        <v/>
      </c>
      <c r="V43" s="55" t="str">
        <f>IF(AND('Mapa final'!$AH$24="Baja",'Mapa final'!$AJ$24="Menor"),CONCATENATE("R2C",'Mapa final'!$R$24),"")</f>
        <v/>
      </c>
      <c r="W43" s="53" t="e">
        <f>IF(AND('Mapa final'!#REF!="Baja",'Mapa final'!#REF!="Moderado"),CONCATENATE("R2C",'Mapa final'!#REF!),"")</f>
        <v>#REF!</v>
      </c>
      <c r="X43" s="54" t="e">
        <f>IF(AND('Mapa final'!#REF!="Baja",'Mapa final'!#REF!="Moderado"),CONCATENATE("R2C",'Mapa final'!#REF!),"")</f>
        <v>#REF!</v>
      </c>
      <c r="Y43" s="54" t="str">
        <f>IF(AND('Mapa final'!$AH$21="Baja",'Mapa final'!$AJ$21="Moderado"),CONCATENATE("R2C",'Mapa final'!$R$21),"")</f>
        <v/>
      </c>
      <c r="Z43" s="54" t="str">
        <f>IF(AND('Mapa final'!$AH$22="Baja",'Mapa final'!$AJ$22="Moderado"),CONCATENATE("R2C",'Mapa final'!$R$22),"")</f>
        <v/>
      </c>
      <c r="AA43" s="54" t="str">
        <f>IF(AND('Mapa final'!$AH$23="Baja",'Mapa final'!$AJ$23="Moderado"),CONCATENATE("R2C",'Mapa final'!$R$23),"")</f>
        <v/>
      </c>
      <c r="AB43" s="55" t="str">
        <f>IF(AND('Mapa final'!$AH$24="Baja",'Mapa final'!$AJ$24="Moderado"),CONCATENATE("R2C",'Mapa final'!$R$24),"")</f>
        <v/>
      </c>
      <c r="AC43" s="38" t="e">
        <f>IF(AND('Mapa final'!#REF!="Baja",'Mapa final'!#REF!="Mayor"),CONCATENATE("R2C",'Mapa final'!#REF!),"")</f>
        <v>#REF!</v>
      </c>
      <c r="AD43" s="39" t="e">
        <f>IF(AND('Mapa final'!#REF!="Baja",'Mapa final'!#REF!="Mayor"),CONCATENATE("R2C",'Mapa final'!#REF!),"")</f>
        <v>#REF!</v>
      </c>
      <c r="AE43" s="39" t="str">
        <f>IF(AND('Mapa final'!$AH$21="Baja",'Mapa final'!$AJ$21="Mayor"),CONCATENATE("R2C",'Mapa final'!$R$21),"")</f>
        <v/>
      </c>
      <c r="AF43" s="39" t="str">
        <f>IF(AND('Mapa final'!$AH$22="Baja",'Mapa final'!$AJ$22="Mayor"),CONCATENATE("R2C",'Mapa final'!$R$22),"")</f>
        <v/>
      </c>
      <c r="AG43" s="39" t="str">
        <f>IF(AND('Mapa final'!$AH$23="Baja",'Mapa final'!$AJ$23="Mayor"),CONCATENATE("R2C",'Mapa final'!$R$23),"")</f>
        <v/>
      </c>
      <c r="AH43" s="40" t="str">
        <f>IF(AND('Mapa final'!$AH$24="Baja",'Mapa final'!$AJ$24="Mayor"),CONCATENATE("R2C",'Mapa final'!$R$24),"")</f>
        <v/>
      </c>
      <c r="AI43" s="41" t="e">
        <f>IF(AND('Mapa final'!#REF!="Baja",'Mapa final'!#REF!="Catastrófico"),CONCATENATE("R2C",'Mapa final'!#REF!),"")</f>
        <v>#REF!</v>
      </c>
      <c r="AJ43" s="42" t="e">
        <f>IF(AND('Mapa final'!#REF!="Baja",'Mapa final'!#REF!="Catastrófico"),CONCATENATE("R2C",'Mapa final'!#REF!),"")</f>
        <v>#REF!</v>
      </c>
      <c r="AK43" s="42" t="str">
        <f>IF(AND('Mapa final'!$AH$21="Baja",'Mapa final'!$AJ$21="Catastrófico"),CONCATENATE("R2C",'Mapa final'!$R$21),"")</f>
        <v/>
      </c>
      <c r="AL43" s="42" t="str">
        <f>IF(AND('Mapa final'!$AH$22="Baja",'Mapa final'!$AJ$22="Catastrófico"),CONCATENATE("R2C",'Mapa final'!$R$22),"")</f>
        <v/>
      </c>
      <c r="AM43" s="42" t="str">
        <f>IF(AND('Mapa final'!$AH$23="Baja",'Mapa final'!$AJ$23="Catastrófico"),CONCATENATE("R2C",'Mapa final'!$R$23),"")</f>
        <v/>
      </c>
      <c r="AN43" s="43" t="str">
        <f>IF(AND('Mapa final'!$AH$24="Baja",'Mapa final'!$AJ$24="Catastrófico"),CONCATENATE("R2C",'Mapa final'!$R$24),"")</f>
        <v/>
      </c>
      <c r="AO43" s="68"/>
      <c r="AP43" s="550"/>
      <c r="AQ43" s="551"/>
      <c r="AR43" s="551"/>
      <c r="AS43" s="551"/>
      <c r="AT43" s="551"/>
      <c r="AU43" s="552"/>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row>
    <row r="44" spans="2:77" ht="15" customHeight="1">
      <c r="B44" s="68"/>
      <c r="C44" s="429"/>
      <c r="D44" s="429"/>
      <c r="E44" s="430"/>
      <c r="F44" s="519"/>
      <c r="G44" s="520"/>
      <c r="H44" s="520"/>
      <c r="I44" s="520"/>
      <c r="J44" s="520"/>
      <c r="K44" s="62" t="str">
        <f>IF(AND('Mapa final'!$AH$25="Baja",'Mapa final'!$AJ$25="Leve"),CONCATENATE("R2C",'Mapa final'!$R$25),"")</f>
        <v/>
      </c>
      <c r="L44" s="63" t="str">
        <f>IF(AND('Mapa final'!$AH$26="Baja",'Mapa final'!$AJ$26="Leve"),CONCATENATE("R2C",'Mapa final'!$R$26),"")</f>
        <v/>
      </c>
      <c r="M44" s="63" t="str">
        <f>IF(AND('Mapa final'!$AH$27="Baja",'Mapa final'!$AJ$27="Leve"),CONCATENATE("R2C",'Mapa final'!$R$27),"")</f>
        <v/>
      </c>
      <c r="N44" s="54" t="e">
        <f>IF(AND('Mapa final'!#REF!="Alta",'Mapa final'!#REF!="Leve"),CONCATENATE("R2C",'Mapa final'!#REF!),"")</f>
        <v>#REF!</v>
      </c>
      <c r="O44" s="63" t="str">
        <f>IF(AND('Mapa final'!$AH$29="Baja",'Mapa final'!$AJ$29="Leve"),CONCATENATE("R2C",'Mapa final'!$R$29),"")</f>
        <v/>
      </c>
      <c r="P44" s="64" t="str">
        <f>IF(AND('Mapa final'!$AH$30="Baja",'Mapa final'!$AJ$30="Leve"),CONCATENATE("R2C",'Mapa final'!$R$30),"")</f>
        <v/>
      </c>
      <c r="Q44" s="53" t="str">
        <f>IF(AND('Mapa final'!$AH$25="Baja",'Mapa final'!$AJ$25="Menor"),CONCATENATE("R2C",'Mapa final'!$R$25),"")</f>
        <v/>
      </c>
      <c r="R44" s="54" t="str">
        <f>IF(AND('Mapa final'!$AH$26="Baja",'Mapa final'!$AJ$26="Menor"),CONCATENATE("R2C",'Mapa final'!$R$26),"")</f>
        <v/>
      </c>
      <c r="S44" s="54" t="str">
        <f>IF(AND('Mapa final'!$AH$27="Baja",'Mapa final'!$AJ$27="Menor"),CONCATENATE("R2C",'Mapa final'!$R$27),"")</f>
        <v/>
      </c>
      <c r="T44" s="54" t="str">
        <f>IF(AND('Mapa final'!$AH$28="Baja",'Mapa final'!$AJ$28="Menor"),CONCATENATE("R2C",'Mapa final'!$R$28),"")</f>
        <v/>
      </c>
      <c r="U44" s="54" t="str">
        <f>IF(AND('Mapa final'!$AH$29="Baja",'Mapa final'!$AJ$29="Menor"),CONCATENATE("R2C",'Mapa final'!$R$29),"")</f>
        <v/>
      </c>
      <c r="V44" s="55" t="str">
        <f>IF(AND('Mapa final'!$AH$30="Baja",'Mapa final'!$AJ$30="Menor"),CONCATENATE("R2C",'Mapa final'!$R$30),"")</f>
        <v/>
      </c>
      <c r="W44" s="53" t="str">
        <f>IF(AND('Mapa final'!$AH$25="Baja",'Mapa final'!$AJ$25="Moderado"),CONCATENATE("R2C",'Mapa final'!$R$25),"")</f>
        <v/>
      </c>
      <c r="X44" s="54" t="str">
        <f>IF(AND('Mapa final'!$AH$26="Baja",'Mapa final'!$AJ$26="Moderado"),CONCATENATE("R2C",'Mapa final'!$R$26),"")</f>
        <v/>
      </c>
      <c r="Y44" s="54" t="str">
        <f>IF(AND('Mapa final'!$AH$27="Baja",'Mapa final'!$AJ$27="Moderado"),CONCATENATE("R2C",'Mapa final'!$R$27),"")</f>
        <v/>
      </c>
      <c r="Z44" s="54" t="str">
        <f>IF(AND('Mapa final'!$AH$28="Baja",'Mapa final'!$AJ$28="Moderado"),CONCATENATE("R2C",'Mapa final'!$R$28),"")</f>
        <v/>
      </c>
      <c r="AA44" s="54" t="str">
        <f>IF(AND('Mapa final'!$AH$29="Baja",'Mapa final'!$AJ$29="Moderado"),CONCATENATE("R2C",'Mapa final'!$R$29),"")</f>
        <v/>
      </c>
      <c r="AB44" s="55" t="str">
        <f>IF(AND('Mapa final'!$AH$30="Baja",'Mapa final'!$AJ$30="Moderado"),CONCATENATE("R2C",'Mapa final'!$R$30),"")</f>
        <v/>
      </c>
      <c r="AC44" s="38" t="str">
        <f>IF(AND('Mapa final'!$AH$25="Baja",'Mapa final'!$AJ$25="Mayor"),CONCATENATE("R2C",'Mapa final'!$R$25),"")</f>
        <v/>
      </c>
      <c r="AD44" s="39" t="str">
        <f>IF(AND('Mapa final'!$AH$26="Baja",'Mapa final'!$AJ$26="Mayor"),CONCATENATE("R2C",'Mapa final'!$R$26),"")</f>
        <v/>
      </c>
      <c r="AE44" s="39" t="str">
        <f>IF(AND('Mapa final'!$AH$27="Baja",'Mapa final'!$AJ$27="Mayor"),CONCATENATE("R2C",'Mapa final'!$R$27),"")</f>
        <v/>
      </c>
      <c r="AF44" s="39" t="str">
        <f>IF(AND('Mapa final'!$AH$28="Baja",'Mapa final'!$AJ$28="Mayor"),CONCATENATE("R2C",'Mapa final'!$R$28),"")</f>
        <v/>
      </c>
      <c r="AG44" s="39" t="str">
        <f>IF(AND('Mapa final'!$AH$29="Baja",'Mapa final'!$AJ$29="Mayor"),CONCATENATE("R2C",'Mapa final'!$R$29),"")</f>
        <v/>
      </c>
      <c r="AH44" s="40" t="str">
        <f>IF(AND('Mapa final'!$AH$30="Baja",'Mapa final'!$AJ$30="Mayor"),CONCATENATE("R2C",'Mapa final'!$R$30),"")</f>
        <v/>
      </c>
      <c r="AI44" s="41" t="str">
        <f>IF(AND('Mapa final'!$AH$25="Baja",'Mapa final'!$AJ$25="Catastrófico"),CONCATENATE("R2C",'Mapa final'!$R$25),"")</f>
        <v/>
      </c>
      <c r="AJ44" s="42" t="str">
        <f>IF(AND('Mapa final'!$AH$26="Baja",'Mapa final'!$AJ$26="Catastrófico"),CONCATENATE("R2C",'Mapa final'!$R$26),"")</f>
        <v/>
      </c>
      <c r="AK44" s="42" t="str">
        <f>IF(AND('Mapa final'!$AH$27="Baja",'Mapa final'!$AJ$27="Catastrófico"),CONCATENATE("R2C",'Mapa final'!$R$27),"")</f>
        <v/>
      </c>
      <c r="AL44" s="42" t="str">
        <f>IF(AND('Mapa final'!$AH$28="Baja",'Mapa final'!$AJ$28="Catastrófico"),CONCATENATE("R2C",'Mapa final'!$R$28),"")</f>
        <v/>
      </c>
      <c r="AM44" s="42" t="str">
        <f>IF(AND('Mapa final'!$AH$29="Baja",'Mapa final'!$AJ$29="Catastrófico"),CONCATENATE("R2C",'Mapa final'!$R$29),"")</f>
        <v/>
      </c>
      <c r="AN44" s="43" t="str">
        <f>IF(AND('Mapa final'!$AH$30="Baja",'Mapa final'!$AJ$30="Catastrófico"),CONCATENATE("R2C",'Mapa final'!$R$30),"")</f>
        <v/>
      </c>
      <c r="AO44" s="68"/>
      <c r="AP44" s="550"/>
      <c r="AQ44" s="551"/>
      <c r="AR44" s="551"/>
      <c r="AS44" s="551"/>
      <c r="AT44" s="551"/>
      <c r="AU44" s="552"/>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row>
    <row r="45" spans="2:77" ht="15" customHeight="1">
      <c r="B45" s="68"/>
      <c r="C45" s="429"/>
      <c r="D45" s="429"/>
      <c r="E45" s="430"/>
      <c r="F45" s="519"/>
      <c r="G45" s="520"/>
      <c r="H45" s="520"/>
      <c r="I45" s="520"/>
      <c r="J45" s="520"/>
      <c r="K45" s="62" t="str">
        <f>IF(AND('Mapa final'!$AH$31="Baja",'Mapa final'!$AJ$31="Leve"),CONCATENATE("R2C",'Mapa final'!$R$31),"")</f>
        <v/>
      </c>
      <c r="L45" s="63" t="str">
        <f>IF(AND('Mapa final'!$AH$32="Baja",'Mapa final'!$AJ$32="Leve"),CONCATENATE("R2C",'Mapa final'!$R$32),"")</f>
        <v/>
      </c>
      <c r="M45" s="63" t="str">
        <f>IF(AND('Mapa final'!$AH$33="Baja",'Mapa final'!$AJ$33="Leve"),CONCATENATE("R2C",'Mapa final'!$R$33),"")</f>
        <v/>
      </c>
      <c r="N45" s="54" t="e">
        <f>IF(AND('Mapa final'!#REF!="Alta",'Mapa final'!#REF!="Leve"),CONCATENATE("R2C",'Mapa final'!#REF!),"")</f>
        <v>#REF!</v>
      </c>
      <c r="O45" s="63" t="str">
        <f>IF(AND('Mapa final'!$AH$35="Baja",'Mapa final'!$AJ$35="Leve"),CONCATENATE("R2C",'Mapa final'!$R$35),"")</f>
        <v/>
      </c>
      <c r="P45" s="64" t="str">
        <f>IF(AND('Mapa final'!$AH$36="Baja",'Mapa final'!$AJ$36="Leve"),CONCATENATE("R2C",'Mapa final'!$R$36),"")</f>
        <v/>
      </c>
      <c r="Q45" s="53" t="str">
        <f>IF(AND('Mapa final'!$AH$31="Baja",'Mapa final'!$AJ$31="Menor"),CONCATENATE("R2C",'Mapa final'!$R$31),"")</f>
        <v/>
      </c>
      <c r="R45" s="54" t="str">
        <f>IF(AND('Mapa final'!$AH$32="Baja",'Mapa final'!$AJ$32="Menor"),CONCATENATE("R2C",'Mapa final'!$R$32),"")</f>
        <v/>
      </c>
      <c r="S45" s="54" t="str">
        <f>IF(AND('Mapa final'!$AH$33="Baja",'Mapa final'!$AJ$33="Menor"),CONCATENATE("R2C",'Mapa final'!$R$33),"")</f>
        <v/>
      </c>
      <c r="T45" s="54" t="str">
        <f>IF(AND('Mapa final'!$AH$34="Baja",'Mapa final'!$AJ$34="Menor"),CONCATENATE("R2C",'Mapa final'!$R$34),"")</f>
        <v/>
      </c>
      <c r="U45" s="54" t="str">
        <f>IF(AND('Mapa final'!$AH$35="Baja",'Mapa final'!$AJ$35="LMenor"),CONCATENATE("R2C",'Mapa final'!$R$35),"")</f>
        <v/>
      </c>
      <c r="V45" s="55" t="str">
        <f>IF(AND('Mapa final'!$AH$36="Baja",'Mapa final'!$AJ$36="Menor"),CONCATENATE("R2C",'Mapa final'!$R$36),"")</f>
        <v/>
      </c>
      <c r="W45" s="53" t="str">
        <f>IF(AND('Mapa final'!$AH$31="Baja",'Mapa final'!$AJ$31="Moderado"),CONCATENATE("R2C",'Mapa final'!$R$31),"")</f>
        <v/>
      </c>
      <c r="X45" s="54" t="str">
        <f>IF(AND('Mapa final'!$AH$32="Baja",'Mapa final'!$AJ$32="Moderado"),CONCATENATE("R2C",'Mapa final'!$R$32),"")</f>
        <v/>
      </c>
      <c r="Y45" s="54" t="str">
        <f>IF(AND('Mapa final'!$AH$33="Baja",'Mapa final'!$AJ$33="Moderado"),CONCATENATE("R2C",'Mapa final'!$R$33),"")</f>
        <v/>
      </c>
      <c r="Z45" s="54" t="str">
        <f>IF(AND('Mapa final'!$AH$34="Baja",'Mapa final'!$AJ$34="Moderado"),CONCATENATE("R2C",'Mapa final'!$R$34),"")</f>
        <v/>
      </c>
      <c r="AA45" s="54" t="str">
        <f>IF(AND('Mapa final'!$AH$35="Baja",'Mapa final'!$AJ$35="Moderado"),CONCATENATE("R2C",'Mapa final'!$R$35),"")</f>
        <v/>
      </c>
      <c r="AB45" s="55" t="str">
        <f>IF(AND('Mapa final'!$AH$36="Baja",'Mapa final'!$AJ$36="Moderado"),CONCATENATE("R2C",'Mapa final'!$R$36),"")</f>
        <v/>
      </c>
      <c r="AC45" s="38" t="str">
        <f>IF(AND('Mapa final'!$AH$31="Baja",'Mapa final'!$AJ$31="Mayor"),CONCATENATE("R2C",'Mapa final'!$R$31),"")</f>
        <v/>
      </c>
      <c r="AD45" s="39" t="str">
        <f>IF(AND('Mapa final'!$AH$32="Baja",'Mapa final'!$AJ$32="Mayor"),CONCATENATE("R2C",'Mapa final'!$R$32),"")</f>
        <v/>
      </c>
      <c r="AE45" s="39" t="str">
        <f>IF(AND('Mapa final'!$AH$33="Baja",'Mapa final'!$AJ$33="Mayor"),CONCATENATE("R2C",'Mapa final'!$R$33),"")</f>
        <v/>
      </c>
      <c r="AF45" s="39" t="str">
        <f>IF(AND('Mapa final'!$AH$34="Baja",'Mapa final'!$AJ$34="Mayor"),CONCATENATE("R2C",'Mapa final'!$R$34),"")</f>
        <v/>
      </c>
      <c r="AG45" s="39" t="str">
        <f>IF(AND('Mapa final'!$AH$35="Baja",'Mapa final'!$AJ$35="Mayor"),CONCATENATE("R2C",'Mapa final'!$R$35),"")</f>
        <v/>
      </c>
      <c r="AH45" s="40" t="str">
        <f>IF(AND('Mapa final'!$AH$36="Baja",'Mapa final'!$AJ$36="Mayor"),CONCATENATE("R2C",'Mapa final'!$R$36),"")</f>
        <v/>
      </c>
      <c r="AI45" s="41" t="str">
        <f>IF(AND('Mapa final'!$AH$31="Baja",'Mapa final'!$AJ$31="Catastrófico"),CONCATENATE("R2C",'Mapa final'!$R$31),"")</f>
        <v/>
      </c>
      <c r="AJ45" s="42" t="str">
        <f>IF(AND('Mapa final'!$AH$32="Baja",'Mapa final'!$AJ$32="Catastrófico"),CONCATENATE("R2C",'Mapa final'!$R$32),"")</f>
        <v/>
      </c>
      <c r="AK45" s="42" t="str">
        <f>IF(AND('Mapa final'!$AH$33="Baja",'Mapa final'!$AJ$33="Catastrófico"),CONCATENATE("R2C",'Mapa final'!$R$33),"")</f>
        <v/>
      </c>
      <c r="AL45" s="42" t="str">
        <f>IF(AND('Mapa final'!$AH$34="Baja",'Mapa final'!$AJ$34="Catastrófico"),CONCATENATE("R2C",'Mapa final'!$R$34),"")</f>
        <v/>
      </c>
      <c r="AM45" s="42" t="str">
        <f>IF(AND('Mapa final'!$AH$35="Baja",'Mapa final'!$AJ$35="LCatastrófico"),CONCATENATE("R2C",'Mapa final'!$R$35),"")</f>
        <v/>
      </c>
      <c r="AN45" s="43" t="str">
        <f>IF(AND('Mapa final'!$AH$36="Baja",'Mapa final'!$AJ$36="Catastrófico"),CONCATENATE("R2C",'Mapa final'!$R$36),"")</f>
        <v/>
      </c>
      <c r="AO45" s="68"/>
      <c r="AP45" s="550"/>
      <c r="AQ45" s="551"/>
      <c r="AR45" s="551"/>
      <c r="AS45" s="551"/>
      <c r="AT45" s="551"/>
      <c r="AU45" s="552"/>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row>
    <row r="46" spans="2:77" ht="15" customHeight="1">
      <c r="B46" s="68"/>
      <c r="C46" s="429"/>
      <c r="D46" s="429"/>
      <c r="E46" s="430"/>
      <c r="F46" s="519"/>
      <c r="G46" s="520"/>
      <c r="H46" s="520"/>
      <c r="I46" s="520"/>
      <c r="J46" s="520"/>
      <c r="K46" s="62" t="str">
        <f>IF(AND('Mapa final'!$AH$37="Baja",'Mapa final'!$AJ$37="Leve"),CONCATENATE("R2C",'Mapa final'!$R$37),"")</f>
        <v/>
      </c>
      <c r="L46" s="63" t="str">
        <f>IF(AND('Mapa final'!$AH$38="Baja",'Mapa final'!$AJ$38="Leve"),CONCATENATE("R2C",'Mapa final'!$R$38),"")</f>
        <v/>
      </c>
      <c r="M46" s="63" t="str">
        <f>IF(AND('Mapa final'!$AH$39="Baja",'Mapa final'!$AJ$39="Leve"),CONCATENATE("R2C",'Mapa final'!$R$39),"")</f>
        <v/>
      </c>
      <c r="N46" s="54" t="e">
        <f>IF(AND('Mapa final'!#REF!="Alta",'Mapa final'!#REF!="Leve"),CONCATENATE("R2C",'Mapa final'!#REF!),"")</f>
        <v>#REF!</v>
      </c>
      <c r="O46" s="63" t="str">
        <f>IF(AND('Mapa final'!$AH$41="Baja",'Mapa final'!$AJ$41="Leve"),CONCATENATE("R2C",'Mapa final'!$R$41),"")</f>
        <v/>
      </c>
      <c r="P46" s="64" t="str">
        <f>IF(AND('Mapa final'!$AH$42="Baja",'Mapa final'!$AJ$42="Leve"),CONCATENATE("R2C",'Mapa final'!$R$42),"")</f>
        <v/>
      </c>
      <c r="Q46" s="53" t="str">
        <f>IF(AND('Mapa final'!$AH$37="Baja",'Mapa final'!$AJ$37="Menor"),CONCATENATE("R2C",'Mapa final'!$R$37),"")</f>
        <v/>
      </c>
      <c r="R46" s="54" t="str">
        <f>IF(AND('Mapa final'!$AH$38="Baja",'Mapa final'!$AJ$38="Menor"),CONCATENATE("R2C",'Mapa final'!$R$38),"")</f>
        <v/>
      </c>
      <c r="S46" s="54" t="str">
        <f>IF(AND('Mapa final'!$AH$39="Baja",'Mapa final'!$AJ$39="Menor"),CONCATENATE("R2C",'Mapa final'!$R$39),"")</f>
        <v/>
      </c>
      <c r="T46" s="54" t="str">
        <f>IF(AND('Mapa final'!$AH$40="Baja",'Mapa final'!$AJ$40="Menor"),CONCATENATE("R2C",'Mapa final'!$R$40),"")</f>
        <v/>
      </c>
      <c r="U46" s="54" t="str">
        <f>IF(AND('Mapa final'!$AH$41="Baja",'Mapa final'!$AJ$41="Menor"),CONCATENATE("R2C",'Mapa final'!$R$41),"")</f>
        <v/>
      </c>
      <c r="V46" s="55" t="str">
        <f>IF(AND('Mapa final'!$AH$42="Baja",'Mapa final'!$AJ$42="Menor"),CONCATENATE("R2C",'Mapa final'!$R$42),"")</f>
        <v/>
      </c>
      <c r="W46" s="53" t="str">
        <f>IF(AND('Mapa final'!$AH$37="Baja",'Mapa final'!$AJ$37="Moderado"),CONCATENATE("R2C",'Mapa final'!$R$37),"")</f>
        <v/>
      </c>
      <c r="X46" s="54" t="str">
        <f>IF(AND('Mapa final'!$AH$38="Baja",'Mapa final'!$AJ$38="Moderado"),CONCATENATE("R2C",'Mapa final'!$R$38),"")</f>
        <v/>
      </c>
      <c r="Y46" s="54" t="str">
        <f>IF(AND('Mapa final'!$AH$39="Baja",'Mapa final'!$AJ$39="Moderado"),CONCATENATE("R2C",'Mapa final'!$R$39),"")</f>
        <v/>
      </c>
      <c r="Z46" s="54" t="str">
        <f>IF(AND('Mapa final'!$AH$40="Baja",'Mapa final'!$AJ$40="Moderado"),CONCATENATE("R2C",'Mapa final'!$R$40),"")</f>
        <v/>
      </c>
      <c r="AA46" s="54" t="str">
        <f>IF(AND('Mapa final'!$AH$41="Baja",'Mapa final'!$AJ$41="Moderado"),CONCATENATE("R2C",'Mapa final'!$R$41),"")</f>
        <v/>
      </c>
      <c r="AB46" s="55" t="str">
        <f>IF(AND('Mapa final'!$AH$42="Baja",'Mapa final'!$AJ$42="Moderado"),CONCATENATE("R2C",'Mapa final'!$R$42),"")</f>
        <v/>
      </c>
      <c r="AC46" s="38" t="str">
        <f>IF(AND('Mapa final'!$AH$37="Baja",'Mapa final'!$AJ$37="Mayor"),CONCATENATE("R2C",'Mapa final'!$R$37),"")</f>
        <v/>
      </c>
      <c r="AD46" s="39" t="str">
        <f>IF(AND('Mapa final'!$AH$38="Baja",'Mapa final'!$AJ$38="Mayor"),CONCATENATE("R2C",'Mapa final'!$R$38),"")</f>
        <v/>
      </c>
      <c r="AE46" s="39" t="str">
        <f>IF(AND('Mapa final'!$AH$39="Baja",'Mapa final'!$AJ$39="Mayor"),CONCATENATE("R2C",'Mapa final'!$R$39),"")</f>
        <v/>
      </c>
      <c r="AF46" s="39" t="str">
        <f>IF(AND('Mapa final'!$AH$40="Baja",'Mapa final'!$AJ$40="Mayor"),CONCATENATE("R2C",'Mapa final'!$R$40),"")</f>
        <v/>
      </c>
      <c r="AG46" s="39" t="str">
        <f>IF(AND('Mapa final'!$AH$41="Baja",'Mapa final'!$AJ$41="Mayor"),CONCATENATE("R2C",'Mapa final'!$R$41),"")</f>
        <v/>
      </c>
      <c r="AH46" s="40" t="str">
        <f>IF(AND('Mapa final'!$AH$42="Baja",'Mapa final'!$AJ$42="Mayor"),CONCATENATE("R2C",'Mapa final'!$R$42),"")</f>
        <v/>
      </c>
      <c r="AI46" s="41" t="str">
        <f>IF(AND('Mapa final'!$AH$37="Baja",'Mapa final'!$AJ$37="Catastrófico"),CONCATENATE("R2C",'Mapa final'!$R$37),"")</f>
        <v/>
      </c>
      <c r="AJ46" s="42" t="str">
        <f>IF(AND('Mapa final'!$AH$38="Baja",'Mapa final'!$AJ$38="Catastrófico"),CONCATENATE("R2C",'Mapa final'!$R$38),"")</f>
        <v/>
      </c>
      <c r="AK46" s="42" t="str">
        <f>IF(AND('Mapa final'!$AH$39="Baja",'Mapa final'!$AJ$39="Catastrófico"),CONCATENATE("R2C",'Mapa final'!$R$39),"")</f>
        <v/>
      </c>
      <c r="AL46" s="42" t="str">
        <f>IF(AND('Mapa final'!$AH$40="Baja",'Mapa final'!$AJ$40="Catastrófico"),CONCATENATE("R2C",'Mapa final'!$R$40),"")</f>
        <v/>
      </c>
      <c r="AM46" s="42" t="str">
        <f>IF(AND('Mapa final'!$AH$41="Baja",'Mapa final'!$AJ$41="Catastrófico"),CONCATENATE("R2C",'Mapa final'!$R$41),"")</f>
        <v/>
      </c>
      <c r="AN46" s="43" t="str">
        <f>IF(AND('Mapa final'!$AH$42="Baja",'Mapa final'!$AJ$42="Catastrófico"),CONCATENATE("R2C",'Mapa final'!$R$42),"")</f>
        <v/>
      </c>
      <c r="AO46" s="68"/>
      <c r="AP46" s="550"/>
      <c r="AQ46" s="551"/>
      <c r="AR46" s="551"/>
      <c r="AS46" s="551"/>
      <c r="AT46" s="551"/>
      <c r="AU46" s="552"/>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row>
    <row r="47" spans="2:77" ht="15" customHeight="1">
      <c r="B47" s="68"/>
      <c r="C47" s="429"/>
      <c r="D47" s="429"/>
      <c r="E47" s="430"/>
      <c r="F47" s="519"/>
      <c r="G47" s="520"/>
      <c r="H47" s="520"/>
      <c r="I47" s="520"/>
      <c r="J47" s="520"/>
      <c r="K47" s="62" t="str">
        <f>IF(AND('Mapa final'!$AH$43="Baja",'Mapa final'!$AJ$43="Leve"),CONCATENATE("R2C",'Mapa final'!$R$43),"")</f>
        <v/>
      </c>
      <c r="L47" s="63" t="str">
        <f>IF(AND('Mapa final'!$AH$44="Baja",'Mapa final'!$AJ$44="Leve"),CONCATENATE("R2C",'Mapa final'!$R$44),"")</f>
        <v/>
      </c>
      <c r="M47" s="63" t="str">
        <f>IF(AND('Mapa final'!$AH$45="Baja",'Mapa final'!$AJ$45="Leve"),CONCATENATE("R2C",'Mapa final'!$R$45),"")</f>
        <v/>
      </c>
      <c r="N47" s="54" t="e">
        <f>IF(AND('Mapa final'!#REF!="Alta",'Mapa final'!#REF!="Leve"),CONCATENATE("R2C",'Mapa final'!#REF!),"")</f>
        <v>#REF!</v>
      </c>
      <c r="O47" s="63" t="str">
        <f>IF(AND('Mapa final'!$AH$47="Baja",'Mapa final'!$AJ$47="Leve"),CONCATENATE("R2C",'Mapa final'!$R$47),"")</f>
        <v/>
      </c>
      <c r="P47" s="64" t="str">
        <f>IF(AND('Mapa final'!$AH$58="Baja",'Mapa final'!$AJ$48="Leve"),CONCATENATE("R2C",'Mapa final'!$R$48),"")</f>
        <v/>
      </c>
      <c r="Q47" s="53" t="str">
        <f>IF(AND('Mapa final'!$AH$43="Baja",'Mapa final'!$AJ$43="Menor"),CONCATENATE("R2C",'Mapa final'!$R$43),"")</f>
        <v/>
      </c>
      <c r="R47" s="54" t="str">
        <f>IF(AND('Mapa final'!$AH$44="Baja",'Mapa final'!$AJ$44="Menor"),CONCATENATE("R2C",'Mapa final'!$R$44),"")</f>
        <v/>
      </c>
      <c r="S47" s="54" t="str">
        <f>IF(AND('Mapa final'!$AH$45="Baja",'Mapa final'!$AJ$45="Menor"),CONCATENATE("R2C",'Mapa final'!$R$45),"")</f>
        <v/>
      </c>
      <c r="T47" s="54" t="str">
        <f>IF(AND('Mapa final'!$AH$46="Baja",'Mapa final'!$AJ$46="Menor"),CONCATENATE("R2C",'Mapa final'!$R$46),"")</f>
        <v/>
      </c>
      <c r="U47" s="54" t="str">
        <f>IF(AND('Mapa final'!$AH$47="Baja",'Mapa final'!$AJ$47="Menor"),CONCATENATE("R2C",'Mapa final'!$R$47),"")</f>
        <v/>
      </c>
      <c r="V47" s="55" t="str">
        <f>IF(AND('Mapa final'!$AH$58="Baja",'Mapa final'!$AJ$48="Menor"),CONCATENATE("R2C",'Mapa final'!$R$48),"")</f>
        <v/>
      </c>
      <c r="W47" s="53" t="str">
        <f>IF(AND('Mapa final'!$AH$43="Baja",'Mapa final'!$AJ$43="Moderado"),CONCATENATE("R2C",'Mapa final'!$R$43),"")</f>
        <v/>
      </c>
      <c r="X47" s="54" t="str">
        <f>IF(AND('Mapa final'!$AH$44="Baja",'Mapa final'!$AJ$44="Moderado"),CONCATENATE("R2C",'Mapa final'!$R$44),"")</f>
        <v/>
      </c>
      <c r="Y47" s="54" t="str">
        <f>IF(AND('Mapa final'!$AH$45="Baja",'Mapa final'!$AJ$45="Moderado"),CONCATENATE("R2C",'Mapa final'!$R$45),"")</f>
        <v/>
      </c>
      <c r="Z47" s="54" t="str">
        <f>IF(AND('Mapa final'!$AH$46="Baja",'Mapa final'!$AJ$46="Moderado"),CONCATENATE("R2C",'Mapa final'!$R$46),"")</f>
        <v/>
      </c>
      <c r="AA47" s="54" t="str">
        <f>IF(AND('Mapa final'!$AH$47="Baja",'Mapa final'!$AJ$47="Moderado"),CONCATENATE("R2C",'Mapa final'!$R$47),"")</f>
        <v/>
      </c>
      <c r="AB47" s="55" t="str">
        <f>IF(AND('Mapa final'!$AH$58="Baja",'Mapa final'!$AJ$48="Moderado"),CONCATENATE("R2C",'Mapa final'!$R$48),"")</f>
        <v/>
      </c>
      <c r="AC47" s="38" t="str">
        <f>IF(AND('Mapa final'!$AH$43="Baja",'Mapa final'!$AJ$43="Mayor"),CONCATENATE("R2C",'Mapa final'!$R$43),"")</f>
        <v/>
      </c>
      <c r="AD47" s="39" t="str">
        <f>IF(AND('Mapa final'!$AH$44="Baja",'Mapa final'!$AJ$44="Mayor"),CONCATENATE("R2C",'Mapa final'!$R$44),"")</f>
        <v/>
      </c>
      <c r="AE47" s="39" t="str">
        <f>IF(AND('Mapa final'!$AH$45="Baja",'Mapa final'!$AJ$45="Mayor"),CONCATENATE("R2C",'Mapa final'!$R$45),"")</f>
        <v/>
      </c>
      <c r="AF47" s="39" t="str">
        <f>IF(AND('Mapa final'!$AH$46="Baja",'Mapa final'!$AJ$46="Mayor"),CONCATENATE("R2C",'Mapa final'!$R$46),"")</f>
        <v/>
      </c>
      <c r="AG47" s="39" t="str">
        <f>IF(AND('Mapa final'!$AH$47="Baja",'Mapa final'!$AJ$47="Mayor"),CONCATENATE("R2C",'Mapa final'!$R$47),"")</f>
        <v/>
      </c>
      <c r="AH47" s="40" t="str">
        <f>IF(AND('Mapa final'!$AH$58="Baja",'Mapa final'!$AJ$48="Mayor"),CONCATENATE("R2C",'Mapa final'!$R$48),"")</f>
        <v/>
      </c>
      <c r="AI47" s="41" t="str">
        <f>IF(AND('Mapa final'!$AH$43="Baja",'Mapa final'!$AJ$43="Catastrófico"),CONCATENATE("R2C",'Mapa final'!$R$43),"")</f>
        <v/>
      </c>
      <c r="AJ47" s="42" t="str">
        <f>IF(AND('Mapa final'!$AH$44="Baja",'Mapa final'!$AJ$44="Catastrófico"),CONCATENATE("R2C",'Mapa final'!$R$44),"")</f>
        <v/>
      </c>
      <c r="AK47" s="42" t="str">
        <f>IF(AND('Mapa final'!$AH$45="Baja",'Mapa final'!$AJ$45="Catastrófico"),CONCATENATE("R2C",'Mapa final'!$R$45),"")</f>
        <v/>
      </c>
      <c r="AL47" s="42" t="str">
        <f>IF(AND('Mapa final'!$AH$46="Baja",'Mapa final'!$AJ$46="Catastrófico"),CONCATENATE("R2C",'Mapa final'!$R$46),"")</f>
        <v/>
      </c>
      <c r="AM47" s="42" t="str">
        <f>IF(AND('Mapa final'!$AH$47="Baja",'Mapa final'!$AJ$47="Catastrófico"),CONCATENATE("R2C",'Mapa final'!$R$47),"")</f>
        <v/>
      </c>
      <c r="AN47" s="43" t="str">
        <f>IF(AND('Mapa final'!$AH$58="Baja",'Mapa final'!$AJ$48="Catastrófico"),CONCATENATE("R2C",'Mapa final'!$R$48),"")</f>
        <v/>
      </c>
      <c r="AO47" s="68"/>
      <c r="AP47" s="550"/>
      <c r="AQ47" s="551"/>
      <c r="AR47" s="551"/>
      <c r="AS47" s="551"/>
      <c r="AT47" s="551"/>
      <c r="AU47" s="552"/>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row>
    <row r="48" spans="2:77" ht="15" customHeight="1">
      <c r="B48" s="68"/>
      <c r="C48" s="429"/>
      <c r="D48" s="429"/>
      <c r="E48" s="430"/>
      <c r="F48" s="519"/>
      <c r="G48" s="520"/>
      <c r="H48" s="520"/>
      <c r="I48" s="520"/>
      <c r="J48" s="520"/>
      <c r="K48" s="62" t="str">
        <f>IF(AND('Mapa final'!$AH$49="Baja",'Mapa final'!$AJ$49="Leve"),CONCATENATE("R2C",'Mapa final'!$R$49),"")</f>
        <v/>
      </c>
      <c r="L48" s="63" t="str">
        <f>IF(AND('Mapa final'!$AH$50="Baja",'Mapa final'!$AJ$50="Leve"),CONCATENATE("R2C",'Mapa final'!$R$50),"")</f>
        <v/>
      </c>
      <c r="M48" s="63" t="str">
        <f>IF(AND('Mapa final'!$AH$51="Baja",'Mapa final'!$AJ$51="Leve"),CONCATENATE("R2C",'Mapa final'!$R$51),"")</f>
        <v/>
      </c>
      <c r="N48" s="54" t="e">
        <f>IF(AND('Mapa final'!#REF!="Alta",'Mapa final'!#REF!="Leve"),CONCATENATE("R2C",'Mapa final'!#REF!),"")</f>
        <v>#REF!</v>
      </c>
      <c r="O48" s="63" t="str">
        <f>IF(AND('Mapa final'!$AH$53="Baja",'Mapa final'!$AJ$53="Leve"),CONCATENATE("R2C",'Mapa final'!$R$53),"")</f>
        <v/>
      </c>
      <c r="P48" s="64" t="str">
        <f>IF(AND('Mapa final'!$AH$54="Baja",'Mapa final'!$AJ$54="Leve"),CONCATENATE("R2C",'Mapa final'!$R$54),"")</f>
        <v/>
      </c>
      <c r="Q48" s="53" t="str">
        <f>IF(AND('Mapa final'!$AH$49="Baja",'Mapa final'!$AJ$49="Menor"),CONCATENATE("R2C",'Mapa final'!$R$49),"")</f>
        <v/>
      </c>
      <c r="R48" s="54" t="str">
        <f>IF(AND('Mapa final'!$AH$50="Baja",'Mapa final'!$AJ$50="Menor"),CONCATENATE("R2C",'Mapa final'!$R$50),"")</f>
        <v/>
      </c>
      <c r="S48" s="54" t="str">
        <f>IF(AND('Mapa final'!$AH$51="Baja",'Mapa final'!$AJ$51="Menor"),CONCATENATE("R2C",'Mapa final'!$R$51),"")</f>
        <v/>
      </c>
      <c r="T48" s="54" t="str">
        <f>IF(AND('Mapa final'!$AH$52="Baja",'Mapa final'!$AJ$52="Menor"),CONCATENATE("R2C",'Mapa final'!$R$52),"")</f>
        <v/>
      </c>
      <c r="U48" s="54" t="str">
        <f>IF(AND('Mapa final'!$AH$53="Baja",'Mapa final'!$AJ$53="Menor"),CONCATENATE("R2C",'Mapa final'!$R$53),"")</f>
        <v/>
      </c>
      <c r="V48" s="55" t="str">
        <f>IF(AND('Mapa final'!$AH$54="Baja",'Mapa final'!$AJ$54="Menor"),CONCATENATE("R2C",'Mapa final'!$R$54),"")</f>
        <v/>
      </c>
      <c r="W48" s="53" t="str">
        <f>IF(AND('Mapa final'!$AH$49="Baja",'Mapa final'!$AJ$49="Moderado"),CONCATENATE("R2C",'Mapa final'!$R$49),"")</f>
        <v/>
      </c>
      <c r="X48" s="54" t="str">
        <f>IF(AND('Mapa final'!$AH$50="Baja",'Mapa final'!$AJ$50="Moderado"),CONCATENATE("R2C",'Mapa final'!$R$50),"")</f>
        <v/>
      </c>
      <c r="Y48" s="54" t="str">
        <f>IF(AND('Mapa final'!$AH$51="Baja",'Mapa final'!$AJ$51="Moderado"),CONCATENATE("R2C",'Mapa final'!$R$51),"")</f>
        <v/>
      </c>
      <c r="Z48" s="54" t="str">
        <f>IF(AND('Mapa final'!$AH$52="Baja",'Mapa final'!$AJ$52="Moderado"),CONCATENATE("R2C",'Mapa final'!$R$52),"")</f>
        <v/>
      </c>
      <c r="AA48" s="54" t="str">
        <f>IF(AND('Mapa final'!$AH$53="Baja",'Mapa final'!$AJ$53="Moderado"),CONCATENATE("R2C",'Mapa final'!$R$53),"")</f>
        <v/>
      </c>
      <c r="AB48" s="55" t="str">
        <f>IF(AND('Mapa final'!$AH$54="Baja",'Mapa final'!$AJ$54="Moderado"),CONCATENATE("R2C",'Mapa final'!$R$54),"")</f>
        <v/>
      </c>
      <c r="AC48" s="38" t="str">
        <f>IF(AND('Mapa final'!$AH$49="Baja",'Mapa final'!$AJ$49="Mayor"),CONCATENATE("R2C",'Mapa final'!$R$49),"")</f>
        <v/>
      </c>
      <c r="AD48" s="39" t="str">
        <f>IF(AND('Mapa final'!$AH$50="Baja",'Mapa final'!$AJ$50="Mayor"),CONCATENATE("R2C",'Mapa final'!$R$50),"")</f>
        <v/>
      </c>
      <c r="AE48" s="39" t="str">
        <f>IF(AND('Mapa final'!$AH$51="Baja",'Mapa final'!$AJ$51="Mayor"),CONCATENATE("R2C",'Mapa final'!$R$51),"")</f>
        <v/>
      </c>
      <c r="AF48" s="39" t="str">
        <f>IF(AND('Mapa final'!$AH$52="Baja",'Mapa final'!$AJ$52="Mayor"),CONCATENATE("R2C",'Mapa final'!$R$52),"")</f>
        <v/>
      </c>
      <c r="AG48" s="39" t="str">
        <f>IF(AND('Mapa final'!$AH$53="Baja",'Mapa final'!$AJ$53="Mayor"),CONCATENATE("R2C",'Mapa final'!$R$53),"")</f>
        <v/>
      </c>
      <c r="AH48" s="40" t="str">
        <f>IF(AND('Mapa final'!$AH$54="Baja",'Mapa final'!$AJ$54="Mayor"),CONCATENATE("R2C",'Mapa final'!$R$54),"")</f>
        <v/>
      </c>
      <c r="AI48" s="41" t="str">
        <f>IF(AND('Mapa final'!$AH$49="Baja",'Mapa final'!$AJ$49="Catastrófico"),CONCATENATE("R2C",'Mapa final'!$R$49),"")</f>
        <v/>
      </c>
      <c r="AJ48" s="42" t="str">
        <f>IF(AND('Mapa final'!$AH$50="Baja",'Mapa final'!$AJ$50="Catastrófico"),CONCATENATE("R2C",'Mapa final'!$R$50),"")</f>
        <v/>
      </c>
      <c r="AK48" s="42" t="str">
        <f>IF(AND('Mapa final'!$AH$51="Baja",'Mapa final'!$AJ$51="Catastrófico"),CONCATENATE("R2C",'Mapa final'!$R$51),"")</f>
        <v/>
      </c>
      <c r="AL48" s="42" t="str">
        <f>IF(AND('Mapa final'!$AH$52="Baja",'Mapa final'!$AJ$52="Catastrófico"),CONCATENATE("R2C",'Mapa final'!$R$52),"")</f>
        <v/>
      </c>
      <c r="AM48" s="42" t="str">
        <f>IF(AND('Mapa final'!$AH$53="Baja",'Mapa final'!$AJ$53="Catastrófico"),CONCATENATE("R2C",'Mapa final'!$R$53),"")</f>
        <v/>
      </c>
      <c r="AN48" s="43" t="str">
        <f>IF(AND('Mapa final'!$AH$54="Baja",'Mapa final'!$AJ$54="Catastrófico"),CONCATENATE("R2C",'Mapa final'!$R$54),"")</f>
        <v/>
      </c>
      <c r="AO48" s="68"/>
      <c r="AP48" s="550"/>
      <c r="AQ48" s="551"/>
      <c r="AR48" s="551"/>
      <c r="AS48" s="551"/>
      <c r="AT48" s="551"/>
      <c r="AU48" s="552"/>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row>
    <row r="49" spans="2:81" ht="15" customHeight="1">
      <c r="B49" s="68"/>
      <c r="C49" s="429"/>
      <c r="D49" s="429"/>
      <c r="E49" s="430"/>
      <c r="F49" s="519"/>
      <c r="G49" s="520"/>
      <c r="H49" s="520"/>
      <c r="I49" s="520"/>
      <c r="J49" s="520"/>
      <c r="K49" s="62" t="str">
        <f>IF(AND('Mapa final'!$AH$55="Baja",'Mapa final'!$AJ$55="Leve"),CONCATENATE("R2C",'Mapa final'!$R$55),"")</f>
        <v/>
      </c>
      <c r="L49" s="63" t="str">
        <f>IF(AND('Mapa final'!$AH$56="Baja",'Mapa final'!$AJ$56="Leve"),CONCATENATE("R2C",'Mapa final'!$R$56),"")</f>
        <v/>
      </c>
      <c r="M49" s="63" t="str">
        <f>IF(AND('Mapa final'!$AH$57="Baja",'Mapa final'!$AJ$57="Leve"),CONCATENATE("R2C",'Mapa final'!$R$57),"")</f>
        <v/>
      </c>
      <c r="N49" s="54" t="e">
        <f>IF(AND('Mapa final'!#REF!="Alta",'Mapa final'!#REF!="Leve"),CONCATENATE("R2C",'Mapa final'!#REF!),"")</f>
        <v>#REF!</v>
      </c>
      <c r="O49" s="63" t="str">
        <f>IF(AND('Mapa final'!$AH$59="Baja",'Mapa final'!$AJ$59="Leve"),CONCATENATE("R2C",'Mapa final'!$R$59),"")</f>
        <v/>
      </c>
      <c r="P49" s="64" t="str">
        <f>IF(AND('Mapa final'!$AH$60="Baja",'Mapa final'!$AJ$60="Leve"),CONCATENATE("R2C",'Mapa final'!$R$60),"")</f>
        <v/>
      </c>
      <c r="Q49" s="53" t="str">
        <f>IF(AND('Mapa final'!$AH$55="Baja",'Mapa final'!$AJ$55="Menor"),CONCATENATE("R2C",'Mapa final'!$R$55),"")</f>
        <v/>
      </c>
      <c r="R49" s="54" t="str">
        <f>IF(AND('Mapa final'!$AH$56="Baja",'Mapa final'!$AJ$56="Menor"),CONCATENATE("R2C",'Mapa final'!$R$56),"")</f>
        <v/>
      </c>
      <c r="S49" s="54" t="str">
        <f>IF(AND('Mapa final'!$AH$57="Baja",'Mapa final'!$AJ$57="Menor"),CONCATENATE("R2C",'Mapa final'!$R$57),"")</f>
        <v/>
      </c>
      <c r="T49" s="54" t="str">
        <f>IF(AND('Mapa final'!$AH$58="Baja",'Mapa final'!$AJ$58="Menor"),CONCATENATE("R2C",'Mapa final'!$R$58),"")</f>
        <v/>
      </c>
      <c r="U49" s="54" t="str">
        <f>IF(AND('Mapa final'!$AH$59="Baja",'Mapa final'!$AJ$59="Menor"),CONCATENATE("R2C",'Mapa final'!$R$59),"")</f>
        <v/>
      </c>
      <c r="V49" s="55" t="str">
        <f>IF(AND('Mapa final'!$AH$60="Baja",'Mapa final'!$AJ$60="Menor"),CONCATENATE("R2C",'Mapa final'!$R$60),"")</f>
        <v/>
      </c>
      <c r="W49" s="53" t="str">
        <f>IF(AND('Mapa final'!$AH$55="Baja",'Mapa final'!$AJ$55="Moderado"),CONCATENATE("R2C",'Mapa final'!$R$55),"")</f>
        <v/>
      </c>
      <c r="X49" s="54" t="str">
        <f>IF(AND('Mapa final'!$AH$56="Baja",'Mapa final'!$AJ$56="Moderado"),CONCATENATE("R2C",'Mapa final'!$R$56),"")</f>
        <v/>
      </c>
      <c r="Y49" s="54" t="str">
        <f>IF(AND('Mapa final'!$AH$57="Baja",'Mapa final'!$AJ$57="Moderado"),CONCATENATE("R2C",'Mapa final'!$R$57),"")</f>
        <v/>
      </c>
      <c r="Z49" s="54" t="str">
        <f>IF(AND('Mapa final'!$AH$58="Baja",'Mapa final'!$AJ$58="Moderado"),CONCATENATE("R2C",'Mapa final'!$R$58),"")</f>
        <v/>
      </c>
      <c r="AA49" s="54" t="str">
        <f>IF(AND('Mapa final'!$AH$59="Baja",'Mapa final'!$AJ$59="Moderado"),CONCATENATE("R2C",'Mapa final'!$R$59),"")</f>
        <v/>
      </c>
      <c r="AB49" s="55" t="str">
        <f>IF(AND('Mapa final'!$AH$60="Baja",'Mapa final'!$AJ$60="Moderado"),CONCATENATE("R2C",'Mapa final'!$R$60),"")</f>
        <v/>
      </c>
      <c r="AC49" s="38" t="str">
        <f>IF(AND('Mapa final'!$AH$55="Baja",'Mapa final'!$AJ$55="Mayor"),CONCATENATE("R2C",'Mapa final'!$R$55),"")</f>
        <v/>
      </c>
      <c r="AD49" s="39" t="str">
        <f>IF(AND('Mapa final'!$AH$56="Baja",'Mapa final'!$AJ$56="Mayor"),CONCATENATE("R2C",'Mapa final'!$R$56),"")</f>
        <v/>
      </c>
      <c r="AE49" s="39" t="str">
        <f>IF(AND('Mapa final'!$AH$57="Baja",'Mapa final'!$AJ$57="Mayor"),CONCATENATE("R2C",'Mapa final'!$R$57),"")</f>
        <v/>
      </c>
      <c r="AF49" s="39" t="str">
        <f>IF(AND('Mapa final'!$AH$58="Baja",'Mapa final'!$AJ$58="Mayor"),CONCATENATE("R2C",'Mapa final'!$R$58),"")</f>
        <v/>
      </c>
      <c r="AG49" s="39" t="str">
        <f>IF(AND('Mapa final'!$AH$59="Baja",'Mapa final'!$AJ$59="Mayor"),CONCATENATE("R2C",'Mapa final'!$R$59),"")</f>
        <v/>
      </c>
      <c r="AH49" s="40" t="str">
        <f>IF(AND('Mapa final'!$AH$60="Baja",'Mapa final'!$AJ$60="Mayor"),CONCATENATE("R2C",'Mapa final'!$R$60),"")</f>
        <v/>
      </c>
      <c r="AI49" s="41" t="str">
        <f>IF(AND('Mapa final'!$AH$55="Baja",'Mapa final'!$AJ$55="Catastrófico"),CONCATENATE("R2C",'Mapa final'!$R$55),"")</f>
        <v/>
      </c>
      <c r="AJ49" s="42" t="str">
        <f>IF(AND('Mapa final'!$AH$56="Baja",'Mapa final'!$AJ$56="Catastrófico"),CONCATENATE("R2C",'Mapa final'!$R$56),"")</f>
        <v/>
      </c>
      <c r="AK49" s="42" t="str">
        <f>IF(AND('Mapa final'!$AH$57="Baja",'Mapa final'!$AJ$57="Catastrófico"),CONCATENATE("R2C",'Mapa final'!$R$57),"")</f>
        <v/>
      </c>
      <c r="AL49" s="42" t="str">
        <f>IF(AND('Mapa final'!$AH$58="Baja",'Mapa final'!$AJ$58="Catastrófico"),CONCATENATE("R2C",'Mapa final'!$R$58),"")</f>
        <v/>
      </c>
      <c r="AM49" s="42" t="str">
        <f>IF(AND('Mapa final'!$AH$59="Baja",'Mapa final'!$AJ$59="Catastrófico"),CONCATENATE("R2C",'Mapa final'!$R$59),"")</f>
        <v/>
      </c>
      <c r="AN49" s="43" t="str">
        <f>IF(AND('Mapa final'!$AH$60="Baja",'Mapa final'!$AJ$60="Catastrófico"),CONCATENATE("R2C",'Mapa final'!$R$60),"")</f>
        <v/>
      </c>
      <c r="AO49" s="68"/>
      <c r="AP49" s="550"/>
      <c r="AQ49" s="551"/>
      <c r="AR49" s="551"/>
      <c r="AS49" s="551"/>
      <c r="AT49" s="551"/>
      <c r="AU49" s="552"/>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row>
    <row r="50" spans="2:81" ht="15" customHeight="1">
      <c r="B50" s="68"/>
      <c r="C50" s="429"/>
      <c r="D50" s="429"/>
      <c r="E50" s="430"/>
      <c r="F50" s="519"/>
      <c r="G50" s="520"/>
      <c r="H50" s="520"/>
      <c r="I50" s="520"/>
      <c r="J50" s="520"/>
      <c r="K50" s="62" t="str">
        <f>IF(AND('Mapa final'!$AH$61="Baja",'Mapa final'!$AJ$61="Leve"),CONCATENATE("R2C",'Mapa final'!$R$61),"")</f>
        <v/>
      </c>
      <c r="L50" s="63" t="str">
        <f>IF(AND('Mapa final'!$AH$62="Baja",'Mapa final'!$AJ$62="Leve"),CONCATENATE("R2C",'Mapa final'!$R$62),"")</f>
        <v/>
      </c>
      <c r="M50" s="63" t="str">
        <f>IF(AND('Mapa final'!$AH$63="Baja",'Mapa final'!$AJ$63="Leve"),CONCATENATE("R2C",'Mapa final'!$R$63),"")</f>
        <v/>
      </c>
      <c r="N50" s="54" t="e">
        <f>IF(AND('Mapa final'!#REF!="Alta",'Mapa final'!#REF!="Leve"),CONCATENATE("R2C",'Mapa final'!#REF!),"")</f>
        <v>#REF!</v>
      </c>
      <c r="O50" s="63" t="str">
        <f>IF(AND('Mapa final'!$AH$65="Baja",'Mapa final'!$AJ$65="Leve"),CONCATENATE("R2C",'Mapa final'!$R$65),"")</f>
        <v/>
      </c>
      <c r="P50" s="64" t="str">
        <f>IF(AND('Mapa final'!$AH$66="Baja",'Mapa final'!$AJ$66="Leve"),CONCATENATE("R2C",'Mapa final'!$R$66),"")</f>
        <v/>
      </c>
      <c r="Q50" s="53" t="str">
        <f>IF(AND('Mapa final'!$AH$61="Baja",'Mapa final'!$AJ$61="Menor"),CONCATENATE("R2C",'Mapa final'!$R$61),"")</f>
        <v/>
      </c>
      <c r="R50" s="54" t="str">
        <f>IF(AND('Mapa final'!$AH$62="Baja",'Mapa final'!$AJ$62="Menor"),CONCATENATE("R2C",'Mapa final'!$R$62),"")</f>
        <v/>
      </c>
      <c r="S50" s="54" t="str">
        <f>IF(AND('Mapa final'!$AH$63="Baja",'Mapa final'!$AJ$63="Menor"),CONCATENATE("R2C",'Mapa final'!$R$63),"")</f>
        <v/>
      </c>
      <c r="T50" s="54" t="str">
        <f>IF(AND('Mapa final'!$AH$64="Baja",'Mapa final'!$AJ$64="Menor"),CONCATENATE("R2C",'Mapa final'!$R$64),"")</f>
        <v/>
      </c>
      <c r="U50" s="54" t="str">
        <f>IF(AND('Mapa final'!$AH$65="Baja",'Mapa final'!$AJ$65="Menor"),CONCATENATE("R2C",'Mapa final'!$R$65),"")</f>
        <v/>
      </c>
      <c r="V50" s="55" t="str">
        <f>IF(AND('Mapa final'!$AH$66="Baja",'Mapa final'!$AJ$66="Menor"),CONCATENATE("R2C",'Mapa final'!$R$66),"")</f>
        <v/>
      </c>
      <c r="W50" s="53" t="str">
        <f>IF(AND('Mapa final'!$AH$61="Baja",'Mapa final'!$AJ$61="Moderado"),CONCATENATE("R2C",'Mapa final'!$R$61),"")</f>
        <v/>
      </c>
      <c r="X50" s="54" t="str">
        <f>IF(AND('Mapa final'!$AH$62="Baja",'Mapa final'!$AJ$62="Moderado"),CONCATENATE("R2C",'Mapa final'!$R$62),"")</f>
        <v/>
      </c>
      <c r="Y50" s="54" t="str">
        <f>IF(AND('Mapa final'!$AH$63="Baja",'Mapa final'!$AJ$63="Moderado"),CONCATENATE("R2C",'Mapa final'!$R$63),"")</f>
        <v/>
      </c>
      <c r="Z50" s="54" t="str">
        <f>IF(AND('Mapa final'!$AH$64="Baja",'Mapa final'!$AJ$64="Moderado"),CONCATENATE("R2C",'Mapa final'!$R$64),"")</f>
        <v/>
      </c>
      <c r="AA50" s="54" t="str">
        <f>IF(AND('Mapa final'!$AH$65="Baja",'Mapa final'!$AJ$65="Moderado"),CONCATENATE("R2C",'Mapa final'!$R$65),"")</f>
        <v/>
      </c>
      <c r="AB50" s="55" t="str">
        <f>IF(AND('Mapa final'!$AH$66="Baja",'Mapa final'!$AJ$66="Moderado"),CONCATENATE("R2C",'Mapa final'!$R$66),"")</f>
        <v/>
      </c>
      <c r="AC50" s="38" t="str">
        <f>IF(AND('Mapa final'!$AH$61="Baja",'Mapa final'!$AJ$61="Mayor"),CONCATENATE("R2C",'Mapa final'!$R$61),"")</f>
        <v/>
      </c>
      <c r="AD50" s="39" t="str">
        <f>IF(AND('Mapa final'!$AH$62="Baja",'Mapa final'!$AJ$62="Mayor"),CONCATENATE("R2C",'Mapa final'!$R$62),"")</f>
        <v/>
      </c>
      <c r="AE50" s="39" t="str">
        <f>IF(AND('Mapa final'!$AH$63="Baja",'Mapa final'!$AJ$63="Mayor"),CONCATENATE("R2C",'Mapa final'!$R$63),"")</f>
        <v/>
      </c>
      <c r="AF50" s="39" t="str">
        <f>IF(AND('Mapa final'!$AH$64="Baja",'Mapa final'!$AJ$64="Mayor"),CONCATENATE("R2C",'Mapa final'!$R$64),"")</f>
        <v/>
      </c>
      <c r="AG50" s="39" t="str">
        <f>IF(AND('Mapa final'!$AH$65="Baja",'Mapa final'!$AJ$65="Mayor"),CONCATENATE("R2C",'Mapa final'!$R$65),"")</f>
        <v/>
      </c>
      <c r="AH50" s="40" t="str">
        <f>IF(AND('Mapa final'!$AH$66="Baja",'Mapa final'!$AJ$66="Mayor"),CONCATENATE("R2C",'Mapa final'!$R$66),"")</f>
        <v/>
      </c>
      <c r="AI50" s="41" t="str">
        <f>IF(AND('Mapa final'!$AH$61="Baja",'Mapa final'!$AJ$61="Catastrófico"),CONCATENATE("R2C",'Mapa final'!$R$61),"")</f>
        <v/>
      </c>
      <c r="AJ50" s="42" t="str">
        <f>IF(AND('Mapa final'!$AH$62="Baja",'Mapa final'!$AJ$62="Catastrófico"),CONCATENATE("R2C",'Mapa final'!$R$62),"")</f>
        <v/>
      </c>
      <c r="AK50" s="42" t="str">
        <f>IF(AND('Mapa final'!$AH$63="Baja",'Mapa final'!$AJ$63="Catastrófico"),CONCATENATE("R2C",'Mapa final'!$R$63),"")</f>
        <v/>
      </c>
      <c r="AL50" s="42" t="str">
        <f>IF(AND('Mapa final'!$AH$64="Baja",'Mapa final'!$AJ$64="Catastrófico"),CONCATENATE("R2C",'Mapa final'!$R$64),"")</f>
        <v/>
      </c>
      <c r="AM50" s="42" t="str">
        <f>IF(AND('Mapa final'!$AH$65="Baja",'Mapa final'!$AJ$65="Catastrófico"),CONCATENATE("R2C",'Mapa final'!$R$65),"")</f>
        <v/>
      </c>
      <c r="AN50" s="43" t="str">
        <f>IF(AND('Mapa final'!$AH$66="Baja",'Mapa final'!$AJ$66="Catastrófico"),CONCATENATE("R2C",'Mapa final'!$R$66),"")</f>
        <v/>
      </c>
      <c r="AO50" s="68"/>
      <c r="AP50" s="550"/>
      <c r="AQ50" s="551"/>
      <c r="AR50" s="551"/>
      <c r="AS50" s="551"/>
      <c r="AT50" s="551"/>
      <c r="AU50" s="552"/>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row>
    <row r="51" spans="2:81" ht="15.75" customHeight="1" thickBot="1">
      <c r="B51" s="68"/>
      <c r="C51" s="429"/>
      <c r="D51" s="429"/>
      <c r="E51" s="430"/>
      <c r="F51" s="522"/>
      <c r="G51" s="523"/>
      <c r="H51" s="523"/>
      <c r="I51" s="523"/>
      <c r="J51" s="523"/>
      <c r="K51" s="65" t="str">
        <f>IF(AND('Mapa final'!$AH$67="Baja",'Mapa final'!$AJ$67="Leve"),CONCATENATE("R2C",'Mapa final'!$R$67),"")</f>
        <v/>
      </c>
      <c r="L51" s="66" t="str">
        <f>IF(AND('Mapa final'!$AH$68="Baja",'Mapa final'!$AJ$68="Leve"),CONCATENATE("R2C",'Mapa final'!$R$68),"")</f>
        <v/>
      </c>
      <c r="M51" s="66" t="str">
        <f>IF(AND('Mapa final'!$AH$69="Baja",'Mapa final'!$AJ$69="Leve"),CONCATENATE("R2C",'Mapa final'!$R$69),"")</f>
        <v/>
      </c>
      <c r="N51" s="54" t="e">
        <f>IF(AND('Mapa final'!#REF!="Alta",'Mapa final'!#REF!="Leve"),CONCATENATE("R2C",'Mapa final'!#REF!),"")</f>
        <v>#REF!</v>
      </c>
      <c r="O51" s="66" t="str">
        <f>IF(AND('Mapa final'!$AH$72="Baja",'Mapa final'!$AJ$72="Leve"),CONCATENATE("R2C",'Mapa final'!$R$72),"")</f>
        <v/>
      </c>
      <c r="P51" s="67" t="str">
        <f>IF(AND('Mapa final'!$AH$73="Baja",'Mapa final'!$AJ$73="Leve"),CONCATENATE("R2C",'Mapa final'!$R$73),"")</f>
        <v/>
      </c>
      <c r="Q51" s="53" t="str">
        <f>IF(AND('Mapa final'!$AH$67="Baja",'Mapa final'!$AJ$67="Menor"),CONCATENATE("R2C",'Mapa final'!$R$67),"")</f>
        <v/>
      </c>
      <c r="R51" s="54" t="str">
        <f>IF(AND('Mapa final'!$AH$68="Baja",'Mapa final'!$AJ$68="Menor"),CONCATENATE("R2C",'Mapa final'!$R$68),"")</f>
        <v/>
      </c>
      <c r="S51" s="54" t="str">
        <f>IF(AND('Mapa final'!$AH$69="Baja",'Mapa final'!$AJ$69="Menor"),CONCATENATE("R2C",'Mapa final'!$R$69),"")</f>
        <v/>
      </c>
      <c r="T51" s="54" t="str">
        <f>IF(AND('Mapa final'!$AH$70="Baja",'Mapa final'!$AJ$70="Menor"),CONCATENATE("R2C",'Mapa final'!$R$70),"")</f>
        <v/>
      </c>
      <c r="U51" s="54" t="str">
        <f>IF(AND('Mapa final'!$AH$72="Baja",'Mapa final'!$AJ$72="Menor"),CONCATENATE("R2C",'Mapa final'!$R$72),"")</f>
        <v/>
      </c>
      <c r="V51" s="55" t="str">
        <f>IF(AND('Mapa final'!$AH$73="Baja",'Mapa final'!$AJ$73="Menor"),CONCATENATE("R2C",'Mapa final'!$R$73),"")</f>
        <v/>
      </c>
      <c r="W51" s="56" t="str">
        <f>IF(AND('Mapa final'!$AH$67="Baja",'Mapa final'!$AJ$67="Moderado"),CONCATENATE("R2C",'Mapa final'!$R$67),"")</f>
        <v/>
      </c>
      <c r="X51" s="57" t="str">
        <f>IF(AND('Mapa final'!$AH$68="Baja",'Mapa final'!$AJ$68="Moderado"),CONCATENATE("R2C",'Mapa final'!$R$68),"")</f>
        <v/>
      </c>
      <c r="Y51" s="57" t="str">
        <f>IF(AND('Mapa final'!$AH$69="Baja",'Mapa final'!$AJ$69="Moderado"),CONCATENATE("R2C",'Mapa final'!$R$69),"")</f>
        <v/>
      </c>
      <c r="Z51" s="57" t="str">
        <f>IF(AND('Mapa final'!$AH$70="Baja",'Mapa final'!$AJ$70="Moderado"),CONCATENATE("R2C",'Mapa final'!$R$70),"")</f>
        <v/>
      </c>
      <c r="AA51" s="57" t="str">
        <f>IF(AND('Mapa final'!$AH$72="Baja",'Mapa final'!$AJ$72="Moderado"),CONCATENATE("R2C",'Mapa final'!$R$72),"")</f>
        <v/>
      </c>
      <c r="AB51" s="58" t="str">
        <f>IF(AND('Mapa final'!$AH$73="Baja",'Mapa final'!$AJ$73="Moderado"),CONCATENATE("R2C",'Mapa final'!$R$73),"")</f>
        <v/>
      </c>
      <c r="AC51" s="44" t="str">
        <f>IF(AND('Mapa final'!$AH$67="Baja",'Mapa final'!$AJ$67="Mayor"),CONCATENATE("R2C",'Mapa final'!$R$67),"")</f>
        <v/>
      </c>
      <c r="AD51" s="45" t="str">
        <f>IF(AND('Mapa final'!$AH$68="Baja",'Mapa final'!$AJ$68="Mayor"),CONCATENATE("R2C",'Mapa final'!$R$68),"")</f>
        <v/>
      </c>
      <c r="AE51" s="45" t="str">
        <f>IF(AND('Mapa final'!$AH$69="Baja",'Mapa final'!$AJ$69="Mayor"),CONCATENATE("R2C",'Mapa final'!$R$69),"")</f>
        <v/>
      </c>
      <c r="AF51" s="45" t="str">
        <f>IF(AND('Mapa final'!$AH$70="Baja",'Mapa final'!$AJ$70="Mayor"),CONCATENATE("R2C",'Mapa final'!$R$70),"")</f>
        <v/>
      </c>
      <c r="AG51" s="45" t="str">
        <f>IF(AND('Mapa final'!$AH$72="Baja",'Mapa final'!$AJ$72="Mayor"),CONCATENATE("R2C",'Mapa final'!$R$72),"")</f>
        <v/>
      </c>
      <c r="AH51" s="46" t="str">
        <f>IF(AND('Mapa final'!$AH$73="Baja",'Mapa final'!$AJ$73="Mayor"),CONCATENATE("R2C",'Mapa final'!$R$73),"")</f>
        <v/>
      </c>
      <c r="AI51" s="47" t="str">
        <f>IF(AND('Mapa final'!$AH$67="Baja",'Mapa final'!$AJ$67="Catastrófico"),CONCATENATE("R2C",'Mapa final'!$R$67),"")</f>
        <v/>
      </c>
      <c r="AJ51" s="48" t="str">
        <f>IF(AND('Mapa final'!$AH$68="Baja",'Mapa final'!$AJ$68="Catastrófico"),CONCATENATE("R2C",'Mapa final'!$R$68),"")</f>
        <v/>
      </c>
      <c r="AK51" s="48" t="str">
        <f>IF(AND('Mapa final'!$AH$69="Baja",'Mapa final'!$AJ$69="Catastrófico"),CONCATENATE("R2C",'Mapa final'!$R$69),"")</f>
        <v/>
      </c>
      <c r="AL51" s="48" t="str">
        <f>IF(AND('Mapa final'!$AH$70="Baja",'Mapa final'!$AJ$70="Catastrófico"),CONCATENATE("R2C",'Mapa final'!$R$70),"")</f>
        <v/>
      </c>
      <c r="AM51" s="48" t="str">
        <f>IF(AND('Mapa final'!$AH$72="Baja",'Mapa final'!$AJ$72="Catastrófico"),CONCATENATE("R2C",'Mapa final'!$R$72),"")</f>
        <v/>
      </c>
      <c r="AN51" s="49" t="str">
        <f>IF(AND('Mapa final'!$AH$73="Baja",'Mapa final'!$AJ$73="Catastrófico"),CONCATENATE("R2C",'Mapa final'!$R$73),"")</f>
        <v/>
      </c>
      <c r="AO51" s="68"/>
      <c r="AP51" s="553"/>
      <c r="AQ51" s="554"/>
      <c r="AR51" s="554"/>
      <c r="AS51" s="554"/>
      <c r="AT51" s="554"/>
      <c r="AU51" s="555"/>
    </row>
    <row r="52" spans="2:81" ht="41.25" customHeight="1">
      <c r="B52" s="68"/>
      <c r="C52" s="429"/>
      <c r="D52" s="429"/>
      <c r="E52" s="430"/>
      <c r="F52" s="516" t="s">
        <v>260</v>
      </c>
      <c r="G52" s="517"/>
      <c r="H52" s="517"/>
      <c r="I52" s="517"/>
      <c r="J52" s="518"/>
      <c r="K52" s="59"/>
      <c r="L52" s="60" t="str">
        <f>IF(AND('Mapa final'!$AH$16="Muy Baja",'Mapa final'!$AJ$16="Leve"),CONCATENATE("R2C",'Mapa final'!$R$15),"")</f>
        <v/>
      </c>
      <c r="M52" s="60" t="str">
        <f>IF(AND('Mapa final'!$AH$17="Muy Baja",'Mapa final'!$AJ$17="Leve"),CONCATENATE("R2C",'Mapa final'!$R$17),"")</f>
        <v/>
      </c>
      <c r="N52" s="54" t="e">
        <f>IF(AND('Mapa final'!#REF!="Alta",'Mapa final'!#REF!="Leve"),CONCATENATE("R2C",'Mapa final'!#REF!),"")</f>
        <v>#REF!</v>
      </c>
      <c r="O52" s="60" t="e">
        <f>IF(AND('Mapa final'!#REF!="Muy Baja",'Mapa final'!#REF!="Leve"),CONCATENATE("R2C",'Mapa final'!#REF!),"")</f>
        <v>#REF!</v>
      </c>
      <c r="P52" s="61" t="e">
        <f>IF(AND('Mapa final'!#REF!="Muy Baja",'Mapa final'!#REF!="Leve"),CONCATENATE("R2C",'Mapa final'!#REF!),"")</f>
        <v>#REF!</v>
      </c>
      <c r="Q52" s="59"/>
      <c r="R52" s="60" t="str">
        <f>IF(AND('Mapa final'!$AH$16="Muy Baja",'Mapa final'!$AJ$16="Menore"),CONCATENATE("R2C",'Mapa final'!$R$15),"")</f>
        <v/>
      </c>
      <c r="S52" s="60" t="str">
        <f>IF(AND('Mapa final'!$AH$17="Muy Baja",'Mapa final'!$AJ$17="Menor"),CONCATENATE("R2C",'Mapa final'!$R$17),"")</f>
        <v/>
      </c>
      <c r="T52" s="60" t="e">
        <f>IF(AND('Mapa final'!#REF!="Muy Baja",'Mapa final'!#REF!="Menor"),CONCATENATE("R2C",'Mapa final'!#REF!),"")</f>
        <v>#REF!</v>
      </c>
      <c r="U52" s="60" t="e">
        <f>IF(AND('Mapa final'!#REF!="Muy Baja",'Mapa final'!#REF!="Menor"),CONCATENATE("R2C",'Mapa final'!#REF!),"")</f>
        <v>#REF!</v>
      </c>
      <c r="V52" s="61" t="e">
        <f>IF(AND('Mapa final'!#REF!="Muy Baja",'Mapa final'!#REF!="Menor"),CONCATENATE("R2C",'Mapa final'!#REF!),"")</f>
        <v>#REF!</v>
      </c>
      <c r="W52" s="50"/>
      <c r="X52" s="198" t="str">
        <f>IF(AND('Mapa final'!$AH$16="Muy Baja",'Mapa final'!$AJ$16="Moderado"),CONCATENATE("R2C",'Mapa final'!$D$15),"")</f>
        <v/>
      </c>
      <c r="Y52" s="51"/>
      <c r="Z52" s="51" t="e">
        <f>IF(AND('Mapa final'!#REF!="Muy Baja",'Mapa final'!#REF!="Moderado"),CONCATENATE("R2C",'Mapa final'!#REF!),"")</f>
        <v>#REF!</v>
      </c>
      <c r="AA52" s="51" t="e">
        <f>IF(AND('Mapa final'!#REF!="Muy Baja",'Mapa final'!#REF!="Moderado"),CONCATENATE("R2C",'Mapa final'!#REF!),"")</f>
        <v>#REF!</v>
      </c>
      <c r="AB52" s="52" t="e">
        <f>IF(AND('Mapa final'!#REF!="Muy Baja",'Mapa final'!#REF!="Moderado"),CONCATENATE("R2C",'Mapa final'!#REF!),"")</f>
        <v>#REF!</v>
      </c>
      <c r="AC52" s="32"/>
      <c r="AD52" s="33" t="str">
        <f>IF(AND('Mapa final'!$AH$16="Muy Baja",'Mapa final'!$AJ$16="Mayor"),CONCATENATE("R2C",'Mapa final'!$R$15),"")</f>
        <v/>
      </c>
      <c r="AE52" s="197" t="str">
        <f>IF(AND('Mapa final'!$AH$17="Muy Baja",'Mapa final'!$AJ$17="Mayor"),CONCATENATE("R2C",'Mapa final'!$D$17),"")</f>
        <v/>
      </c>
      <c r="AF52" s="33" t="e">
        <f>IF(AND('Mapa final'!#REF!="Muy Baja",'Mapa final'!#REF!="Mayor"),CONCATENATE("R2C",'Mapa final'!#REF!),"")</f>
        <v>#REF!</v>
      </c>
      <c r="AG52" s="33" t="e">
        <f>IF(AND('Mapa final'!#REF!="Muy Baja",'Mapa final'!#REF!="Mayor"),CONCATENATE("R2C",'Mapa final'!#REF!),"")</f>
        <v>#REF!</v>
      </c>
      <c r="AH52" s="34" t="e">
        <f>IF(AND('Mapa final'!#REF!="Muy Baja",'Mapa final'!#REF!="Mayor"),CONCATENATE("R2C",'Mapa final'!#REF!),"")</f>
        <v>#REF!</v>
      </c>
      <c r="AI52" s="35"/>
      <c r="AJ52" s="36" t="str">
        <f>IF(AND('Mapa final'!$AH$16="Muy Baja",'Mapa final'!$AJ$16="Catastrófico"),CONCATENATE("R2C",'Mapa final'!$D$15),"")</f>
        <v/>
      </c>
      <c r="AK52" s="36" t="str">
        <f>IF(AND('Mapa final'!$AH$17="Muy Baja",'Mapa final'!$AJ$17="Catastrófico"),CONCATENATE("R2C",'Mapa final'!$R$17),"")</f>
        <v/>
      </c>
      <c r="AL52" s="36" t="e">
        <f>IF(AND('Mapa final'!#REF!="Muy Baja",'Mapa final'!#REF!="Catastrófico"),CONCATENATE("R2C",'Mapa final'!#REF!),"")</f>
        <v>#REF!</v>
      </c>
      <c r="AM52" s="36" t="e">
        <f>IF(AND('Mapa final'!#REF!="Muy Baja",'Mapa final'!#REF!="Catastrófico"),CONCATENATE("R2C",'Mapa final'!#REF!),"")</f>
        <v>#REF!</v>
      </c>
      <c r="AN52" s="37" t="e">
        <f>IF(AND('Mapa final'!#REF!="Muy Baja",'Mapa final'!#REF!="Catastrófico"),CONCATENATE("R2C",'Mapa final'!#REF!),"")</f>
        <v>#REF!</v>
      </c>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245"/>
      <c r="BM52" s="245"/>
      <c r="BN52" s="245"/>
      <c r="BO52" s="245"/>
      <c r="BP52" s="245"/>
      <c r="BQ52" s="245"/>
      <c r="BR52" s="68"/>
      <c r="BS52" s="68"/>
      <c r="BT52" s="68"/>
      <c r="BU52" s="68"/>
      <c r="BV52" s="68"/>
      <c r="BW52" s="68"/>
      <c r="BX52" s="68"/>
      <c r="BY52" s="68"/>
      <c r="BZ52" s="68"/>
      <c r="CA52" s="68"/>
      <c r="CB52" s="68"/>
      <c r="CC52" s="68"/>
    </row>
    <row r="53" spans="2:81" ht="82" customHeight="1">
      <c r="B53" s="68"/>
      <c r="C53" s="429"/>
      <c r="D53" s="429"/>
      <c r="E53" s="430"/>
      <c r="F53" s="534"/>
      <c r="G53" s="520"/>
      <c r="H53" s="520"/>
      <c r="I53" s="520"/>
      <c r="J53" s="521"/>
      <c r="K53" s="62" t="e">
        <f>IF(AND('Mapa final'!#REF!="Muy Baja",'Mapa final'!#REF!="Leve"),CONCATENATE("R2C",'Mapa final'!#REF!),"")</f>
        <v>#REF!</v>
      </c>
      <c r="L53" s="63" t="e">
        <f>IF(AND('Mapa final'!#REF!="Muy Baja",'Mapa final'!#REF!="Leve"),CONCATENATE("R2C",'Mapa final'!#REF!),"")</f>
        <v>#REF!</v>
      </c>
      <c r="M53" s="63" t="str">
        <f>IF(AND('Mapa final'!$AH$21="Muy Baja",'Mapa final'!$AJ$21="Leve"),CONCATENATE("R2C",'Mapa final'!$R$21),"")</f>
        <v/>
      </c>
      <c r="N53" s="54" t="e">
        <f>IF(AND('Mapa final'!#REF!="Alta",'Mapa final'!#REF!="Leve"),CONCATENATE("R2C",'Mapa final'!#REF!),"")</f>
        <v>#REF!</v>
      </c>
      <c r="O53" s="63" t="str">
        <f>IF(AND('Mapa final'!$AH$23="Muy Baja",'Mapa final'!$AJ$23="Leve"),CONCATENATE("R2C",'Mapa final'!$R$23),"")</f>
        <v/>
      </c>
      <c r="P53" s="64" t="str">
        <f>IF(AND('Mapa final'!$AH$24="Muy Baja",'Mapa final'!$AJ$24="Leve"),CONCATENATE("R2C",'Mapa final'!$R$24),"")</f>
        <v/>
      </c>
      <c r="Q53" s="62" t="e">
        <f>IF(AND('Mapa final'!#REF!="Muy Baja",'Mapa final'!#REF!="Menor"),CONCATENATE("R2C",'Mapa final'!#REF!),"")</f>
        <v>#REF!</v>
      </c>
      <c r="R53" s="63" t="e">
        <f>IF(AND('Mapa final'!#REF!="Muy Baja",'Mapa final'!#REF!="Menor"),CONCATENATE("R2C",'Mapa final'!#REF!),"")</f>
        <v>#REF!</v>
      </c>
      <c r="S53" s="63" t="str">
        <f>IF(AND('Mapa final'!$AH$21="Muy Baja",'Mapa final'!$AJ$21="Menor"),CONCATENATE("R2C",'Mapa final'!$R$21),"")</f>
        <v/>
      </c>
      <c r="T53" s="63" t="str">
        <f>IF(AND('Mapa final'!$AH$22="Muy Baja",'Mapa final'!$AJ$22="Menor"),CONCATENATE("R2C",'Mapa final'!$R$22),"")</f>
        <v/>
      </c>
      <c r="U53" s="63" t="str">
        <f>IF(AND('Mapa final'!$AH$23="Muy Baja",'Mapa final'!$AJ$23="Menor"),CONCATENATE("R2C",'Mapa final'!$R$23),"")</f>
        <v/>
      </c>
      <c r="V53" s="64" t="str">
        <f>IF(AND('Mapa final'!$AH$24="Muy Baja",'Mapa final'!$AJ$24="Menor"),CONCATENATE("R2C",'Mapa final'!$R$24),"")</f>
        <v/>
      </c>
      <c r="W53" s="53" t="e">
        <f>IF(AND('Mapa final'!#REF!="Muy Baja",'Mapa final'!#REF!="Moderado"),CONCATENATE("R2C",'Mapa final'!#REF!),"")</f>
        <v>#REF!</v>
      </c>
      <c r="X53" s="54" t="e">
        <f>IF(AND('Mapa final'!#REF!="Muy Baja",'Mapa final'!#REF!="Moderado"),CONCATENATE("R2C",'Mapa final'!#REF!),"")</f>
        <v>#REF!</v>
      </c>
      <c r="Y53" s="54" t="str">
        <f>IF(AND('Mapa final'!$AH$21="Muy Baja",'Mapa final'!$AJ$21="Moderado"),CONCATENATE("R2C",'Mapa final'!$R$21),"")</f>
        <v/>
      </c>
      <c r="Z53" s="54" t="str">
        <f>IF(AND('Mapa final'!$AH$22="Muy Baja",'Mapa final'!$AJ$22="Moderado"),CONCATENATE("R2C",'Mapa final'!$R$22),"")</f>
        <v/>
      </c>
      <c r="AA53" s="54" t="str">
        <f>IF(AND('Mapa final'!$AH$23="Muy Baja",'Mapa final'!$AJ$23="Moderado"),CONCATENATE("R2C",'Mapa final'!$R$23),"")</f>
        <v/>
      </c>
      <c r="AB53" s="55" t="str">
        <f>IF(AND('Mapa final'!$AH$24="Muy Baja",'Mapa final'!$AJ$24="Moderado"),CONCATENATE("R2C",'Mapa final'!$R$24),"")</f>
        <v/>
      </c>
      <c r="AC53" s="38" t="e">
        <f>IF(AND('Mapa final'!#REF!="Muy Baja",'Mapa final'!#REF!="Mayor"),CONCATENATE("R2C",'Mapa final'!#REF!),"")</f>
        <v>#REF!</v>
      </c>
      <c r="AD53" s="39" t="e">
        <f>IF(AND('Mapa final'!#REF!="Muy Baja",'Mapa final'!#REF!="Mayor"),CONCATENATE("R2C",'Mapa final'!#REF!),"")</f>
        <v>#REF!</v>
      </c>
      <c r="AE53" s="39" t="str">
        <f>IF(AND('Mapa final'!$AH$21="Muy Baja",'Mapa final'!$AJ$21="Mayor"),CONCATENATE("R2C",'Mapa final'!$R$21),"")</f>
        <v/>
      </c>
      <c r="AF53" s="39" t="str">
        <f>IF(AND('Mapa final'!$AH$22="Muy Baja",'Mapa final'!$AJ$22="Mayor"),CONCATENATE("R2C",'Mapa final'!$R$22),"")</f>
        <v/>
      </c>
      <c r="AG53" s="39" t="str">
        <f>IF(AND('Mapa final'!$AH$23="Muy Baja",'Mapa final'!$AJ$23="Mayor"),CONCATENATE("R2C",'Mapa final'!$R$23),"")</f>
        <v/>
      </c>
      <c r="AH53" s="40" t="str">
        <f>IF(AND('Mapa final'!$AH$24="Muy Baja",'Mapa final'!$AJ$24="Mayor"),CONCATENATE("R2C",'Mapa final'!$R$24),"")</f>
        <v/>
      </c>
      <c r="AI53" s="41" t="e">
        <f>IF(AND('Mapa final'!#REF!="Muy Baja",'Mapa final'!#REF!="Catastrófico"),CONCATENATE("R2C",'Mapa final'!#REF!),"")</f>
        <v>#REF!</v>
      </c>
      <c r="AJ53" s="42" t="e">
        <f>IF(AND('Mapa final'!#REF!="Muy Baja",'Mapa final'!#REF!="Catastrófico"),CONCATENATE("R2C",'Mapa final'!#REF!),"")</f>
        <v>#REF!</v>
      </c>
      <c r="AK53" s="42" t="str">
        <f>IF(AND('Mapa final'!$AH$21="Muy Baja",'Mapa final'!$AJ$21="Catastrófico"),CONCATENATE("R2C",'Mapa final'!$R$21),"")</f>
        <v/>
      </c>
      <c r="AL53" s="42" t="str">
        <f>IF(AND('Mapa final'!$AH$22="Muy Baja",'Mapa final'!$AJ$22="Catastrófico"),CONCATENATE("R2C",'Mapa final'!$R$22),"")</f>
        <v/>
      </c>
      <c r="AM53" s="42" t="str">
        <f>IF(AND('Mapa final'!$AH$23="Muy Baja",'Mapa final'!$AJ$23="Catastrófico"),CONCATENATE("R2C",'Mapa final'!$R$23),"")</f>
        <v/>
      </c>
      <c r="AN53" s="43" t="str">
        <f>IF(AND('Mapa final'!$AH$24="Muy Baja",'Mapa final'!$AJ$24="Catastrófico"),CONCATENATE("R2C",'Mapa final'!$R$24),"")</f>
        <v/>
      </c>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246"/>
      <c r="BM53" s="246"/>
      <c r="BN53" s="246"/>
      <c r="BO53" s="246"/>
      <c r="BP53" s="246"/>
      <c r="BQ53" s="246"/>
      <c r="BR53" s="68"/>
      <c r="BS53" s="68"/>
      <c r="BT53" s="68"/>
      <c r="BU53" s="68"/>
      <c r="BV53" s="68"/>
      <c r="BW53" s="68"/>
      <c r="BX53" s="68"/>
      <c r="BY53" s="68"/>
      <c r="BZ53" s="68"/>
      <c r="CA53" s="68"/>
      <c r="CB53" s="68"/>
      <c r="CC53" s="68"/>
    </row>
    <row r="54" spans="2:81" ht="82" customHeight="1">
      <c r="B54" s="68"/>
      <c r="C54" s="429"/>
      <c r="D54" s="429"/>
      <c r="E54" s="430"/>
      <c r="F54" s="534"/>
      <c r="G54" s="520"/>
      <c r="H54" s="520"/>
      <c r="I54" s="520"/>
      <c r="J54" s="521"/>
      <c r="K54" s="62" t="str">
        <f>IF(AND('Mapa final'!$AH$25="Muy Baja",'Mapa final'!$AJ$25="Leve"),CONCATENATE("R2C",'Mapa final'!$R$25),"")</f>
        <v/>
      </c>
      <c r="L54" s="63" t="str">
        <f>IF(AND('Mapa final'!$AH$26="Muy Baja",'Mapa final'!$AJ$26="Leve"),CONCATENATE("R2C",'Mapa final'!$R$26),"")</f>
        <v/>
      </c>
      <c r="M54" s="63" t="str">
        <f>IF(AND('Mapa final'!$AH$27="Muy Baja",'Mapa final'!$AJ$27="Leve"),CONCATENATE("R2C",'Mapa final'!$R$27),"")</f>
        <v/>
      </c>
      <c r="N54" s="54" t="e">
        <f>IF(AND('Mapa final'!#REF!="Alta",'Mapa final'!#REF!="Leve"),CONCATENATE("R2C",'Mapa final'!#REF!),"")</f>
        <v>#REF!</v>
      </c>
      <c r="O54" s="63" t="str">
        <f>IF(AND('Mapa final'!$AH$29="Muy Baja",'Mapa final'!$AJ$29="Leve"),CONCATENATE("R2C",'Mapa final'!$R$29),"")</f>
        <v/>
      </c>
      <c r="P54" s="64" t="str">
        <f>IF(AND('Mapa final'!$AH$30="Muy Baja",'Mapa final'!$AJ$30="Leve"),CONCATENATE("R2C",'Mapa final'!$R$30),"")</f>
        <v/>
      </c>
      <c r="Q54" s="62" t="str">
        <f>IF(AND('Mapa final'!$AH$25="Muy Baja",'Mapa final'!$AJ$25="Menor"),CONCATENATE("R2C",'Mapa final'!$R$25),"")</f>
        <v/>
      </c>
      <c r="R54" s="63" t="str">
        <f>IF(AND('Mapa final'!$AH$26="Muy Baja",'Mapa final'!$AJ$26="Menor"),CONCATENATE("R2C",'Mapa final'!$R$26),"")</f>
        <v/>
      </c>
      <c r="S54" s="63" t="str">
        <f>IF(AND('Mapa final'!$AH$27="Muy Baja",'Mapa final'!$AJ$27="Menor"),CONCATENATE("R2C",'Mapa final'!$R$27),"")</f>
        <v/>
      </c>
      <c r="T54" s="63" t="str">
        <f>IF(AND('Mapa final'!$AH$28="Muy Baja",'Mapa final'!$AJ$28="Menor"),CONCATENATE("R2C",'Mapa final'!$R$28),"")</f>
        <v/>
      </c>
      <c r="U54" s="63" t="str">
        <f>IF(AND('Mapa final'!$AH$29="Muy Baja",'Mapa final'!$AJ$29="Menor"),CONCATENATE("R2C",'Mapa final'!$R$29),"")</f>
        <v/>
      </c>
      <c r="V54" s="64" t="str">
        <f>IF(AND('Mapa final'!$AH$30="Muy Baja",'Mapa final'!$AJ$30="Menor"),CONCATENATE("R2C",'Mapa final'!$R$30),"")</f>
        <v/>
      </c>
      <c r="W54" s="53" t="str">
        <f>IF(AND('Mapa final'!$AH$25="Muy Baja",'Mapa final'!$AJ$25="Moderado"),CONCATENATE("R2C",'Mapa final'!$R$25),"")</f>
        <v/>
      </c>
      <c r="X54" s="54" t="str">
        <f>IF(AND('Mapa final'!$AH$26="Muy Baja",'Mapa final'!$AJ$26="Moderado"),CONCATENATE("R2C",'Mapa final'!$R$26),"")</f>
        <v/>
      </c>
      <c r="Y54" s="54" t="str">
        <f>IF(AND('Mapa final'!$AH$27="Muy Baja",'Mapa final'!$AJ$27="Moderado"),CONCATENATE("R2C",'Mapa final'!$R$27),"")</f>
        <v/>
      </c>
      <c r="Z54" s="54" t="str">
        <f>IF(AND('Mapa final'!$AH$28="Muy Baja",'Mapa final'!$AJ$28="Moderado"),CONCATENATE("R2C",'Mapa final'!$R$28),"")</f>
        <v/>
      </c>
      <c r="AA54" s="54" t="str">
        <f>IF(AND('Mapa final'!$AH$29="Muy Baja",'Mapa final'!$AJ$29="Moderado"),CONCATENATE("R2C",'Mapa final'!$R$29),"")</f>
        <v/>
      </c>
      <c r="AB54" s="55" t="str">
        <f>IF(AND('Mapa final'!$AH$30="Muy Baja",'Mapa final'!$AJ$30="Moderado"),CONCATENATE("R2C",'Mapa final'!$R$30),"")</f>
        <v/>
      </c>
      <c r="AC54" s="38" t="str">
        <f>IF(AND('Mapa final'!$AH$25="Muy Baja",'Mapa final'!$AJ$25="Mayor"),CONCATENATE("R2C",'Mapa final'!$R$25),"")</f>
        <v/>
      </c>
      <c r="AD54" s="39" t="str">
        <f>IF(AND('Mapa final'!$AH$26="Muy Baja",'Mapa final'!$AJ$26="Mayor"),CONCATENATE("R2C",'Mapa final'!$R$26),"")</f>
        <v/>
      </c>
      <c r="AE54" s="39" t="str">
        <f>IF(AND('Mapa final'!$AH$27="Muy Baja",'Mapa final'!$AJ$27="Mayor"),CONCATENATE("R2C",'Mapa final'!$R$27),"")</f>
        <v/>
      </c>
      <c r="AF54" s="39" t="str">
        <f>IF(AND('Mapa final'!$AH$28="Muy Baja",'Mapa final'!$AJ$28="Mayor"),CONCATENATE("R2C",'Mapa final'!$R$28),"")</f>
        <v/>
      </c>
      <c r="AG54" s="39" t="str">
        <f>IF(AND('Mapa final'!$AH$29="Muy Baja",'Mapa final'!$AJ$29="Mayor"),CONCATENATE("R2C",'Mapa final'!$R$29),"")</f>
        <v/>
      </c>
      <c r="AH54" s="40" t="str">
        <f>IF(AND('Mapa final'!$AH$30="Muy Baja",'Mapa final'!$AJ$30="Mayor"),CONCATENATE("R2C",'Mapa final'!$R$30),"")</f>
        <v/>
      </c>
      <c r="AI54" s="41" t="str">
        <f>IF(AND('Mapa final'!$AH$25="Muy Baja",'Mapa final'!$AJ$25="Catastrófico"),CONCATENATE("R2C",'Mapa final'!$R$25),"")</f>
        <v/>
      </c>
      <c r="AJ54" s="42" t="str">
        <f>IF(AND('Mapa final'!$AH$26="Muy Baja",'Mapa final'!$AJ$26="Catastrófico"),CONCATENATE("R2C",'Mapa final'!$R$26),"")</f>
        <v/>
      </c>
      <c r="AK54" s="42" t="str">
        <f>IF(AND('Mapa final'!$AH$27="Muy Baja",'Mapa final'!$AJ$27="Catastrófico"),CONCATENATE("R2C",'Mapa final'!$R$27),"")</f>
        <v/>
      </c>
      <c r="AL54" s="42" t="str">
        <f>IF(AND('Mapa final'!$AH$28="Muy Baja",'Mapa final'!$AJ$28="Catastrófico"),CONCATENATE("R2C",'Mapa final'!$R$28),"")</f>
        <v/>
      </c>
      <c r="AM54" s="42" t="str">
        <f>IF(AND('Mapa final'!$AH$29="Muy Baja",'Mapa final'!$AJ$29="Catastrófico"),CONCATENATE("R2C",'Mapa final'!$R$29),"")</f>
        <v/>
      </c>
      <c r="AN54" s="43" t="str">
        <f>IF(AND('Mapa final'!$AH$30="Muy Baja",'Mapa final'!$AJ$30="Catastrófico"),CONCATENATE("R2C",'Mapa final'!$R$30),"")</f>
        <v/>
      </c>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246"/>
      <c r="BM54" s="246"/>
      <c r="BN54" s="246"/>
      <c r="BO54" s="246"/>
      <c r="BP54" s="246"/>
      <c r="BQ54" s="246"/>
      <c r="BR54" s="68"/>
      <c r="BS54" s="68"/>
      <c r="BT54" s="68"/>
      <c r="BU54" s="68"/>
      <c r="BV54" s="68"/>
      <c r="BW54" s="68"/>
      <c r="BX54" s="68"/>
      <c r="BY54" s="68"/>
      <c r="BZ54" s="68"/>
      <c r="CA54" s="68"/>
      <c r="CB54" s="68"/>
      <c r="CC54" s="68"/>
    </row>
    <row r="55" spans="2:81" ht="82" customHeight="1">
      <c r="B55" s="68"/>
      <c r="C55" s="429"/>
      <c r="D55" s="429"/>
      <c r="E55" s="430"/>
      <c r="F55" s="519"/>
      <c r="G55" s="520"/>
      <c r="H55" s="520"/>
      <c r="I55" s="520"/>
      <c r="J55" s="521"/>
      <c r="K55" s="62" t="str">
        <f>IF(AND('Mapa final'!$AH$31="Muy Baja",'Mapa final'!$AJ$31="Leve"),CONCATENATE("R2C",'Mapa final'!$R$31),"")</f>
        <v/>
      </c>
      <c r="L55" s="63" t="str">
        <f>IF(AND('Mapa final'!$AH$32="Muy Baja",'Mapa final'!$AJ$32="Leve"),CONCATENATE("R2C",'Mapa final'!$R$32),"")</f>
        <v/>
      </c>
      <c r="M55" s="63" t="str">
        <f>IF(AND('Mapa final'!$AH$33="Muy Baja",'Mapa final'!$AJ$33="Leve"),CONCATENATE("R2C",'Mapa final'!$R$33),"")</f>
        <v/>
      </c>
      <c r="N55" s="54" t="e">
        <f>IF(AND('Mapa final'!#REF!="Alta",'Mapa final'!#REF!="Leve"),CONCATENATE("R2C",'Mapa final'!#REF!),"")</f>
        <v>#REF!</v>
      </c>
      <c r="O55" s="63" t="str">
        <f>IF(AND('Mapa final'!$AH$35="Muy Baja",'Mapa final'!$AJ$35="Leve"),CONCATENATE("R2C",'Mapa final'!$R$35),"")</f>
        <v/>
      </c>
      <c r="P55" s="64" t="str">
        <f>IF(AND('Mapa final'!$AH$36="Muy Baja",'Mapa final'!$AJ$36="Leve"),CONCATENATE("R2C",'Mapa final'!$R$36),"")</f>
        <v/>
      </c>
      <c r="Q55" s="62" t="str">
        <f>IF(AND('Mapa final'!$AH$31="Muy Baja",'Mapa final'!$AJ$31="Menor"),CONCATENATE("R2C",'Mapa final'!$R$31),"")</f>
        <v/>
      </c>
      <c r="R55" s="63" t="str">
        <f>IF(AND('Mapa final'!$AH$32="Muy Baja",'Mapa final'!$AJ$32="Menor"),CONCATENATE("R2C",'Mapa final'!$R$32),"")</f>
        <v/>
      </c>
      <c r="S55" s="63" t="str">
        <f>IF(AND('Mapa final'!$AH$33="Muy Baja",'Mapa final'!$AJ$33="Menor"),CONCATENATE("R2C",'Mapa final'!$R$33),"")</f>
        <v/>
      </c>
      <c r="T55" s="63" t="str">
        <f>IF(AND('Mapa final'!$AH$34="Muy Baja",'Mapa final'!$AJ$34="Menor"),CONCATENATE("R2C",'Mapa final'!$R$34),"")</f>
        <v/>
      </c>
      <c r="U55" s="63" t="str">
        <f>IF(AND('Mapa final'!$AH$35="Muy Baja",'Mapa final'!$AJ$35="LMenor"),CONCATENATE("R2C",'Mapa final'!$R$35),"")</f>
        <v/>
      </c>
      <c r="V55" s="64" t="str">
        <f>IF(AND('Mapa final'!$AH$36="Muy Baja",'Mapa final'!$AJ$36="Menor"),CONCATENATE("R2C",'Mapa final'!$R$36),"")</f>
        <v/>
      </c>
      <c r="W55" s="53" t="str">
        <f>IF(AND('Mapa final'!$AH$31="Muy Baja",'Mapa final'!$AJ$31="Moderado"),CONCATENATE("R2C",'Mapa final'!$R$31),"")</f>
        <v/>
      </c>
      <c r="X55" s="54" t="str">
        <f>IF(AND('Mapa final'!$AH$32="Muy Baja",'Mapa final'!$AJ$32="Moderado"),CONCATENATE("R2C",'Mapa final'!$R$32),"")</f>
        <v/>
      </c>
      <c r="Y55" s="54" t="str">
        <f>IF(AND('Mapa final'!$AH$33="Muy Baja",'Mapa final'!$AJ$33="Moderado"),CONCATENATE("R2C",'Mapa final'!$R$33),"")</f>
        <v/>
      </c>
      <c r="Z55" s="54" t="str">
        <f>IF(AND('Mapa final'!$AH$34="Muy Baja",'Mapa final'!$AJ$34="Moderado"),CONCATENATE("R2C",'Mapa final'!$R$34),"")</f>
        <v/>
      </c>
      <c r="AA55" s="54" t="str">
        <f>IF(AND('Mapa final'!$AH$35="Muy Baja",'Mapa final'!$AJ$35="Moderado"),CONCATENATE("R2C",'Mapa final'!$R$35),"")</f>
        <v/>
      </c>
      <c r="AB55" s="55" t="str">
        <f>IF(AND('Mapa final'!$AH$36="Muy Baja",'Mapa final'!$AJ$36="Moderado"),CONCATENATE("R2C",'Mapa final'!$R$36),"")</f>
        <v/>
      </c>
      <c r="AC55" s="38" t="str">
        <f>IF(AND('Mapa final'!$AH$31="Muy Baja",'Mapa final'!$AJ$31="Mayor"),CONCATENATE("R2C",'Mapa final'!$R$31),"")</f>
        <v/>
      </c>
      <c r="AD55" s="39" t="str">
        <f>IF(AND('Mapa final'!$AH$32="Muy Baja",'Mapa final'!$AJ$32="Mayor"),CONCATENATE("R2C",'Mapa final'!$R$32),"")</f>
        <v/>
      </c>
      <c r="AE55" s="39" t="str">
        <f>IF(AND('Mapa final'!$AH$33="Muy Baja",'Mapa final'!$AJ$33="Mayor"),CONCATENATE("R2C",'Mapa final'!$R$33),"")</f>
        <v/>
      </c>
      <c r="AF55" s="39" t="str">
        <f>IF(AND('Mapa final'!$AH$34="Muy Baja",'Mapa final'!$AJ$34="Mayor"),CONCATENATE("R2C",'Mapa final'!$R$34),"")</f>
        <v/>
      </c>
      <c r="AG55" s="39" t="str">
        <f>IF(AND('Mapa final'!$AH$35="Muy Baja",'Mapa final'!$AJ$35="Mayor"),CONCATENATE("R2C",'Mapa final'!$R$35),"")</f>
        <v/>
      </c>
      <c r="AH55" s="40" t="str">
        <f>IF(AND('Mapa final'!$AH$36="Muy Baja",'Mapa final'!$AJ$36="Mayor"),CONCATENATE("R2C",'Mapa final'!$R$36),"")</f>
        <v/>
      </c>
      <c r="AI55" s="41" t="str">
        <f>IF(AND('Mapa final'!$AH$31="Muy Baja",'Mapa final'!$AJ$31="Catastrófico"),CONCATENATE("R2C",'Mapa final'!$R$31),"")</f>
        <v/>
      </c>
      <c r="AJ55" s="42" t="str">
        <f>IF(AND('Mapa final'!$AH$32="Muy Baja",'Mapa final'!$AJ$32="Catastrófico"),CONCATENATE("R2C",'Mapa final'!$R$32),"")</f>
        <v/>
      </c>
      <c r="AK55" s="42" t="str">
        <f>IF(AND('Mapa final'!$AH$33="Muy Baja",'Mapa final'!$AJ$33="Catastrófico"),CONCATENATE("R2C",'Mapa final'!$R$33),"")</f>
        <v/>
      </c>
      <c r="AL55" s="42" t="str">
        <f>IF(AND('Mapa final'!$AH$34="Muy Baja",'Mapa final'!$AJ$34="Catastrófico"),CONCATENATE("R2C",'Mapa final'!$R$34),"")</f>
        <v/>
      </c>
      <c r="AM55" s="42" t="str">
        <f>IF(AND('Mapa final'!$AH$35="Muy Baja",'Mapa final'!$AJ$35="LCatastrófico"),CONCATENATE("R2C",'Mapa final'!$R$35),"")</f>
        <v/>
      </c>
      <c r="AN55" s="43" t="str">
        <f>IF(AND('Mapa final'!$AH$36="Muy Baja",'Mapa final'!$AJ$36="Catastrófico"),CONCATENATE("R2C",'Mapa final'!$R$36),"")</f>
        <v/>
      </c>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246"/>
      <c r="BM55" s="246"/>
      <c r="BN55" s="246"/>
      <c r="BO55" s="246"/>
      <c r="BP55" s="246"/>
      <c r="BQ55" s="246"/>
      <c r="BR55" s="68"/>
      <c r="BS55" s="68"/>
      <c r="BT55" s="68"/>
      <c r="BU55" s="68"/>
      <c r="BV55" s="68"/>
      <c r="BW55" s="68"/>
      <c r="BX55" s="68"/>
      <c r="BY55" s="68"/>
      <c r="BZ55" s="68"/>
      <c r="CA55" s="68"/>
      <c r="CB55" s="68"/>
      <c r="CC55" s="68"/>
    </row>
    <row r="56" spans="2:81" ht="82" customHeight="1">
      <c r="B56" s="68"/>
      <c r="C56" s="429"/>
      <c r="D56" s="429"/>
      <c r="E56" s="430"/>
      <c r="F56" s="519"/>
      <c r="G56" s="520"/>
      <c r="H56" s="520"/>
      <c r="I56" s="520"/>
      <c r="J56" s="521"/>
      <c r="K56" s="62" t="str">
        <f>IF(AND('Mapa final'!$AH$37="Muy Baja",'Mapa final'!$AJ$37="Leve"),CONCATENATE("R2C",'Mapa final'!$R$37),"")</f>
        <v/>
      </c>
      <c r="L56" s="63" t="str">
        <f>IF(AND('Mapa final'!$AH$38="Muy Baja",'Mapa final'!$AJ$38="Leve"),CONCATENATE("R2C",'Mapa final'!$R$38),"")</f>
        <v/>
      </c>
      <c r="M56" s="63" t="str">
        <f>IF(AND('Mapa final'!$AH$39="Muy Baja",'Mapa final'!$AJ$39="Leve"),CONCATENATE("R2C",'Mapa final'!$R$39),"")</f>
        <v/>
      </c>
      <c r="N56" s="54" t="e">
        <f>IF(AND('Mapa final'!#REF!="Alta",'Mapa final'!#REF!="Leve"),CONCATENATE("R2C",'Mapa final'!#REF!),"")</f>
        <v>#REF!</v>
      </c>
      <c r="O56" s="63" t="str">
        <f>IF(AND('Mapa final'!$AH$41="Muy Baja",'Mapa final'!$AJ$41="Leve"),CONCATENATE("R2C",'Mapa final'!$R$41),"")</f>
        <v/>
      </c>
      <c r="P56" s="64" t="str">
        <f>IF(AND('Mapa final'!$AH$42="Muy Baja",'Mapa final'!$AJ$42="Leve"),CONCATENATE("R2C",'Mapa final'!$R$42),"")</f>
        <v/>
      </c>
      <c r="Q56" s="62" t="str">
        <f>IF(AND('Mapa final'!$AH$37="Muy Baja",'Mapa final'!$AJ$37="Menor"),CONCATENATE("R2C",'Mapa final'!$R$37),"")</f>
        <v/>
      </c>
      <c r="R56" s="63" t="str">
        <f>IF(AND('Mapa final'!$AH$38="Muy Baja",'Mapa final'!$AJ$38="Menor"),CONCATENATE("R2C",'Mapa final'!$R$38),"")</f>
        <v/>
      </c>
      <c r="S56" s="63" t="str">
        <f>IF(AND('Mapa final'!$AH$39="Muy Baja",'Mapa final'!$AJ$39="Menor"),CONCATENATE("R2C",'Mapa final'!$R$39),"")</f>
        <v/>
      </c>
      <c r="T56" s="63" t="str">
        <f>IF(AND('Mapa final'!$AH$40="Muy Baja",'Mapa final'!$AJ$40="Menor"),CONCATENATE("R2C",'Mapa final'!$R$40),"")</f>
        <v/>
      </c>
      <c r="U56" s="63" t="str">
        <f>IF(AND('Mapa final'!$AH$41="Muy Baja",'Mapa final'!$AJ$41="Menor"),CONCATENATE("R2C",'Mapa final'!$R$41),"")</f>
        <v/>
      </c>
      <c r="V56" s="64" t="str">
        <f>IF(AND('Mapa final'!$AH$42="Muy Baja",'Mapa final'!$AJ$42="Menor"),CONCATENATE("R2C",'Mapa final'!$R$42),"")</f>
        <v/>
      </c>
      <c r="W56" s="53" t="str">
        <f>IF(AND('Mapa final'!$AH$37="Muy Baja",'Mapa final'!$AJ$37="Moderado"),CONCATENATE("R2C",'Mapa final'!$R$37),"")</f>
        <v/>
      </c>
      <c r="X56" s="54" t="str">
        <f>IF(AND('Mapa final'!$AH$38="Muy Baja",'Mapa final'!$AJ$38="Moderado"),CONCATENATE("R2C",'Mapa final'!$R$38),"")</f>
        <v/>
      </c>
      <c r="Y56" s="54" t="str">
        <f>IF(AND('Mapa final'!$AH$39="Muy Baja",'Mapa final'!$AJ$39="Moderado"),CONCATENATE("R2C",'Mapa final'!$R$39),"")</f>
        <v/>
      </c>
      <c r="Z56" s="54" t="str">
        <f>IF(AND('Mapa final'!$AH$40="Muy Baja",'Mapa final'!$AJ$40="Moderado"),CONCATENATE("R2C",'Mapa final'!$R$40),"")</f>
        <v/>
      </c>
      <c r="AA56" s="54" t="str">
        <f>IF(AND('Mapa final'!$AH$41="Muy Baja",'Mapa final'!$AJ$41="Moderado"),CONCATENATE("R2C",'Mapa final'!$R$41),"")</f>
        <v/>
      </c>
      <c r="AB56" s="55" t="str">
        <f>IF(AND('Mapa final'!$AH$42="Muy Baja",'Mapa final'!$AJ$42="Moderado"),CONCATENATE("R2C",'Mapa final'!$R$42),"")</f>
        <v/>
      </c>
      <c r="AC56" s="38" t="str">
        <f>IF(AND('Mapa final'!$AH$37="Muy Baja",'Mapa final'!$AJ$37="Mayor"),CONCATENATE("R2C",'Mapa final'!$R$37),"")</f>
        <v/>
      </c>
      <c r="AD56" s="39" t="str">
        <f>IF(AND('Mapa final'!$AH$38="Muy Baja",'Mapa final'!$AJ$38="Mayor"),CONCATENATE("R2C",'Mapa final'!$R$38),"")</f>
        <v/>
      </c>
      <c r="AE56" s="39" t="str">
        <f>IF(AND('Mapa final'!$AH$39="Muy Baja",'Mapa final'!$AJ$39="Mayor"),CONCATENATE("R2C",'Mapa final'!$R$39),"")</f>
        <v/>
      </c>
      <c r="AF56" s="39" t="str">
        <f>IF(AND('Mapa final'!$AH$40="Muy Baja",'Mapa final'!$AJ$40="Mayor"),CONCATENATE("R2C",'Mapa final'!$R$40),"")</f>
        <v/>
      </c>
      <c r="AG56" s="39" t="str">
        <f>IF(AND('Mapa final'!$AH$41="Muy Baja",'Mapa final'!$AJ$41="Mayor"),CONCATENATE("R2C",'Mapa final'!$R$41),"")</f>
        <v/>
      </c>
      <c r="AH56" s="40" t="str">
        <f>IF(AND('Mapa final'!$AH$42="Muy Baja",'Mapa final'!$AJ$42="Mayor"),CONCATENATE("R2C",'Mapa final'!$R$42),"")</f>
        <v/>
      </c>
      <c r="AI56" s="41" t="str">
        <f>IF(AND('Mapa final'!$AH$37="Muy Baja",'Mapa final'!$AJ$37="Catastrófico"),CONCATENATE("R2C",'Mapa final'!$R$37),"")</f>
        <v/>
      </c>
      <c r="AJ56" s="42" t="str">
        <f>IF(AND('Mapa final'!$AH$38="Muy Baja",'Mapa final'!$AJ$38="Catastrófico"),CONCATENATE("R2C",'Mapa final'!$R$38),"")</f>
        <v/>
      </c>
      <c r="AK56" s="42" t="str">
        <f>IF(AND('Mapa final'!$AH$39="Muy Baja",'Mapa final'!$AJ$39="Catastrófico"),CONCATENATE("R2C",'Mapa final'!$R$39),"")</f>
        <v/>
      </c>
      <c r="AL56" s="42" t="str">
        <f>IF(AND('Mapa final'!$AH$40="Muy Baja",'Mapa final'!$AJ$40="Catastrófico"),CONCATENATE("R2C",'Mapa final'!$R$40),"")</f>
        <v/>
      </c>
      <c r="AM56" s="42" t="str">
        <f>IF(AND('Mapa final'!$AH$41="Muy Baja",'Mapa final'!$AJ$41="Catastrófico"),CONCATENATE("R2C",'Mapa final'!$R$41),"")</f>
        <v/>
      </c>
      <c r="AN56" s="43" t="str">
        <f>IF(AND('Mapa final'!$AH$42="Muy Baja",'Mapa final'!$AJ$42="Catastrófico"),CONCATENATE("R2C",'Mapa final'!$R$42),"")</f>
        <v/>
      </c>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246"/>
      <c r="BM56" s="246"/>
      <c r="BN56" s="246"/>
      <c r="BO56" s="246"/>
      <c r="BP56" s="246"/>
      <c r="BQ56" s="246"/>
      <c r="BR56" s="68"/>
      <c r="BS56" s="68"/>
      <c r="BT56" s="68"/>
      <c r="BU56" s="68"/>
      <c r="BV56" s="68"/>
      <c r="BW56" s="68"/>
      <c r="BX56" s="68"/>
      <c r="BY56" s="68"/>
      <c r="BZ56" s="68"/>
      <c r="CA56" s="68"/>
      <c r="CB56" s="68"/>
      <c r="CC56" s="68"/>
    </row>
    <row r="57" spans="2:81" ht="82" customHeight="1">
      <c r="B57" s="68"/>
      <c r="C57" s="429"/>
      <c r="D57" s="429"/>
      <c r="E57" s="430"/>
      <c r="F57" s="519"/>
      <c r="G57" s="520"/>
      <c r="H57" s="520"/>
      <c r="I57" s="520"/>
      <c r="J57" s="521"/>
      <c r="K57" s="62" t="str">
        <f>IF(AND('Mapa final'!$AH$43="Muy Baja",'Mapa final'!$AJ$43="Leve"),CONCATENATE("R2C",'Mapa final'!$R$43),"")</f>
        <v/>
      </c>
      <c r="L57" s="63" t="str">
        <f>IF(AND('Mapa final'!$AH$44="Muy Baja",'Mapa final'!$AJ$44="Leve"),CONCATENATE("R2C",'Mapa final'!$R$44),"")</f>
        <v/>
      </c>
      <c r="M57" s="63" t="str">
        <f>IF(AND('Mapa final'!$AH$45="Muy Baja",'Mapa final'!$AJ$45="Leve"),CONCATENATE("R2C",'Mapa final'!$R$45),"")</f>
        <v/>
      </c>
      <c r="N57" s="54" t="e">
        <f>IF(AND('Mapa final'!#REF!="Alta",'Mapa final'!#REF!="Leve"),CONCATENATE("R2C",'Mapa final'!#REF!),"")</f>
        <v>#REF!</v>
      </c>
      <c r="O57" s="63" t="str">
        <f>IF(AND('Mapa final'!$AH$47="Muy Baja",'Mapa final'!$AJ$47="Leve"),CONCATENATE("R2C",'Mapa final'!$R$47),"")</f>
        <v/>
      </c>
      <c r="P57" s="64" t="str">
        <f>IF(AND('Mapa final'!$AH$58="Muy Baja",'Mapa final'!$AJ$48="Leve"),CONCATENATE("R2C",'Mapa final'!$R$48),"")</f>
        <v/>
      </c>
      <c r="Q57" s="62" t="str">
        <f>IF(AND('Mapa final'!$AH$43="Muy Baja",'Mapa final'!$AJ$43="Menor"),CONCATENATE("R2C",'Mapa final'!$R$43),"")</f>
        <v/>
      </c>
      <c r="R57" s="63" t="str">
        <f>IF(AND('Mapa final'!$AH$44="Muy Baja",'Mapa final'!$AJ$44="Menor"),CONCATENATE("R2C",'Mapa final'!$R$44),"")</f>
        <v/>
      </c>
      <c r="S57" s="63" t="str">
        <f>IF(AND('Mapa final'!$AH$45="Muy Baja",'Mapa final'!$AJ$45="Menor"),CONCATENATE("R2C",'Mapa final'!$R$45),"")</f>
        <v/>
      </c>
      <c r="T57" s="63" t="str">
        <f>IF(AND('Mapa final'!$AH$46="Muy Baja",'Mapa final'!$AJ$46="Menor"),CONCATENATE("R2C",'Mapa final'!$R$46),"")</f>
        <v/>
      </c>
      <c r="U57" s="63" t="str">
        <f>IF(AND('Mapa final'!$AH$47="Muy Baja",'Mapa final'!$AJ$47="Menor"),CONCATENATE("R2C",'Mapa final'!$R$47),"")</f>
        <v/>
      </c>
      <c r="V57" s="64" t="str">
        <f>IF(AND('Mapa final'!$AH$58="Muy Baja",'Mapa final'!$AJ$48="Menor"),CONCATENATE("R2C",'Mapa final'!$R$48),"")</f>
        <v/>
      </c>
      <c r="W57" s="53" t="str">
        <f>IF(AND('Mapa final'!$AH$43="Muy Baja",'Mapa final'!$AJ$43="Moderado"),CONCATENATE("R2C",'Mapa final'!$R$43),"")</f>
        <v/>
      </c>
      <c r="X57" s="54" t="str">
        <f>IF(AND('Mapa final'!$AH$44="Muy Baja",'Mapa final'!$AJ$44="Moderado"),CONCATENATE("R2C",'Mapa final'!$R$44),"")</f>
        <v/>
      </c>
      <c r="Y57" s="54" t="str">
        <f>IF(AND('Mapa final'!$AH$45="Muy Baja",'Mapa final'!$AJ$45="Moderado"),CONCATENATE("R2C",'Mapa final'!$R$45),"")</f>
        <v/>
      </c>
      <c r="Z57" s="54" t="str">
        <f>IF(AND('Mapa final'!$AH$46="Muy Baja",'Mapa final'!$AJ$46="Moderado"),CONCATENATE("R2C",'Mapa final'!$R$46),"")</f>
        <v/>
      </c>
      <c r="AA57" s="54" t="str">
        <f>IF(AND('Mapa final'!$AH$47="Muy Baja",'Mapa final'!$AJ$47="Moderado"),CONCATENATE("R2C",'Mapa final'!$R$47),"")</f>
        <v/>
      </c>
      <c r="AB57" s="55" t="str">
        <f>IF(AND('Mapa final'!$AH$58="Muy Baja",'Mapa final'!$AJ$48="Moderado"),CONCATENATE("R2C",'Mapa final'!$R$48),"")</f>
        <v/>
      </c>
      <c r="AC57" s="38" t="str">
        <f>IF(AND('Mapa final'!$AH$43="Muy Baja",'Mapa final'!$AJ$43="Mayor"),CONCATENATE("R2C",'Mapa final'!$R$43),"")</f>
        <v/>
      </c>
      <c r="AD57" s="39" t="str">
        <f>IF(AND('Mapa final'!$AH$44="Muy Baja",'Mapa final'!$AJ$44="Mayor"),CONCATENATE("R2C",'Mapa final'!$R$44),"")</f>
        <v/>
      </c>
      <c r="AE57" s="39" t="str">
        <f>IF(AND('Mapa final'!$AH$45="Muy Baja",'Mapa final'!$AJ$45="Mayor"),CONCATENATE("R2C",'Mapa final'!$R$45),"")</f>
        <v/>
      </c>
      <c r="AF57" s="39" t="str">
        <f>IF(AND('Mapa final'!$AH$46="Muy Baja",'Mapa final'!$AJ$46="Mayor"),CONCATENATE("R2C",'Mapa final'!$R$46),"")</f>
        <v/>
      </c>
      <c r="AG57" s="39" t="str">
        <f>IF(AND('Mapa final'!$AH$47="Muy Baja",'Mapa final'!$AJ$47="Mayor"),CONCATENATE("R2C",'Mapa final'!$R$47),"")</f>
        <v/>
      </c>
      <c r="AH57" s="40" t="str">
        <f>IF(AND('Mapa final'!$AH$58="Muy Baja",'Mapa final'!$AJ$48="Mayor"),CONCATENATE("R2C",'Mapa final'!$R$48),"")</f>
        <v/>
      </c>
      <c r="AI57" s="41" t="str">
        <f>IF(AND('Mapa final'!$AH$43="Muy Baja",'Mapa final'!$AJ$43="Catastrófico"),CONCATENATE("R2C",'Mapa final'!$R$43),"")</f>
        <v/>
      </c>
      <c r="AJ57" s="42" t="str">
        <f>IF(AND('Mapa final'!$AH$44="Muy Baja",'Mapa final'!$AJ$44="Catastrófico"),CONCATENATE("R2C",'Mapa final'!$R$44),"")</f>
        <v/>
      </c>
      <c r="AK57" s="42" t="str">
        <f>IF(AND('Mapa final'!$AH$45="Muy Baja",'Mapa final'!$AJ$45="Catastrófico"),CONCATENATE("R2C",'Mapa final'!$R$45),"")</f>
        <v/>
      </c>
      <c r="AL57" s="42" t="str">
        <f>IF(AND('Mapa final'!$AH$46="Muy Baja",'Mapa final'!$AJ$46="Catastrófico"),CONCATENATE("R2C",'Mapa final'!$R$46),"")</f>
        <v/>
      </c>
      <c r="AM57" s="42" t="str">
        <f>IF(AND('Mapa final'!$AH$47="Muy Baja",'Mapa final'!$AJ$47="Catastrófico"),CONCATENATE("R2C",'Mapa final'!$R$47),"")</f>
        <v/>
      </c>
      <c r="AN57" s="43" t="str">
        <f>IF(AND('Mapa final'!$AH$58="Muy Baja",'Mapa final'!$AJ$48="Catastrófico"),CONCATENATE("R2C",'Mapa final'!$R$48),"")</f>
        <v/>
      </c>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246"/>
      <c r="BM57" s="246"/>
      <c r="BN57" s="246"/>
      <c r="BO57" s="246"/>
      <c r="BP57" s="246"/>
      <c r="BQ57" s="246"/>
      <c r="BR57" s="68"/>
      <c r="BS57" s="68"/>
      <c r="BT57" s="68"/>
      <c r="BU57" s="68"/>
      <c r="BV57" s="68"/>
      <c r="BW57" s="68"/>
      <c r="BX57" s="68"/>
      <c r="BY57" s="68"/>
      <c r="BZ57" s="68"/>
      <c r="CA57" s="68"/>
      <c r="CB57" s="68"/>
      <c r="CC57" s="68"/>
    </row>
    <row r="58" spans="2:81" ht="57" customHeight="1">
      <c r="B58" s="68"/>
      <c r="C58" s="429"/>
      <c r="D58" s="429"/>
      <c r="E58" s="430"/>
      <c r="F58" s="519"/>
      <c r="G58" s="520"/>
      <c r="H58" s="520"/>
      <c r="I58" s="520"/>
      <c r="J58" s="521"/>
      <c r="K58" s="62" t="str">
        <f>IF(AND('Mapa final'!$AH$49="Muy Baja",'Mapa final'!$AJ$49="Leve"),CONCATENATE("R2C",'Mapa final'!$R$49),"")</f>
        <v/>
      </c>
      <c r="L58" s="63" t="str">
        <f>IF(AND('Mapa final'!$AH$50="Muy Baja",'Mapa final'!$AJ$50="Leve"),CONCATENATE("R2C",'Mapa final'!$R$50),"")</f>
        <v/>
      </c>
      <c r="M58" s="63" t="str">
        <f>IF(AND('Mapa final'!$AH$51="Muy Baja",'Mapa final'!$AJ$51="Leve"),CONCATENATE("R2C",'Mapa final'!$R$51),"")</f>
        <v/>
      </c>
      <c r="N58" s="54" t="e">
        <f>IF(AND('Mapa final'!#REF!="Alta",'Mapa final'!#REF!="Leve"),CONCATENATE("R2C",'Mapa final'!#REF!),"")</f>
        <v>#REF!</v>
      </c>
      <c r="O58" s="63" t="str">
        <f>IF(AND('Mapa final'!$AH$53="Muy Baja",'Mapa final'!$AJ$53="Leve"),CONCATENATE("R2C",'Mapa final'!$R$53),"")</f>
        <v/>
      </c>
      <c r="P58" s="64" t="str">
        <f>IF(AND('Mapa final'!$AH$54="Muy Baja",'Mapa final'!$AJ$54="Leve"),CONCATENATE("R2C",'Mapa final'!$R$54),"")</f>
        <v/>
      </c>
      <c r="Q58" s="62" t="str">
        <f>IF(AND('Mapa final'!$AH$49="Muy Baja",'Mapa final'!$AJ$49="Menor"),CONCATENATE("R2C",'Mapa final'!$R$49),"")</f>
        <v/>
      </c>
      <c r="R58" s="63" t="str">
        <f>IF(AND('Mapa final'!$AH$50="Muy Baja",'Mapa final'!$AJ$50="Menor"),CONCATENATE("R2C",'Mapa final'!$R$50),"")</f>
        <v/>
      </c>
      <c r="S58" s="63" t="str">
        <f>IF(AND('Mapa final'!$AH$51="Muy Baja",'Mapa final'!$AJ$51="Menor"),CONCATENATE("R2C",'Mapa final'!$R$51),"")</f>
        <v/>
      </c>
      <c r="T58" s="63" t="str">
        <f>IF(AND('Mapa final'!$AH$52="Muy Baja",'Mapa final'!$AJ$52="Menor"),CONCATENATE("R2C",'Mapa final'!$R$52),"")</f>
        <v/>
      </c>
      <c r="U58" s="63" t="str">
        <f>IF(AND('Mapa final'!$AH$53="Muy Baja",'Mapa final'!$AJ$53="Menor"),CONCATENATE("R2C",'Mapa final'!$R$53),"")</f>
        <v/>
      </c>
      <c r="V58" s="64" t="str">
        <f>IF(AND('Mapa final'!$AH$54="Muy Baja",'Mapa final'!$AJ$54="Menor"),CONCATENATE("R2C",'Mapa final'!$R$54),"")</f>
        <v/>
      </c>
      <c r="W58" s="53" t="str">
        <f>IF(AND('Mapa final'!$AH$49="Muy Baja",'Mapa final'!$AJ$49="Moderado"),CONCATENATE("R2C",'Mapa final'!$R$49),"")</f>
        <v/>
      </c>
      <c r="X58" s="54" t="str">
        <f>IF(AND('Mapa final'!$AH$50="Muy Baja",'Mapa final'!$AJ$50="Moderado"),CONCATENATE("R2C",'Mapa final'!$R$50),"")</f>
        <v/>
      </c>
      <c r="Y58" s="54" t="str">
        <f>IF(AND('Mapa final'!$AH$51="Muy Baja",'Mapa final'!$AJ$51="Moderado"),CONCATENATE("R2C",'Mapa final'!$R$51),"")</f>
        <v/>
      </c>
      <c r="Z58" s="54" t="str">
        <f>IF(AND('Mapa final'!$AH$52="Muy Baja",'Mapa final'!$AJ$52="Moderado"),CONCATENATE("R2C",'Mapa final'!$R$52),"")</f>
        <v/>
      </c>
      <c r="AA58" s="54" t="str">
        <f>IF(AND('Mapa final'!$AH$53="Muy Baja",'Mapa final'!$AJ$53="Moderado"),CONCATENATE("R2C",'Mapa final'!$R$53),"")</f>
        <v/>
      </c>
      <c r="AB58" s="55" t="str">
        <f>IF(AND('Mapa final'!$AH$54="Muy Baja",'Mapa final'!$AJ$54="Moderado"),CONCATENATE("R2C",'Mapa final'!$R$54),"")</f>
        <v/>
      </c>
      <c r="AC58" s="38" t="str">
        <f>IF(AND('Mapa final'!$AH$49="Muy Baja",'Mapa final'!$AJ$49="Mayor"),CONCATENATE("R2C",'Mapa final'!$R$49),"")</f>
        <v/>
      </c>
      <c r="AD58" s="39" t="str">
        <f>IF(AND('Mapa final'!$AH$50="Muy Baja",'Mapa final'!$AJ$50="Mayor"),CONCATENATE("R2C",'Mapa final'!$R$50),"")</f>
        <v/>
      </c>
      <c r="AE58" s="39" t="str">
        <f>IF(AND('Mapa final'!$AH$51="Muy Baja",'Mapa final'!$AJ$51="Mayor"),CONCATENATE("R2C",'Mapa final'!$R$51),"")</f>
        <v/>
      </c>
      <c r="AF58" s="39" t="str">
        <f>IF(AND('Mapa final'!$AH$52="Muy Baja",'Mapa final'!$AJ$52="Mayor"),CONCATENATE("R2C",'Mapa final'!$R$52),"")</f>
        <v/>
      </c>
      <c r="AG58" s="39" t="str">
        <f>IF(AND('Mapa final'!$AH$53="Muy Baja",'Mapa final'!$AJ$53="Mayor"),CONCATENATE("R2C",'Mapa final'!$R$53),"")</f>
        <v/>
      </c>
      <c r="AH58" s="40" t="str">
        <f>IF(AND('Mapa final'!$AH$54="Muy Baja",'Mapa final'!$AJ$54="Mayor"),CONCATENATE("R2C",'Mapa final'!$R$54),"")</f>
        <v/>
      </c>
      <c r="AI58" s="41" t="str">
        <f>IF(AND('Mapa final'!$AH$49="Muy Baja",'Mapa final'!$AJ$49="Catastrófico"),CONCATENATE("R2C",'Mapa final'!$R$49),"")</f>
        <v/>
      </c>
      <c r="AJ58" s="42" t="str">
        <f>IF(AND('Mapa final'!$AH$50="Muy Baja",'Mapa final'!$AJ$50="Catastrófico"),CONCATENATE("R2C",'Mapa final'!$R$50),"")</f>
        <v/>
      </c>
      <c r="AK58" s="42" t="str">
        <f>IF(AND('Mapa final'!$AH$51="Muy Baja",'Mapa final'!$AJ$51="Catastrófico"),CONCATENATE("R2C",'Mapa final'!$R$51),"")</f>
        <v/>
      </c>
      <c r="AL58" s="42" t="str">
        <f>IF(AND('Mapa final'!$AH$52="Muy Baja",'Mapa final'!$AJ$52="Catastrófico"),CONCATENATE("R2C",'Mapa final'!$R$52),"")</f>
        <v/>
      </c>
      <c r="AM58" s="42" t="str">
        <f>IF(AND('Mapa final'!$AH$53="Muy Baja",'Mapa final'!$AJ$53="Catastrófico"),CONCATENATE("R2C",'Mapa final'!$R$53),"")</f>
        <v/>
      </c>
      <c r="AN58" s="43" t="str">
        <f>IF(AND('Mapa final'!$AH$54="Muy Baja",'Mapa final'!$AJ$54="Catastrófico"),CONCATENATE("R2C",'Mapa final'!$R$54),"")</f>
        <v/>
      </c>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246"/>
      <c r="BM58" s="246"/>
      <c r="BN58" s="246"/>
      <c r="BO58" s="246"/>
      <c r="BP58" s="246"/>
      <c r="BQ58" s="246"/>
      <c r="BR58" s="68"/>
      <c r="BS58" s="68"/>
      <c r="BT58" s="68"/>
      <c r="BU58" s="68"/>
      <c r="BV58" s="68"/>
      <c r="BW58" s="68"/>
      <c r="BX58" s="68"/>
      <c r="BY58" s="68"/>
      <c r="BZ58" s="68"/>
      <c r="CA58" s="68"/>
      <c r="CB58" s="68"/>
      <c r="CC58" s="68"/>
    </row>
    <row r="59" spans="2:81" ht="15" customHeight="1">
      <c r="B59" s="68"/>
      <c r="C59" s="429"/>
      <c r="D59" s="429"/>
      <c r="E59" s="430"/>
      <c r="F59" s="519"/>
      <c r="G59" s="520"/>
      <c r="H59" s="520"/>
      <c r="I59" s="520"/>
      <c r="J59" s="521"/>
      <c r="K59" s="62" t="str">
        <f>IF(AND('Mapa final'!$AH$55="Muy Baja",'Mapa final'!$AJ$55="Leve"),CONCATENATE("R2C",'Mapa final'!$R$55),"")</f>
        <v/>
      </c>
      <c r="L59" s="63" t="str">
        <f>IF(AND('Mapa final'!$AH$56="Muy Baja",'Mapa final'!$AJ$56="Leve"),CONCATENATE("R2C",'Mapa final'!$R$56),"")</f>
        <v/>
      </c>
      <c r="M59" s="63" t="str">
        <f>IF(AND('Mapa final'!$AH$57="Muy Baja",'Mapa final'!$AJ$57="Leve"),CONCATENATE("R2C",'Mapa final'!$R$57),"")</f>
        <v/>
      </c>
      <c r="N59" s="54" t="e">
        <f>IF(AND('Mapa final'!#REF!="Alta",'Mapa final'!#REF!="Leve"),CONCATENATE("R2C",'Mapa final'!#REF!),"")</f>
        <v>#REF!</v>
      </c>
      <c r="O59" s="63" t="str">
        <f>IF(AND('Mapa final'!$AH$59="Muy Baja",'Mapa final'!$AJ$59="Leve"),CONCATENATE("R2C",'Mapa final'!$R$59),"")</f>
        <v/>
      </c>
      <c r="P59" s="64" t="str">
        <f>IF(AND('Mapa final'!$AH$60="Muy Baja",'Mapa final'!$AJ$60="Leve"),CONCATENATE("R2C",'Mapa final'!$R$60),"")</f>
        <v/>
      </c>
      <c r="Q59" s="62" t="str">
        <f>IF(AND('Mapa final'!$AH$55="Muy Baja",'Mapa final'!$AJ$55="Menor"),CONCATENATE("R2C",'Mapa final'!$R$55),"")</f>
        <v/>
      </c>
      <c r="R59" s="63" t="str">
        <f>IF(AND('Mapa final'!$AH$56="Muy Baja",'Mapa final'!$AJ$56="Menor"),CONCATENATE("R2C",'Mapa final'!$R$56),"")</f>
        <v/>
      </c>
      <c r="S59" s="63" t="str">
        <f>IF(AND('Mapa final'!$AH$57="Muy Baja",'Mapa final'!$AJ$57="Menor"),CONCATENATE("R2C",'Mapa final'!$R$57),"")</f>
        <v/>
      </c>
      <c r="T59" s="63" t="str">
        <f>IF(AND('Mapa final'!$AH$58="Muy Baja",'Mapa final'!$AJ$58="Menor"),CONCATENATE("R2C",'Mapa final'!$R$58),"")</f>
        <v/>
      </c>
      <c r="U59" s="63" t="str">
        <f>IF(AND('Mapa final'!$AH$59="Muy Baja",'Mapa final'!$AJ$59="Menor"),CONCATENATE("R2C",'Mapa final'!$R$59),"")</f>
        <v/>
      </c>
      <c r="V59" s="64" t="str">
        <f>IF(AND('Mapa final'!$AH$60="Muy Baja",'Mapa final'!$AJ$60="Menor"),CONCATENATE("R2C",'Mapa final'!$R$60),"")</f>
        <v/>
      </c>
      <c r="W59" s="53" t="str">
        <f>IF(AND('Mapa final'!$AH$55="Muy Baja",'Mapa final'!$AJ$55="Moderado"),CONCATENATE("R2C",'Mapa final'!$R$55),"")</f>
        <v/>
      </c>
      <c r="X59" s="54" t="str">
        <f>IF(AND('Mapa final'!$AH$56="Muy Baja",'Mapa final'!$AJ$56="Moderado"),CONCATENATE("R2C",'Mapa final'!$R$56),"")</f>
        <v/>
      </c>
      <c r="Y59" s="54" t="str">
        <f>IF(AND('Mapa final'!$AH$57="Muy Baja",'Mapa final'!$AJ$57="Moderado"),CONCATENATE("R2C",'Mapa final'!$R$57),"")</f>
        <v/>
      </c>
      <c r="Z59" s="54" t="str">
        <f>IF(AND('Mapa final'!$AH$58="Muy Baja",'Mapa final'!$AJ$58="Moderado"),CONCATENATE("R2C",'Mapa final'!$R$58),"")</f>
        <v/>
      </c>
      <c r="AA59" s="54" t="str">
        <f>IF(AND('Mapa final'!$AH$59="Muy Baja",'Mapa final'!$AJ$59="Moderado"),CONCATENATE("R2C",'Mapa final'!$R$59),"")</f>
        <v/>
      </c>
      <c r="AB59" s="55" t="str">
        <f>IF(AND('Mapa final'!$AH$60="Muy Baja",'Mapa final'!$AJ$60="Moderado"),CONCATENATE("R2C",'Mapa final'!$R$60),"")</f>
        <v/>
      </c>
      <c r="AC59" s="38" t="str">
        <f>IF(AND('Mapa final'!$AH$55="Muy Baja",'Mapa final'!$AJ$55="Mayor"),CONCATENATE("R2C",'Mapa final'!$R$55),"")</f>
        <v/>
      </c>
      <c r="AD59" s="39" t="str">
        <f>IF(AND('Mapa final'!$AH$56="Muy Baja",'Mapa final'!$AJ$56="Mayor"),CONCATENATE("R2C",'Mapa final'!$R$56),"")</f>
        <v/>
      </c>
      <c r="AE59" s="39" t="str">
        <f>IF(AND('Mapa final'!$AH$57="Muy Baja",'Mapa final'!$AJ$57="Mayor"),CONCATENATE("R2C",'Mapa final'!$R$57),"")</f>
        <v/>
      </c>
      <c r="AF59" s="39" t="str">
        <f>IF(AND('Mapa final'!$AH$58="Muy Baja",'Mapa final'!$AJ$58="Mayor"),CONCATENATE("R2C",'Mapa final'!$R$58),"")</f>
        <v/>
      </c>
      <c r="AG59" s="39" t="str">
        <f>IF(AND('Mapa final'!$AH$59="Muy Baja",'Mapa final'!$AJ$59="Mayor"),CONCATENATE("R2C",'Mapa final'!$R$59),"")</f>
        <v/>
      </c>
      <c r="AH59" s="40" t="str">
        <f>IF(AND('Mapa final'!$AH$60="Muy Baja",'Mapa final'!$AJ$60="Mayor"),CONCATENATE("R2C",'Mapa final'!$R$60),"")</f>
        <v/>
      </c>
      <c r="AI59" s="41" t="str">
        <f>IF(AND('Mapa final'!$AH$55="Muy Baja",'Mapa final'!$AJ$55="Catastrófico"),CONCATENATE("R2C",'Mapa final'!$R$55),"")</f>
        <v/>
      </c>
      <c r="AJ59" s="42" t="str">
        <f>IF(AND('Mapa final'!$AH$56="Muy Baja",'Mapa final'!$AJ$56="Catastrófico"),CONCATENATE("R2C",'Mapa final'!$R$56),"")</f>
        <v/>
      </c>
      <c r="AK59" s="42" t="str">
        <f>IF(AND('Mapa final'!$AH$57="Muy Baja",'Mapa final'!$AJ$57="Catastrófico"),CONCATENATE("R2C",'Mapa final'!$R$57),"")</f>
        <v/>
      </c>
      <c r="AL59" s="42" t="str">
        <f>IF(AND('Mapa final'!$AH$58="Muy Baja",'Mapa final'!$AJ$58="Catastrófico"),CONCATENATE("R2C",'Mapa final'!$R$58),"")</f>
        <v/>
      </c>
      <c r="AM59" s="42" t="str">
        <f>IF(AND('Mapa final'!$AH$59="Muy Baja",'Mapa final'!$AJ$59="Catastrófico"),CONCATENATE("R2C",'Mapa final'!$R$59),"")</f>
        <v/>
      </c>
      <c r="AN59" s="43" t="str">
        <f>IF(AND('Mapa final'!$AH$60="Muy Baja",'Mapa final'!$AJ$60="Catastrófico"),CONCATENATE("R2C",'Mapa final'!$R$60),"")</f>
        <v/>
      </c>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row>
    <row r="60" spans="2:81" ht="15" customHeight="1">
      <c r="B60" s="68"/>
      <c r="C60" s="429"/>
      <c r="D60" s="429"/>
      <c r="E60" s="430"/>
      <c r="F60" s="519"/>
      <c r="G60" s="520"/>
      <c r="H60" s="520"/>
      <c r="I60" s="520"/>
      <c r="J60" s="521"/>
      <c r="K60" s="62" t="str">
        <f>IF(AND('Mapa final'!$AH$61="Muy Baja",'Mapa final'!$AJ$61="Leve"),CONCATENATE("R2C",'Mapa final'!$R$61),"")</f>
        <v/>
      </c>
      <c r="L60" s="63" t="str">
        <f>IF(AND('Mapa final'!$AH$62="Muy Baja",'Mapa final'!$AJ$62="Leve"),CONCATENATE("R2C",'Mapa final'!$R$62),"")</f>
        <v/>
      </c>
      <c r="M60" s="63" t="str">
        <f>IF(AND('Mapa final'!$AH$63="Muy Baja",'Mapa final'!$AJ$63="Leve"),CONCATENATE("R2C",'Mapa final'!$R$63),"")</f>
        <v/>
      </c>
      <c r="N60" s="54" t="e">
        <f>IF(AND('Mapa final'!#REF!="Alta",'Mapa final'!#REF!="Leve"),CONCATENATE("R2C",'Mapa final'!#REF!),"")</f>
        <v>#REF!</v>
      </c>
      <c r="O60" s="63" t="str">
        <f>IF(AND('Mapa final'!$AH$65="Muy Baja",'Mapa final'!$AJ$65="Leve"),CONCATENATE("R2C",'Mapa final'!$R$65),"")</f>
        <v/>
      </c>
      <c r="P60" s="64" t="str">
        <f>IF(AND('Mapa final'!$AH$66="Muy Baja",'Mapa final'!$AJ$66="Leve"),CONCATENATE("R2C",'Mapa final'!$R$66),"")</f>
        <v/>
      </c>
      <c r="Q60" s="62" t="str">
        <f>IF(AND('Mapa final'!$AH$61="Muy Baja",'Mapa final'!$AJ$61="Menor"),CONCATENATE("R2C",'Mapa final'!$R$61),"")</f>
        <v/>
      </c>
      <c r="R60" s="63" t="str">
        <f>IF(AND('Mapa final'!$AH$62="Muy Baja",'Mapa final'!$AJ$62="Menor"),CONCATENATE("R2C",'Mapa final'!$R$62),"")</f>
        <v/>
      </c>
      <c r="S60" s="63" t="str">
        <f>IF(AND('Mapa final'!$AH$63="Muy Baja",'Mapa final'!$AJ$63="Menor"),CONCATENATE("R2C",'Mapa final'!$R$63),"")</f>
        <v/>
      </c>
      <c r="T60" s="63" t="str">
        <f>IF(AND('Mapa final'!$AH$64="Muy Baja",'Mapa final'!$AJ$64="Menor"),CONCATENATE("R2C",'Mapa final'!$R$64),"")</f>
        <v/>
      </c>
      <c r="U60" s="63" t="str">
        <f>IF(AND('Mapa final'!$AH$65="Muy Baja",'Mapa final'!$AJ$65="Menor"),CONCATENATE("R2C",'Mapa final'!$R$65),"")</f>
        <v/>
      </c>
      <c r="V60" s="64" t="str">
        <f>IF(AND('Mapa final'!$AH$66="Muy Baja",'Mapa final'!$AJ$66="Menor"),CONCATENATE("R2C",'Mapa final'!$R$66),"")</f>
        <v/>
      </c>
      <c r="W60" s="53" t="str">
        <f>IF(AND('Mapa final'!$AH$61="Muy Baja",'Mapa final'!$AJ$61="Moderado"),CONCATENATE("R2C",'Mapa final'!$R$61),"")</f>
        <v/>
      </c>
      <c r="X60" s="54" t="str">
        <f>IF(AND('Mapa final'!$AH$62="Muy Baja",'Mapa final'!$AJ$62="Moderado"),CONCATENATE("R2C",'Mapa final'!$R$62),"")</f>
        <v/>
      </c>
      <c r="Y60" s="54" t="str">
        <f>IF(AND('Mapa final'!$AH$63="Muy Baja",'Mapa final'!$AJ$63="Moderado"),CONCATENATE("R2C",'Mapa final'!$R$63),"")</f>
        <v/>
      </c>
      <c r="Z60" s="54" t="str">
        <f>IF(AND('Mapa final'!$AH$64="Muy Baja",'Mapa final'!$AJ$64="Moderado"),CONCATENATE("R2C",'Mapa final'!$R$64),"")</f>
        <v/>
      </c>
      <c r="AA60" s="54" t="str">
        <f>IF(AND('Mapa final'!$AH$65="Muy Baja",'Mapa final'!$AJ$65="Moderado"),CONCATENATE("R2C",'Mapa final'!$R$65),"")</f>
        <v/>
      </c>
      <c r="AB60" s="55" t="str">
        <f>IF(AND('Mapa final'!$AH$66="Muy Baja",'Mapa final'!$AJ$66="Moderado"),CONCATENATE("R2C",'Mapa final'!$R$66),"")</f>
        <v/>
      </c>
      <c r="AC60" s="38" t="str">
        <f>IF(AND('Mapa final'!$AH$61="Muy Baja",'Mapa final'!$AJ$61="Mayor"),CONCATENATE("R2C",'Mapa final'!$R$61),"")</f>
        <v/>
      </c>
      <c r="AD60" s="39" t="str">
        <f>IF(AND('Mapa final'!$AH$62="Muy Baja",'Mapa final'!$AJ$62="Mayor"),CONCATENATE("R2C",'Mapa final'!$R$62),"")</f>
        <v/>
      </c>
      <c r="AE60" s="39" t="str">
        <f>IF(AND('Mapa final'!$AH$63="Muy Baja",'Mapa final'!$AJ$63="Mayor"),CONCATENATE("R2C",'Mapa final'!$R$63),"")</f>
        <v/>
      </c>
      <c r="AF60" s="39" t="str">
        <f>IF(AND('Mapa final'!$AH$64="Muy Baja",'Mapa final'!$AJ$64="Mayor"),CONCATENATE("R2C",'Mapa final'!$R$64),"")</f>
        <v/>
      </c>
      <c r="AG60" s="39" t="str">
        <f>IF(AND('Mapa final'!$AH$65="Muy Baja",'Mapa final'!$AJ$65="Mayor"),CONCATENATE("R2C",'Mapa final'!$R$65),"")</f>
        <v/>
      </c>
      <c r="AH60" s="40" t="str">
        <f>IF(AND('Mapa final'!$AH$66="Muy Baja",'Mapa final'!$AJ$66="Mayor"),CONCATENATE("R2C",'Mapa final'!$R$66),"")</f>
        <v/>
      </c>
      <c r="AI60" s="41" t="str">
        <f>IF(AND('Mapa final'!$AH$61="Muy Baja",'Mapa final'!$AJ$61="Catastrófico"),CONCATENATE("R2C",'Mapa final'!$R$61),"")</f>
        <v/>
      </c>
      <c r="AJ60" s="42" t="str">
        <f>IF(AND('Mapa final'!$AH$62="Muy Baja",'Mapa final'!$AJ$62="Catastrófico"),CONCATENATE("R2C",'Mapa final'!$R$62),"")</f>
        <v/>
      </c>
      <c r="AK60" s="42" t="str">
        <f>IF(AND('Mapa final'!$AH$63="Muy Baja",'Mapa final'!$AJ$63="Catastrófico"),CONCATENATE("R2C",'Mapa final'!$R$63),"")</f>
        <v/>
      </c>
      <c r="AL60" s="42" t="str">
        <f>IF(AND('Mapa final'!$AH$64="Muy Baja",'Mapa final'!$AJ$64="Catastrófico"),CONCATENATE("R2C",'Mapa final'!$R$64),"")</f>
        <v/>
      </c>
      <c r="AM60" s="42" t="str">
        <f>IF(AND('Mapa final'!$AH$65="Muy Baja",'Mapa final'!$AJ$65="Catastrófico"),CONCATENATE("R2C",'Mapa final'!$R$65),"")</f>
        <v/>
      </c>
      <c r="AN60" s="43" t="str">
        <f>IF(AND('Mapa final'!$AH$66="Muy Baja",'Mapa final'!$AJ$66="Catastrófico"),CONCATENATE("R2C",'Mapa final'!$R$66),"")</f>
        <v/>
      </c>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row>
    <row r="61" spans="2:81" ht="15.75" customHeight="1" thickBot="1">
      <c r="B61" s="68"/>
      <c r="C61" s="429"/>
      <c r="D61" s="429"/>
      <c r="E61" s="430"/>
      <c r="F61" s="522"/>
      <c r="G61" s="523"/>
      <c r="H61" s="523"/>
      <c r="I61" s="523"/>
      <c r="J61" s="524"/>
      <c r="K61" s="65" t="str">
        <f>IF(AND('Mapa final'!$AH$67="Muy Baja",'Mapa final'!$AJ$67="Leve"),CONCATENATE("R2C",'Mapa final'!$R$67),"")</f>
        <v/>
      </c>
      <c r="L61" s="66" t="str">
        <f>IF(AND('Mapa final'!$AH$68="Muy Baja",'Mapa final'!$AJ$68="Leve"),CONCATENATE("R2C",'Mapa final'!$R$68),"")</f>
        <v/>
      </c>
      <c r="M61" s="66" t="str">
        <f>IF(AND('Mapa final'!$AH$69="Muy Baja",'Mapa final'!$AJ$69="Leve"),CONCATENATE("R2C",'Mapa final'!$R$69),"")</f>
        <v/>
      </c>
      <c r="N61" s="54" t="e">
        <f>IF(AND('Mapa final'!#REF!="Alta",'Mapa final'!#REF!="Leve"),CONCATENATE("R2C",'Mapa final'!#REF!),"")</f>
        <v>#REF!</v>
      </c>
      <c r="O61" s="66" t="str">
        <f>IF(AND('Mapa final'!$AH$72="Muy Baja",'Mapa final'!$AJ$72="Leve"),CONCATENATE("R2C",'Mapa final'!$R$72),"")</f>
        <v/>
      </c>
      <c r="P61" s="67" t="str">
        <f>IF(AND('Mapa final'!$AH$73="Muy Baja",'Mapa final'!$AJ$73="Leve"),CONCATENATE("R2C",'Mapa final'!$R$73),"")</f>
        <v/>
      </c>
      <c r="Q61" s="65" t="str">
        <f>IF(AND('Mapa final'!$AH$67="Muy Baja",'Mapa final'!$AJ$67="Menor"),CONCATENATE("R2C",'Mapa final'!$R$67),"")</f>
        <v/>
      </c>
      <c r="R61" s="66" t="str">
        <f>IF(AND('Mapa final'!$AH$68="Muy Baja",'Mapa final'!$AJ$68="Menor"),CONCATENATE("R2C",'Mapa final'!$R$68),"")</f>
        <v/>
      </c>
      <c r="S61" s="66" t="str">
        <f>IF(AND('Mapa final'!$AH$69="Muy Baja",'Mapa final'!$AJ$69="Menor"),CONCATENATE("R2C",'Mapa final'!$R$69),"")</f>
        <v/>
      </c>
      <c r="T61" s="66" t="str">
        <f>IF(AND('Mapa final'!$AH$70="Muy Baja",'Mapa final'!$AJ$70="Menor"),CONCATENATE("R2C",'Mapa final'!$R$70),"")</f>
        <v/>
      </c>
      <c r="U61" s="66" t="str">
        <f>IF(AND('Mapa final'!$AH$72="Muy Baja",'Mapa final'!$AJ$72="Menor"),CONCATENATE("R2C",'Mapa final'!$R$72),"")</f>
        <v/>
      </c>
      <c r="V61" s="67" t="str">
        <f>IF(AND('Mapa final'!$AH$73="Muy Baja",'Mapa final'!$AJ$73="Menor"),CONCATENATE("R2C",'Mapa final'!$R$73),"")</f>
        <v/>
      </c>
      <c r="W61" s="56" t="str">
        <f>IF(AND('Mapa final'!$AH$67="Muy Baja",'Mapa final'!$AJ$67="Moderado"),CONCATENATE("R2C",'Mapa final'!$R$67),"")</f>
        <v/>
      </c>
      <c r="X61" s="57" t="str">
        <f>IF(AND('Mapa final'!$AH$68="Muy Baja",'Mapa final'!$AJ$68="Moderado"),CONCATENATE("R2C",'Mapa final'!$R$68),"")</f>
        <v/>
      </c>
      <c r="Y61" s="57" t="str">
        <f>IF(AND('Mapa final'!$AH$69="Muy Baja",'Mapa final'!$AJ$69="Moderado"),CONCATENATE("R2C",'Mapa final'!$R$69),"")</f>
        <v/>
      </c>
      <c r="Z61" s="57" t="str">
        <f>IF(AND('Mapa final'!$AH$70="Muy Baja",'Mapa final'!$AJ$70="Moderado"),CONCATENATE("R2C",'Mapa final'!$R$70),"")</f>
        <v/>
      </c>
      <c r="AA61" s="57" t="str">
        <f>IF(AND('Mapa final'!$AH$72="Muy Baja",'Mapa final'!$AJ$72="Moderado"),CONCATENATE("R2C",'Mapa final'!$R$72),"")</f>
        <v/>
      </c>
      <c r="AB61" s="58" t="str">
        <f>IF(AND('Mapa final'!$AH$73="Muy Baja",'Mapa final'!$AJ$73="Moderado"),CONCATENATE("R2C",'Mapa final'!$R$73),"")</f>
        <v/>
      </c>
      <c r="AC61" s="44" t="str">
        <f>IF(AND('Mapa final'!$AH$67="Muy Baja",'Mapa final'!$AJ$67="Mayor"),CONCATENATE("R2C",'Mapa final'!$R$67),"")</f>
        <v/>
      </c>
      <c r="AD61" s="45" t="str">
        <f>IF(AND('Mapa final'!$AH$68="Muy Baja",'Mapa final'!$AJ$68="Mayor"),CONCATENATE("R2C",'Mapa final'!$R$68),"")</f>
        <v/>
      </c>
      <c r="AE61" s="45" t="str">
        <f>IF(AND('Mapa final'!$AH$69="Muy Baja",'Mapa final'!$AJ$69="Mayor"),CONCATENATE("R2C",'Mapa final'!$R$69),"")</f>
        <v/>
      </c>
      <c r="AF61" s="45" t="str">
        <f>IF(AND('Mapa final'!$AH$70="Muy Baja",'Mapa final'!$AJ$70="Mayor"),CONCATENATE("R2C",'Mapa final'!$R$70),"")</f>
        <v/>
      </c>
      <c r="AG61" s="45" t="str">
        <f>IF(AND('Mapa final'!$AH$72="Muy Baja",'Mapa final'!$AJ$72="Mayor"),CONCATENATE("R2C",'Mapa final'!$R$72),"")</f>
        <v/>
      </c>
      <c r="AH61" s="46" t="str">
        <f>IF(AND('Mapa final'!$AH$73="Muy Baja",'Mapa final'!$AJ$73="Mayor"),CONCATENATE("R2C",'Mapa final'!$R$73),"")</f>
        <v/>
      </c>
      <c r="AI61" s="47" t="str">
        <f>IF(AND('Mapa final'!$AH$67="Muy Baja",'Mapa final'!$AJ$67="Catastrófico"),CONCATENATE("R2C",'Mapa final'!$R$67),"")</f>
        <v/>
      </c>
      <c r="AJ61" s="48" t="str">
        <f>IF(AND('Mapa final'!$AH$68="Muy Baja",'Mapa final'!$AJ$68="Catastrófico"),CONCATENATE("R2C",'Mapa final'!$R$68),"")</f>
        <v/>
      </c>
      <c r="AK61" s="48" t="str">
        <f>IF(AND('Mapa final'!$AH$69="Muy Baja",'Mapa final'!$AJ$69="Catastrófico"),CONCATENATE("R2C",'Mapa final'!$R$69),"")</f>
        <v/>
      </c>
      <c r="AL61" s="48" t="str">
        <f>IF(AND('Mapa final'!$AH$70="Muy Baja",'Mapa final'!$AJ$70="Catastrófico"),CONCATENATE("R2C",'Mapa final'!$R$70),"")</f>
        <v/>
      </c>
      <c r="AM61" s="48" t="str">
        <f>IF(AND('Mapa final'!$AH$72="Muy Baja",'Mapa final'!$AJ$72="Catastrófico"),CONCATENATE("R2C",'Mapa final'!$R$72),"")</f>
        <v/>
      </c>
      <c r="AN61" s="49" t="str">
        <f>IF(AND('Mapa final'!$AH$73="Muy Baja",'Mapa final'!$AJ$73="Catastrófico"),CONCATENATE("R2C",'Mapa final'!$R$73),"")</f>
        <v/>
      </c>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row>
    <row r="62" spans="2:81">
      <c r="B62" s="68"/>
      <c r="C62" s="68"/>
      <c r="D62" s="68"/>
      <c r="E62" s="68"/>
      <c r="F62" s="68"/>
      <c r="G62" s="68"/>
      <c r="H62" s="68"/>
      <c r="I62" s="68"/>
      <c r="J62" s="68"/>
      <c r="K62" s="516" t="s">
        <v>261</v>
      </c>
      <c r="L62" s="517"/>
      <c r="M62" s="517"/>
      <c r="N62" s="517"/>
      <c r="O62" s="517"/>
      <c r="P62" s="518"/>
      <c r="Q62" s="516" t="s">
        <v>262</v>
      </c>
      <c r="R62" s="517"/>
      <c r="S62" s="517"/>
      <c r="T62" s="517"/>
      <c r="U62" s="517"/>
      <c r="V62" s="518"/>
      <c r="W62" s="516" t="s">
        <v>263</v>
      </c>
      <c r="X62" s="517"/>
      <c r="Y62" s="517"/>
      <c r="Z62" s="517"/>
      <c r="AA62" s="517"/>
      <c r="AB62" s="518"/>
      <c r="AC62" s="516" t="s">
        <v>264</v>
      </c>
      <c r="AD62" s="566"/>
      <c r="AE62" s="517"/>
      <c r="AF62" s="517"/>
      <c r="AG62" s="517"/>
      <c r="AH62" s="518"/>
      <c r="AI62" s="516" t="s">
        <v>265</v>
      </c>
      <c r="AJ62" s="517"/>
      <c r="AK62" s="517"/>
      <c r="AL62" s="517"/>
      <c r="AM62" s="517"/>
      <c r="AN62" s="51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row>
    <row r="63" spans="2:81">
      <c r="B63" s="68"/>
      <c r="C63" s="68"/>
      <c r="D63" s="68"/>
      <c r="E63" s="68"/>
      <c r="F63" s="68"/>
      <c r="G63" s="68"/>
      <c r="H63" s="68"/>
      <c r="I63" s="68"/>
      <c r="J63" s="68"/>
      <c r="K63" s="519"/>
      <c r="L63" s="520"/>
      <c r="M63" s="520"/>
      <c r="N63" s="520"/>
      <c r="O63" s="520"/>
      <c r="P63" s="521"/>
      <c r="Q63" s="519"/>
      <c r="R63" s="520"/>
      <c r="S63" s="520"/>
      <c r="T63" s="520"/>
      <c r="U63" s="520"/>
      <c r="V63" s="521"/>
      <c r="W63" s="519"/>
      <c r="X63" s="520"/>
      <c r="Y63" s="520"/>
      <c r="Z63" s="520"/>
      <c r="AA63" s="520"/>
      <c r="AB63" s="521"/>
      <c r="AC63" s="519"/>
      <c r="AD63" s="520"/>
      <c r="AE63" s="520"/>
      <c r="AF63" s="520"/>
      <c r="AG63" s="520"/>
      <c r="AH63" s="521"/>
      <c r="AI63" s="519"/>
      <c r="AJ63" s="520"/>
      <c r="AK63" s="520"/>
      <c r="AL63" s="520"/>
      <c r="AM63" s="520"/>
      <c r="AN63" s="521"/>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row>
    <row r="64" spans="2:81">
      <c r="B64" s="68"/>
      <c r="C64" s="68"/>
      <c r="D64" s="68"/>
      <c r="E64" s="68"/>
      <c r="F64" s="68"/>
      <c r="G64" s="68"/>
      <c r="H64" s="68"/>
      <c r="I64" s="68"/>
      <c r="J64" s="68"/>
      <c r="K64" s="519"/>
      <c r="L64" s="520"/>
      <c r="M64" s="520"/>
      <c r="N64" s="520"/>
      <c r="O64" s="520"/>
      <c r="P64" s="521"/>
      <c r="Q64" s="519"/>
      <c r="R64" s="520"/>
      <c r="S64" s="520"/>
      <c r="T64" s="520"/>
      <c r="U64" s="520"/>
      <c r="V64" s="521"/>
      <c r="W64" s="519"/>
      <c r="X64" s="520"/>
      <c r="Y64" s="520"/>
      <c r="Z64" s="520"/>
      <c r="AA64" s="520"/>
      <c r="AB64" s="521"/>
      <c r="AC64" s="519"/>
      <c r="AD64" s="520"/>
      <c r="AE64" s="520"/>
      <c r="AF64" s="520"/>
      <c r="AG64" s="520"/>
      <c r="AH64" s="521"/>
      <c r="AI64" s="519"/>
      <c r="AJ64" s="520"/>
      <c r="AK64" s="520"/>
      <c r="AL64" s="520"/>
      <c r="AM64" s="520"/>
      <c r="AN64" s="521"/>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row>
    <row r="65" spans="2:81">
      <c r="B65" s="68"/>
      <c r="C65" s="68"/>
      <c r="D65" s="68"/>
      <c r="E65" s="68"/>
      <c r="F65" s="68"/>
      <c r="G65" s="68"/>
      <c r="H65" s="68"/>
      <c r="I65" s="68"/>
      <c r="J65" s="68"/>
      <c r="K65" s="519"/>
      <c r="L65" s="520"/>
      <c r="M65" s="520"/>
      <c r="N65" s="520"/>
      <c r="O65" s="520"/>
      <c r="P65" s="521"/>
      <c r="Q65" s="519"/>
      <c r="R65" s="520"/>
      <c r="S65" s="520"/>
      <c r="T65" s="520"/>
      <c r="U65" s="520"/>
      <c r="V65" s="521"/>
      <c r="W65" s="519"/>
      <c r="X65" s="520"/>
      <c r="Y65" s="520"/>
      <c r="Z65" s="520"/>
      <c r="AA65" s="520"/>
      <c r="AB65" s="521"/>
      <c r="AC65" s="519"/>
      <c r="AD65" s="520"/>
      <c r="AE65" s="520"/>
      <c r="AF65" s="520"/>
      <c r="AG65" s="520"/>
      <c r="AH65" s="521"/>
      <c r="AI65" s="519"/>
      <c r="AJ65" s="520"/>
      <c r="AK65" s="520"/>
      <c r="AL65" s="520"/>
      <c r="AM65" s="520"/>
      <c r="AN65" s="521"/>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row>
    <row r="66" spans="2:81">
      <c r="B66" s="68"/>
      <c r="C66" s="68"/>
      <c r="D66" s="68"/>
      <c r="E66" s="68"/>
      <c r="F66" s="68"/>
      <c r="G66" s="68"/>
      <c r="H66" s="68"/>
      <c r="I66" s="68"/>
      <c r="J66" s="68"/>
      <c r="K66" s="519"/>
      <c r="L66" s="520"/>
      <c r="M66" s="520"/>
      <c r="N66" s="520"/>
      <c r="O66" s="520"/>
      <c r="P66" s="521"/>
      <c r="Q66" s="519"/>
      <c r="R66" s="520"/>
      <c r="S66" s="520"/>
      <c r="T66" s="520"/>
      <c r="U66" s="520"/>
      <c r="V66" s="521"/>
      <c r="W66" s="519"/>
      <c r="X66" s="520"/>
      <c r="Y66" s="520"/>
      <c r="Z66" s="520"/>
      <c r="AA66" s="520"/>
      <c r="AB66" s="521"/>
      <c r="AC66" s="519"/>
      <c r="AD66" s="520"/>
      <c r="AE66" s="520"/>
      <c r="AF66" s="520"/>
      <c r="AG66" s="520"/>
      <c r="AH66" s="521"/>
      <c r="AI66" s="519"/>
      <c r="AJ66" s="520"/>
      <c r="AK66" s="520"/>
      <c r="AL66" s="520"/>
      <c r="AM66" s="520"/>
      <c r="AN66" s="521"/>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row>
    <row r="67" spans="2:81" ht="16" thickBot="1">
      <c r="B67" s="68"/>
      <c r="C67" s="68"/>
      <c r="D67" s="68"/>
      <c r="E67" s="68"/>
      <c r="F67" s="68"/>
      <c r="G67" s="68"/>
      <c r="H67" s="68"/>
      <c r="I67" s="68"/>
      <c r="J67" s="68"/>
      <c r="K67" s="522"/>
      <c r="L67" s="523"/>
      <c r="M67" s="523"/>
      <c r="N67" s="523"/>
      <c r="O67" s="523"/>
      <c r="P67" s="524"/>
      <c r="Q67" s="522"/>
      <c r="R67" s="523"/>
      <c r="S67" s="523"/>
      <c r="T67" s="523"/>
      <c r="U67" s="523"/>
      <c r="V67" s="524"/>
      <c r="W67" s="522"/>
      <c r="X67" s="523"/>
      <c r="Y67" s="523"/>
      <c r="Z67" s="523"/>
      <c r="AA67" s="523"/>
      <c r="AB67" s="524"/>
      <c r="AC67" s="522"/>
      <c r="AD67" s="523"/>
      <c r="AE67" s="523"/>
      <c r="AF67" s="523"/>
      <c r="AG67" s="523"/>
      <c r="AH67" s="524"/>
      <c r="AI67" s="522"/>
      <c r="AJ67" s="523"/>
      <c r="AK67" s="523"/>
      <c r="AL67" s="523"/>
      <c r="AM67" s="523"/>
      <c r="AN67" s="524"/>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row>
    <row r="68" spans="2:81">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row>
    <row r="69" spans="2:81" ht="15" customHeight="1">
      <c r="B69" s="68"/>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68"/>
      <c r="AW69" s="68"/>
      <c r="AX69" s="68"/>
      <c r="AY69" s="68"/>
      <c r="AZ69" s="68"/>
      <c r="BA69" s="68"/>
      <c r="BB69" s="68"/>
      <c r="BC69" s="68"/>
      <c r="BD69" s="68"/>
      <c r="BE69" s="68"/>
      <c r="BF69" s="68"/>
      <c r="BG69" s="68"/>
      <c r="BH69" s="68"/>
      <c r="BI69" s="68"/>
    </row>
    <row r="70" spans="2:81" ht="15" customHeight="1">
      <c r="B70" s="68"/>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68"/>
      <c r="AW70" s="68"/>
      <c r="AX70" s="68"/>
      <c r="AY70" s="68"/>
      <c r="AZ70" s="68"/>
      <c r="BA70" s="68"/>
      <c r="BB70" s="68"/>
      <c r="BC70" s="68"/>
      <c r="BD70" s="68"/>
      <c r="BE70" s="68"/>
      <c r="BF70" s="68"/>
      <c r="BG70" s="68"/>
      <c r="BH70" s="68"/>
      <c r="BI70" s="68"/>
    </row>
    <row r="71" spans="2:81">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row>
    <row r="72" spans="2:81">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row>
    <row r="73" spans="2:81">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row>
    <row r="74" spans="2:81">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row>
    <row r="75" spans="2:81">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row>
    <row r="76" spans="2:81">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row>
    <row r="77" spans="2:81">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row>
    <row r="78" spans="2:81">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row>
    <row r="79" spans="2:81">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row>
    <row r="80" spans="2:81">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row>
    <row r="81" spans="2:61">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row>
    <row r="82" spans="2:61">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row>
    <row r="83" spans="2:61">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row>
    <row r="84" spans="2:61">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row>
    <row r="85" spans="2:61">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row>
    <row r="86" spans="2:61">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row>
    <row r="87" spans="2:61">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row>
    <row r="88" spans="2:61">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row>
    <row r="89" spans="2:61">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row>
    <row r="90" spans="2:61">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row>
    <row r="91" spans="2:61">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row>
    <row r="92" spans="2:61">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row>
    <row r="93" spans="2:61">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row>
    <row r="94" spans="2:61">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row>
    <row r="95" spans="2:61">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row>
    <row r="96" spans="2:61">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row>
    <row r="97" spans="2:61">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row>
    <row r="98" spans="2:61">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row>
    <row r="99" spans="2:61">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row>
    <row r="100" spans="2:61">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row>
    <row r="101" spans="2:61">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row>
    <row r="102" spans="2:61">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row>
    <row r="103" spans="2:61">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row>
    <row r="104" spans="2:61">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row>
    <row r="105" spans="2:61">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row>
    <row r="106" spans="2:61">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row>
    <row r="107" spans="2:61">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row>
    <row r="108" spans="2:61">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row>
    <row r="109" spans="2:61">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row>
    <row r="110" spans="2:61">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row>
    <row r="111" spans="2:61">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row>
    <row r="112" spans="2:61">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row>
    <row r="113" spans="2:61">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row>
    <row r="114" spans="2:61">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row>
    <row r="115" spans="2:61">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row>
    <row r="116" spans="2:61">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row>
    <row r="117" spans="2:61">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row>
    <row r="118" spans="2:61">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row>
    <row r="119" spans="2:61">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row>
    <row r="120" spans="2:61">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row>
    <row r="121" spans="2:61">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row>
    <row r="122" spans="2:61">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row>
    <row r="123" spans="2:61">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row>
    <row r="124" spans="2:61">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row>
    <row r="125" spans="2:61">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row>
    <row r="126" spans="2:61">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row>
    <row r="127" spans="2:61">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row>
    <row r="128" spans="2:61">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row>
    <row r="129" spans="2:61">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row>
    <row r="130" spans="2:61">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row>
    <row r="131" spans="2:61">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row>
    <row r="132" spans="2:61">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row>
    <row r="133" spans="2:61">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row>
    <row r="134" spans="2:61">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row>
    <row r="135" spans="2:61">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row>
    <row r="136" spans="2:61">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row>
    <row r="137" spans="2:61">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row>
    <row r="138" spans="2:61">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row>
    <row r="139" spans="2:61">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row>
    <row r="140" spans="2:61">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row>
    <row r="141" spans="2:61">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row>
    <row r="142" spans="2:61">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row>
    <row r="143" spans="2:61">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row>
    <row r="144" spans="2:61">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row>
    <row r="145" spans="2:61">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row>
    <row r="146" spans="2:61">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row>
    <row r="147" spans="2:61">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row>
    <row r="148" spans="2:61">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row>
    <row r="149" spans="2:61">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row>
    <row r="150" spans="2:61">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row>
    <row r="151" spans="2:61">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row>
    <row r="152" spans="2:61">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row>
    <row r="153" spans="2:61">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row>
    <row r="154" spans="2:61">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row>
    <row r="155" spans="2:61">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row>
    <row r="156" spans="2:61">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row>
    <row r="157" spans="2:61">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row>
    <row r="158" spans="2:61">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row>
    <row r="159" spans="2:61">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row>
    <row r="160" spans="2:61">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row>
    <row r="161" spans="2:61">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row>
    <row r="162" spans="2:61">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row>
    <row r="163" spans="2:61">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row>
    <row r="164" spans="2:61">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row>
    <row r="165" spans="2:61">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row>
    <row r="166" spans="2:61">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row>
    <row r="167" spans="2:61">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row>
    <row r="168" spans="2:61">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row>
    <row r="169" spans="2:61">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row>
    <row r="170" spans="2:61">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row>
    <row r="171" spans="2:61">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row>
    <row r="172" spans="2:61">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row>
    <row r="173" spans="2:61">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row>
    <row r="174" spans="2:61">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row>
    <row r="175" spans="2:61">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row>
    <row r="176" spans="2:61">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row>
    <row r="177" spans="2:61">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row>
    <row r="178" spans="2:61">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row>
    <row r="179" spans="2:61">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row>
    <row r="180" spans="2:61">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row>
    <row r="181" spans="2:61">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row>
    <row r="182" spans="2:61">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row>
    <row r="183" spans="2:61">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row>
    <row r="184" spans="2:61">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row>
    <row r="185" spans="2:61">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row>
    <row r="186" spans="2:61">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row>
    <row r="187" spans="2:61">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row>
    <row r="188" spans="2:61">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row>
    <row r="189" spans="2:61">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row>
    <row r="190" spans="2:61">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row>
    <row r="191" spans="2:61">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row>
    <row r="192" spans="2:61">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row>
    <row r="193" spans="2:61">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row>
    <row r="194" spans="2:61">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row>
    <row r="195" spans="2:61">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row>
    <row r="196" spans="2:61">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row>
    <row r="197" spans="2:61">
      <c r="B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row>
    <row r="198" spans="2:61">
      <c r="B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row>
    <row r="199" spans="2:61">
      <c r="B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row>
    <row r="200" spans="2:61">
      <c r="B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row>
    <row r="201" spans="2:61">
      <c r="B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row>
    <row r="202" spans="2:61">
      <c r="B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row>
    <row r="203" spans="2:61">
      <c r="B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row>
    <row r="204" spans="2:61">
      <c r="B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row>
    <row r="205" spans="2:61">
      <c r="B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row>
    <row r="206" spans="2:61">
      <c r="B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row>
    <row r="207" spans="2:61">
      <c r="B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row>
    <row r="208" spans="2:61">
      <c r="B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row>
    <row r="209" spans="2:61">
      <c r="B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row>
    <row r="210" spans="2:61">
      <c r="B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row>
    <row r="211" spans="2:61">
      <c r="B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row>
    <row r="212" spans="2:61">
      <c r="B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row>
    <row r="213" spans="2:61">
      <c r="B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row>
    <row r="214" spans="2:61">
      <c r="B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row>
    <row r="215" spans="2:61">
      <c r="B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row>
    <row r="216" spans="2:61">
      <c r="B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row>
    <row r="217" spans="2:61">
      <c r="B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row>
    <row r="218" spans="2:61">
      <c r="B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row>
    <row r="219" spans="2:61">
      <c r="B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row>
    <row r="220" spans="2:61">
      <c r="B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row>
    <row r="221" spans="2:61">
      <c r="B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row>
    <row r="222" spans="2:61">
      <c r="B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row>
    <row r="223" spans="2:61">
      <c r="B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row>
    <row r="224" spans="2:61">
      <c r="B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row>
    <row r="225" spans="2:61">
      <c r="B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row>
    <row r="226" spans="2:61">
      <c r="B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row>
    <row r="227" spans="2:61">
      <c r="B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row>
    <row r="228" spans="2:61">
      <c r="B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row>
    <row r="229" spans="2:61">
      <c r="B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row>
    <row r="230" spans="2:61">
      <c r="B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row>
    <row r="231" spans="2:61">
      <c r="B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row>
    <row r="232" spans="2:61">
      <c r="B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row>
    <row r="233" spans="2:61">
      <c r="B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row>
    <row r="234" spans="2:61">
      <c r="B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row>
    <row r="235" spans="2:61">
      <c r="B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row>
    <row r="236" spans="2:61">
      <c r="B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row>
    <row r="237" spans="2:61">
      <c r="B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row>
    <row r="238" spans="2:61">
      <c r="B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row>
    <row r="239" spans="2:61">
      <c r="B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row>
    <row r="240" spans="2:61">
      <c r="B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row>
    <row r="241" spans="2:61">
      <c r="B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row>
    <row r="242" spans="2:61">
      <c r="B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row>
    <row r="243" spans="2:61">
      <c r="B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row>
    <row r="244" spans="2:61">
      <c r="B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row>
    <row r="245" spans="2:61">
      <c r="B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row>
    <row r="246" spans="2:61">
      <c r="B246" s="68"/>
      <c r="K246" s="68"/>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row>
    <row r="247" spans="2:61">
      <c r="B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row>
    <row r="248" spans="2:61">
      <c r="B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row>
    <row r="249" spans="2:61">
      <c r="B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row>
    <row r="250" spans="2:61">
      <c r="B250" s="68"/>
      <c r="K250" s="68"/>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row>
    <row r="251" spans="2:61">
      <c r="B251" s="68"/>
    </row>
    <row r="252" spans="2:61">
      <c r="B252" s="68"/>
    </row>
    <row r="253" spans="2:61">
      <c r="B253" s="68"/>
    </row>
    <row r="254" spans="2:61">
      <c r="B254" s="68"/>
    </row>
  </sheetData>
  <mergeCells count="24">
    <mergeCell ref="A8:B8"/>
    <mergeCell ref="K62:P67"/>
    <mergeCell ref="Q62:V67"/>
    <mergeCell ref="W62:AB67"/>
    <mergeCell ref="AC62:AH67"/>
    <mergeCell ref="AI62:AN67"/>
    <mergeCell ref="AP22:AU31"/>
    <mergeCell ref="F22:J31"/>
    <mergeCell ref="AP12:AU21"/>
    <mergeCell ref="C8:J10"/>
    <mergeCell ref="K8:AN10"/>
    <mergeCell ref="C12:E61"/>
    <mergeCell ref="F12:J21"/>
    <mergeCell ref="F52:J61"/>
    <mergeCell ref="AP42:AU51"/>
    <mergeCell ref="F42:J51"/>
    <mergeCell ref="AP32:AU41"/>
    <mergeCell ref="F32:J41"/>
    <mergeCell ref="C2:J5"/>
    <mergeCell ref="K2:AN5"/>
    <mergeCell ref="AO2:AU2"/>
    <mergeCell ref="AO3:AU3"/>
    <mergeCell ref="AO4:AU4"/>
    <mergeCell ref="AO5:AU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23</vt:i4>
      </vt:variant>
      <vt:variant>
        <vt:lpstr>Rangos con nombre</vt:lpstr>
      </vt:variant>
      <vt:variant>
        <vt:i4>4</vt:i4>
      </vt:variant>
    </vt:vector>
  </HeadingPairs>
  <TitlesOfParts>
    <vt:vector size="27" baseType="lpstr">
      <vt:lpstr>PORTADA </vt:lpstr>
      <vt:lpstr>CRITERIOS R CORRUPCION</vt:lpstr>
      <vt:lpstr>Mapa final</vt:lpstr>
      <vt:lpstr>Datos</vt:lpstr>
      <vt:lpstr>Formulas</vt:lpstr>
      <vt:lpstr>Apayo Visual </vt:lpstr>
      <vt:lpstr>eliminar</vt:lpstr>
      <vt:lpstr>Matriz Calor Inherente</vt:lpstr>
      <vt:lpstr>Matriz Calor Residual</vt:lpstr>
      <vt:lpstr>CAMBIOS REGISTRO</vt:lpstr>
      <vt:lpstr>SGI</vt:lpstr>
      <vt:lpstr>Intructivo</vt:lpstr>
      <vt:lpstr>CONTROL DE CAMBIOS REGISTRO </vt:lpstr>
      <vt:lpstr>Listas</vt:lpstr>
      <vt:lpstr>Hoja3</vt:lpstr>
      <vt:lpstr>Control de Cambios FORMATO </vt:lpstr>
      <vt:lpstr>Tabla probabilidad</vt:lpstr>
      <vt:lpstr>Tabla Impacto</vt:lpstr>
      <vt:lpstr>Tabla Valoración controles</vt:lpstr>
      <vt:lpstr>Hoja4</vt:lpstr>
      <vt:lpstr>Hoja2</vt:lpstr>
      <vt:lpstr>Opciones Tratamiento</vt:lpstr>
      <vt:lpstr>Hoja1</vt:lpstr>
      <vt:lpstr>'CAMBIOS REGISTRO'!Área_de_impresión</vt:lpstr>
      <vt:lpstr>'Control de Cambios FORMATO '!Área_de_impresión</vt:lpstr>
      <vt:lpstr>Criterios_Impacto</vt:lpstr>
      <vt:lpstr>'CAMBIOS REGISTRO'!OLE_LINK2</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MIPG ETITC</cp:lastModifiedBy>
  <cp:revision/>
  <dcterms:created xsi:type="dcterms:W3CDTF">2020-03-24T23:12:47Z</dcterms:created>
  <dcterms:modified xsi:type="dcterms:W3CDTF">2026-09-01T15:17:38Z</dcterms:modified>
  <cp:category/>
  <cp:contentStatus/>
</cp:coreProperties>
</file>