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1.xml" ContentType="application/vnd.openxmlformats-officedocument.spreadsheetml.pivot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codeName="ThisWorkbook" hidePivotFieldList="1" defaultThemeVersion="124226"/>
  <mc:AlternateContent xmlns:mc="http://schemas.openxmlformats.org/markup-compatibility/2006">
    <mc:Choice Requires="x15">
      <x15ac:absPath xmlns:x15ac="http://schemas.microsoft.com/office/spreadsheetml/2010/11/ac" url="/Users/stefanyparra/Library/CloudStorage/OneDrive-EscuelaTecnologicaInstitutoTecnicoCentral/SIG/Gestión de riesgos/Matrices de riesgos 2026/Investigación/Versión final/"/>
    </mc:Choice>
  </mc:AlternateContent>
  <xr:revisionPtr revIDLastSave="0" documentId="13_ncr:1_{02AEC364-245A-CB4B-9EF7-BC57B32F8226}" xr6:coauthVersionLast="47" xr6:coauthVersionMax="47" xr10:uidLastSave="{00000000-0000-0000-0000-000000000000}"/>
  <bookViews>
    <workbookView xWindow="0" yWindow="660" windowWidth="23040" windowHeight="12240" tabRatio="882" activeTab="2" xr2:uid="{00000000-000D-0000-FFFF-FFFF00000000}"/>
  </bookViews>
  <sheets>
    <sheet name="CRITERIOS R CORRUPCION" sheetId="27" state="hidden" r:id="rId1"/>
    <sheet name="PORTADA " sheetId="22" state="hidden" r:id="rId2"/>
    <sheet name="Mapa final" sheetId="1" r:id="rId3"/>
    <sheet name="Datos" sheetId="32" state="hidden" r:id="rId4"/>
    <sheet name="Formulas" sheetId="28" state="hidden" r:id="rId5"/>
    <sheet name="Apayo Visual " sheetId="31" state="hidden" r:id="rId6"/>
    <sheet name="eliminar" sheetId="30" state="hidden" r:id="rId7"/>
    <sheet name="Matriz Calor Inherente" sheetId="18" state="hidden" r:id="rId8"/>
    <sheet name="Matriz Calor Residual" sheetId="19" state="hidden" r:id="rId9"/>
    <sheet name="CAMBIOS REGISTRO" sheetId="25" state="hidden" r:id="rId10"/>
    <sheet name="SGI" sheetId="24" state="hidden" r:id="rId11"/>
    <sheet name="Intructivo" sheetId="20" state="hidden" r:id="rId12"/>
    <sheet name="CONTROL DE CAMBIOS REGISTRO " sheetId="23" state="hidden" r:id="rId13"/>
    <sheet name="Listas" sheetId="21" state="hidden" r:id="rId14"/>
    <sheet name="Hoja3" sheetId="29" state="hidden" r:id="rId15"/>
    <sheet name="Control de Cambios FORMATO " sheetId="26" state="hidden" r:id="rId16"/>
    <sheet name="Tabla probabilidad" sheetId="12" state="hidden" r:id="rId17"/>
    <sheet name="Tabla Impacto" sheetId="13" state="hidden" r:id="rId18"/>
    <sheet name="Tabla Valoración controles" sheetId="15" state="hidden" r:id="rId19"/>
    <sheet name="Hoja4" sheetId="34" state="hidden" r:id="rId20"/>
    <sheet name="Hoja2" sheetId="33" state="hidden" r:id="rId21"/>
    <sheet name="Opciones Tratamiento" sheetId="16" state="hidden" r:id="rId22"/>
    <sheet name="Hoja1" sheetId="11" state="hidden" r:id="rId23"/>
  </sheets>
  <definedNames>
    <definedName name="A_Obj1" localSheetId="9">OFFSET(#REF!,0,0,COUNTA(#REF!)-1,1)</definedName>
    <definedName name="A_Obj1" localSheetId="15">OFFSET(#REF!,0,0,COUNTA(#REF!)-1,1)</definedName>
    <definedName name="A_Obj1">OFFSET(#REF!,0,0,COUNTA(#REF!)-1,1)</definedName>
    <definedName name="A_Obj2" localSheetId="9">OFFSET(#REF!,0,0,COUNTA(#REF!)-1,1)</definedName>
    <definedName name="A_Obj2" localSheetId="15">OFFSET(#REF!,0,0,COUNTA(#REF!)-1,1)</definedName>
    <definedName name="A_Obj2">OFFSET(#REF!,0,0,COUNTA(#REF!)-1,1)</definedName>
    <definedName name="A_Obj3" localSheetId="9">OFFSET(#REF!,0,0,COUNTA(#REF!)-1,1)</definedName>
    <definedName name="A_Obj3" localSheetId="15">OFFSET(#REF!,0,0,COUNTA(#REF!)-1,1)</definedName>
    <definedName name="A_Obj3">OFFSET(#REF!,0,0,COUNTA(#REF!)-1,1)</definedName>
    <definedName name="A_Obj4" localSheetId="9">OFFSET(#REF!,0,0,COUNTA(#REF!)-1,1)</definedName>
    <definedName name="A_Obj4" localSheetId="15">OFFSET(#REF!,0,0,COUNTA(#REF!)-1,1)</definedName>
    <definedName name="A_Obj4">OFFSET(#REF!,0,0,COUNTA(#REF!)-1,1)</definedName>
    <definedName name="Acc_1" localSheetId="9">#REF!</definedName>
    <definedName name="Acc_1" localSheetId="15">#REF!</definedName>
    <definedName name="Acc_1">#REF!</definedName>
    <definedName name="Acc_2" localSheetId="9">#REF!</definedName>
    <definedName name="Acc_2" localSheetId="15">#REF!</definedName>
    <definedName name="Acc_2">#REF!</definedName>
    <definedName name="Acc_3" localSheetId="9">#REF!</definedName>
    <definedName name="Acc_3" localSheetId="15">#REF!</definedName>
    <definedName name="Acc_3">#REF!</definedName>
    <definedName name="Acc_4" localSheetId="9">#REF!</definedName>
    <definedName name="Acc_4" localSheetId="15">#REF!</definedName>
    <definedName name="Acc_4">#REF!</definedName>
    <definedName name="Acc_5" localSheetId="9">#REF!</definedName>
    <definedName name="Acc_5" localSheetId="15">#REF!</definedName>
    <definedName name="Acc_5">#REF!</definedName>
    <definedName name="Acc_6" localSheetId="9">#REF!</definedName>
    <definedName name="Acc_6" localSheetId="15">#REF!</definedName>
    <definedName name="Acc_6">#REF!</definedName>
    <definedName name="Acc_7" localSheetId="9">#REF!</definedName>
    <definedName name="Acc_7" localSheetId="15">#REF!</definedName>
    <definedName name="Acc_7">#REF!</definedName>
    <definedName name="Acc_8" localSheetId="9">#REF!</definedName>
    <definedName name="Acc_8" localSheetId="15">#REF!</definedName>
    <definedName name="Acc_8">#REF!</definedName>
    <definedName name="Acc_9" localSheetId="9">#REF!</definedName>
    <definedName name="Acc_9" localSheetId="15">#REF!</definedName>
    <definedName name="Acc_9">#REF!</definedName>
    <definedName name="_xlnm.Print_Area" localSheetId="9">'CAMBIOS REGISTRO'!$A$1:$E$23</definedName>
    <definedName name="_xlnm.Print_Area" localSheetId="15">'Control de Cambios FORMATO '!$A$1:$L$27</definedName>
    <definedName name="Causafactor3">#REF!</definedName>
    <definedName name="ControlTipo">#REF!</definedName>
    <definedName name="Criterios_Impacto">Criterios[Criterios_Impacto]</definedName>
    <definedName name="Departamentos" localSheetId="9">#REF!</definedName>
    <definedName name="Departamentos" localSheetId="15">#REF!</definedName>
    <definedName name="Departamentos">#REF!</definedName>
    <definedName name="Fuentes" localSheetId="9">#REF!</definedName>
    <definedName name="Fuentes" localSheetId="15">#REF!</definedName>
    <definedName name="Fuentes">#REF!</definedName>
    <definedName name="Indicadores" localSheetId="9">#REF!</definedName>
    <definedName name="Indicadores" localSheetId="15">#REF!</definedName>
    <definedName name="Indicadores">#REF!</definedName>
    <definedName name="No_aplica" localSheetId="15">#REF!</definedName>
    <definedName name="No_aplica">#REF!</definedName>
    <definedName name="Objetivos" localSheetId="9">OFFSET(#REF!,0,0,COUNTA(#REF!)-1,1)</definedName>
    <definedName name="Objetivos" localSheetId="15">OFFSET(#REF!,0,0,COUNTA(#REF!)-1,1)</definedName>
    <definedName name="Objetivos">OFFSET(#REF!,0,0,COUNTA(#REF!)-1,1)</definedName>
    <definedName name="OLE_LINK2" localSheetId="9">'CAMBIOS REGISTRO'!$A$1</definedName>
    <definedName name="Posibilidad">#REF!</definedName>
    <definedName name="RiesgoClase3">#REF!</definedName>
    <definedName name="SiNo">#REF!</definedName>
  </definedNames>
  <calcPr calcId="191028"/>
  <pivotCaches>
    <pivotCache cacheId="0"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3" i="1" l="1"/>
  <c r="Y22" i="1"/>
  <c r="Y21" i="1"/>
  <c r="AB19" i="1" l="1"/>
  <c r="Y19" i="1"/>
  <c r="AK19" i="1" s="1"/>
  <c r="AB18" i="1"/>
  <c r="Y18" i="1"/>
  <c r="S18" i="1"/>
  <c r="T18" i="1" s="1"/>
  <c r="P18" i="1"/>
  <c r="AB17" i="1"/>
  <c r="AB16" i="1"/>
  <c r="Y16" i="1"/>
  <c r="Y15" i="1"/>
  <c r="AG19" i="1" l="1"/>
  <c r="AI19" i="1" s="1"/>
  <c r="AK18" i="1"/>
  <c r="AJ18" i="1" s="1"/>
  <c r="U18" i="1"/>
  <c r="Q18" i="1"/>
  <c r="AG18" i="1" s="1"/>
  <c r="AB23" i="1"/>
  <c r="AB22" i="1"/>
  <c r="AI21" i="1"/>
  <c r="AB21" i="1"/>
  <c r="S21" i="1"/>
  <c r="T21" i="1" s="1"/>
  <c r="P21" i="1"/>
  <c r="Q21" i="1" s="1"/>
  <c r="AB20" i="1"/>
  <c r="Y20" i="1"/>
  <c r="AK21" i="1" l="1"/>
  <c r="AI18" i="1"/>
  <c r="AG20" i="1"/>
  <c r="AH18" i="1" s="1"/>
  <c r="AL18" i="1" s="1"/>
  <c r="AK20" i="1"/>
  <c r="U21" i="1"/>
  <c r="AH21" i="1"/>
  <c r="AL21" i="1" s="1"/>
  <c r="AI20" i="1" l="1"/>
  <c r="Y17" i="1"/>
  <c r="AB15" i="1"/>
  <c r="N23" i="19" l="1"/>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P15" i="1" l="1"/>
  <c r="Q15" i="1" s="1"/>
  <c r="AG15" i="1" s="1"/>
  <c r="S15" i="1"/>
  <c r="AE51" i="19" l="1"/>
  <c r="U15" i="1" l="1"/>
  <c r="AN61" i="19"/>
  <c r="AM61" i="19"/>
  <c r="AL61" i="19"/>
  <c r="AK61" i="19"/>
  <c r="AJ61" i="19"/>
  <c r="AI61" i="19"/>
  <c r="AH61" i="19"/>
  <c r="AG61" i="19"/>
  <c r="AF61" i="19"/>
  <c r="AE61" i="19"/>
  <c r="AD61" i="19"/>
  <c r="AC61" i="19"/>
  <c r="AB61" i="19"/>
  <c r="AA61" i="19"/>
  <c r="Z61" i="19"/>
  <c r="Y61" i="19"/>
  <c r="X61" i="19"/>
  <c r="W61" i="19"/>
  <c r="V61" i="19"/>
  <c r="U61" i="19"/>
  <c r="T61" i="19"/>
  <c r="S61" i="19"/>
  <c r="R61" i="19"/>
  <c r="Q61" i="19"/>
  <c r="P61" i="19"/>
  <c r="O61" i="19"/>
  <c r="M61" i="19"/>
  <c r="L61" i="19"/>
  <c r="K61" i="19"/>
  <c r="AN60" i="19"/>
  <c r="AM60" i="19"/>
  <c r="AL60" i="19"/>
  <c r="AK60" i="19"/>
  <c r="AJ60" i="19"/>
  <c r="AI60" i="19"/>
  <c r="AH60" i="19"/>
  <c r="AG60" i="19"/>
  <c r="AF60" i="19"/>
  <c r="AE60" i="19"/>
  <c r="AD60" i="19"/>
  <c r="AC60" i="19"/>
  <c r="AB60" i="19"/>
  <c r="AA60" i="19"/>
  <c r="Z60" i="19"/>
  <c r="Y60" i="19"/>
  <c r="X60" i="19"/>
  <c r="W60" i="19"/>
  <c r="V60" i="19"/>
  <c r="U60" i="19"/>
  <c r="T60" i="19"/>
  <c r="S60" i="19"/>
  <c r="R60" i="19"/>
  <c r="Q60" i="19"/>
  <c r="P60" i="19"/>
  <c r="O60" i="19"/>
  <c r="M60" i="19"/>
  <c r="L60" i="19"/>
  <c r="K60" i="19"/>
  <c r="AN59" i="19"/>
  <c r="AM59" i="19"/>
  <c r="AL59" i="19"/>
  <c r="AK59" i="19"/>
  <c r="AJ59" i="19"/>
  <c r="AI59" i="19"/>
  <c r="AH59" i="19"/>
  <c r="AG59" i="19"/>
  <c r="AF59" i="19"/>
  <c r="AE59" i="19"/>
  <c r="AD59" i="19"/>
  <c r="AC59" i="19"/>
  <c r="AB59" i="19"/>
  <c r="AA59" i="19"/>
  <c r="Z59" i="19"/>
  <c r="Y59" i="19"/>
  <c r="X59" i="19"/>
  <c r="W59" i="19"/>
  <c r="V59" i="19"/>
  <c r="U59" i="19"/>
  <c r="T59" i="19"/>
  <c r="S59" i="19"/>
  <c r="R59" i="19"/>
  <c r="Q59" i="19"/>
  <c r="P59" i="19"/>
  <c r="O59" i="19"/>
  <c r="M59" i="19"/>
  <c r="L59" i="19"/>
  <c r="K59" i="19"/>
  <c r="AN58" i="19"/>
  <c r="AM58" i="19"/>
  <c r="AL58" i="19"/>
  <c r="AK58" i="19"/>
  <c r="AJ58" i="19"/>
  <c r="AI58" i="19"/>
  <c r="AH58" i="19"/>
  <c r="AG58" i="19"/>
  <c r="AF58" i="19"/>
  <c r="AE58" i="19"/>
  <c r="AD58" i="19"/>
  <c r="AC58" i="19"/>
  <c r="AB58" i="19"/>
  <c r="AA58" i="19"/>
  <c r="Z58" i="19"/>
  <c r="Y58" i="19"/>
  <c r="X58" i="19"/>
  <c r="W58" i="19"/>
  <c r="V58" i="19"/>
  <c r="U58" i="19"/>
  <c r="T58" i="19"/>
  <c r="S58" i="19"/>
  <c r="R58" i="19"/>
  <c r="Q58" i="19"/>
  <c r="P58" i="19"/>
  <c r="O58" i="19"/>
  <c r="M58" i="19"/>
  <c r="L58" i="19"/>
  <c r="K58" i="19"/>
  <c r="AN57" i="19"/>
  <c r="AM57" i="19"/>
  <c r="AL57" i="19"/>
  <c r="AK57" i="19"/>
  <c r="AJ57" i="19"/>
  <c r="AI57" i="19"/>
  <c r="AH57" i="19"/>
  <c r="AG57" i="19"/>
  <c r="AF57" i="19"/>
  <c r="AE57" i="19"/>
  <c r="AD57" i="19"/>
  <c r="AC57" i="19"/>
  <c r="AB57" i="19"/>
  <c r="AA57" i="19"/>
  <c r="Z57" i="19"/>
  <c r="Y57" i="19"/>
  <c r="X57" i="19"/>
  <c r="W57" i="19"/>
  <c r="V57" i="19"/>
  <c r="U57" i="19"/>
  <c r="T57" i="19"/>
  <c r="S57" i="19"/>
  <c r="R57" i="19"/>
  <c r="Q57" i="19"/>
  <c r="P57" i="19"/>
  <c r="O57" i="19"/>
  <c r="M57" i="19"/>
  <c r="L57" i="19"/>
  <c r="K57" i="19"/>
  <c r="AN56" i="19"/>
  <c r="AM56" i="19"/>
  <c r="AL56" i="19"/>
  <c r="AK56" i="19"/>
  <c r="AJ56" i="19"/>
  <c r="AI56" i="19"/>
  <c r="AH56" i="19"/>
  <c r="AG56" i="19"/>
  <c r="AF56" i="19"/>
  <c r="AE56" i="19"/>
  <c r="AD56" i="19"/>
  <c r="AC56" i="19"/>
  <c r="AB56" i="19"/>
  <c r="AA56" i="19"/>
  <c r="Z56" i="19"/>
  <c r="Y56" i="19"/>
  <c r="X56" i="19"/>
  <c r="W56" i="19"/>
  <c r="V56" i="19"/>
  <c r="U56" i="19"/>
  <c r="T56" i="19"/>
  <c r="S56" i="19"/>
  <c r="R56" i="19"/>
  <c r="Q56" i="19"/>
  <c r="P56" i="19"/>
  <c r="O56" i="19"/>
  <c r="M56" i="19"/>
  <c r="L56" i="19"/>
  <c r="K56" i="19"/>
  <c r="AN55" i="19"/>
  <c r="AM55" i="19"/>
  <c r="AL55" i="19"/>
  <c r="AK55" i="19"/>
  <c r="AJ55" i="19"/>
  <c r="AI55" i="19"/>
  <c r="AH55" i="19"/>
  <c r="AG55" i="19"/>
  <c r="AF55" i="19"/>
  <c r="AE55" i="19"/>
  <c r="AD55" i="19"/>
  <c r="AC55" i="19"/>
  <c r="AB55" i="19"/>
  <c r="AA55" i="19"/>
  <c r="Z55" i="19"/>
  <c r="Y55" i="19"/>
  <c r="X55" i="19"/>
  <c r="W55" i="19"/>
  <c r="V55" i="19"/>
  <c r="U55" i="19"/>
  <c r="T55" i="19"/>
  <c r="S55" i="19"/>
  <c r="R55" i="19"/>
  <c r="Q55" i="19"/>
  <c r="P55" i="19"/>
  <c r="O55" i="19"/>
  <c r="M55" i="19"/>
  <c r="L55" i="19"/>
  <c r="K55" i="19"/>
  <c r="AN54" i="19"/>
  <c r="AM54" i="19"/>
  <c r="AL54" i="19"/>
  <c r="AK54" i="19"/>
  <c r="AJ54" i="19"/>
  <c r="AI54" i="19"/>
  <c r="AH54" i="19"/>
  <c r="AG54" i="19"/>
  <c r="AF54" i="19"/>
  <c r="AE54" i="19"/>
  <c r="AD54" i="19"/>
  <c r="AC54" i="19"/>
  <c r="AB54" i="19"/>
  <c r="AA54" i="19"/>
  <c r="Z54" i="19"/>
  <c r="Y54" i="19"/>
  <c r="X54" i="19"/>
  <c r="W54" i="19"/>
  <c r="V54" i="19"/>
  <c r="U54" i="19"/>
  <c r="T54" i="19"/>
  <c r="S54" i="19"/>
  <c r="R54" i="19"/>
  <c r="Q54" i="19"/>
  <c r="P54" i="19"/>
  <c r="O54" i="19"/>
  <c r="M54" i="19"/>
  <c r="L54" i="19"/>
  <c r="K54" i="19"/>
  <c r="AN53" i="19"/>
  <c r="AM53" i="19"/>
  <c r="AL53" i="19"/>
  <c r="AK53" i="19"/>
  <c r="AH53" i="19"/>
  <c r="AG53" i="19"/>
  <c r="AF53" i="19"/>
  <c r="AE53" i="19"/>
  <c r="AB53" i="19"/>
  <c r="AA53" i="19"/>
  <c r="Z53" i="19"/>
  <c r="Y53" i="19"/>
  <c r="V53" i="19"/>
  <c r="U53" i="19"/>
  <c r="T53" i="19"/>
  <c r="S53" i="19"/>
  <c r="P53" i="19"/>
  <c r="O53" i="19"/>
  <c r="M53" i="19"/>
  <c r="AN51" i="19"/>
  <c r="AM51" i="19"/>
  <c r="AL51" i="19"/>
  <c r="AK51" i="19"/>
  <c r="AJ51" i="19"/>
  <c r="AI51" i="19"/>
  <c r="AH51" i="19"/>
  <c r="AG51" i="19"/>
  <c r="AF51" i="19"/>
  <c r="AD51" i="19"/>
  <c r="AC51" i="19"/>
  <c r="AB51" i="19"/>
  <c r="AA51" i="19"/>
  <c r="Z51" i="19"/>
  <c r="Y51" i="19"/>
  <c r="X51" i="19"/>
  <c r="W51" i="19"/>
  <c r="V51" i="19"/>
  <c r="U51" i="19"/>
  <c r="T51" i="19"/>
  <c r="S51" i="19"/>
  <c r="R51" i="19"/>
  <c r="Q51" i="19"/>
  <c r="P51" i="19"/>
  <c r="O51" i="19"/>
  <c r="M51" i="19"/>
  <c r="L51" i="19"/>
  <c r="K51" i="19"/>
  <c r="AN50" i="19"/>
  <c r="AM50" i="19"/>
  <c r="AL50" i="19"/>
  <c r="AK50" i="19"/>
  <c r="AJ50" i="19"/>
  <c r="AI50" i="19"/>
  <c r="AH50" i="19"/>
  <c r="AG50" i="19"/>
  <c r="AF50" i="19"/>
  <c r="AE50" i="19"/>
  <c r="AD50" i="19"/>
  <c r="AC50" i="19"/>
  <c r="AB50" i="19"/>
  <c r="AA50" i="19"/>
  <c r="Z50" i="19"/>
  <c r="Y50" i="19"/>
  <c r="X50" i="19"/>
  <c r="W50" i="19"/>
  <c r="V50" i="19"/>
  <c r="U50" i="19"/>
  <c r="T50" i="19"/>
  <c r="S50" i="19"/>
  <c r="R50" i="19"/>
  <c r="Q50" i="19"/>
  <c r="P50" i="19"/>
  <c r="O50" i="19"/>
  <c r="M50" i="19"/>
  <c r="L50" i="19"/>
  <c r="K50" i="19"/>
  <c r="AN49" i="19"/>
  <c r="AM49" i="19"/>
  <c r="AL49" i="19"/>
  <c r="AK49" i="19"/>
  <c r="AJ49" i="19"/>
  <c r="AI49" i="19"/>
  <c r="AH49" i="19"/>
  <c r="AG49" i="19"/>
  <c r="AF49" i="19"/>
  <c r="AE49" i="19"/>
  <c r="AD49" i="19"/>
  <c r="AC49" i="19"/>
  <c r="AB49" i="19"/>
  <c r="AA49" i="19"/>
  <c r="Z49" i="19"/>
  <c r="Y49" i="19"/>
  <c r="X49" i="19"/>
  <c r="W49" i="19"/>
  <c r="V49" i="19"/>
  <c r="U49" i="19"/>
  <c r="T49" i="19"/>
  <c r="S49" i="19"/>
  <c r="R49" i="19"/>
  <c r="Q49" i="19"/>
  <c r="P49" i="19"/>
  <c r="O49" i="19"/>
  <c r="M49" i="19"/>
  <c r="L49" i="19"/>
  <c r="K49" i="19"/>
  <c r="AN48" i="19"/>
  <c r="AM48" i="19"/>
  <c r="AL48" i="19"/>
  <c r="AK48" i="19"/>
  <c r="AJ48" i="19"/>
  <c r="AI48" i="19"/>
  <c r="AH48" i="19"/>
  <c r="AG48" i="19"/>
  <c r="AF48" i="19"/>
  <c r="AE48" i="19"/>
  <c r="AD48" i="19"/>
  <c r="AC48" i="19"/>
  <c r="AB48" i="19"/>
  <c r="AA48" i="19"/>
  <c r="Z48" i="19"/>
  <c r="Y48" i="19"/>
  <c r="X48" i="19"/>
  <c r="W48" i="19"/>
  <c r="V48" i="19"/>
  <c r="U48" i="19"/>
  <c r="T48" i="19"/>
  <c r="S48" i="19"/>
  <c r="R48" i="19"/>
  <c r="Q48" i="19"/>
  <c r="P48" i="19"/>
  <c r="O48" i="19"/>
  <c r="M48" i="19"/>
  <c r="L48" i="19"/>
  <c r="K48" i="19"/>
  <c r="AN47" i="19"/>
  <c r="AM47" i="19"/>
  <c r="AL47" i="19"/>
  <c r="AK47" i="19"/>
  <c r="AJ47" i="19"/>
  <c r="AI47" i="19"/>
  <c r="AH47" i="19"/>
  <c r="AG47" i="19"/>
  <c r="AF47" i="19"/>
  <c r="AE47" i="19"/>
  <c r="AD47" i="19"/>
  <c r="AC47" i="19"/>
  <c r="AB47" i="19"/>
  <c r="AA47" i="19"/>
  <c r="Z47" i="19"/>
  <c r="Y47" i="19"/>
  <c r="X47" i="19"/>
  <c r="W47" i="19"/>
  <c r="V47" i="19"/>
  <c r="U47" i="19"/>
  <c r="T47" i="19"/>
  <c r="S47" i="19"/>
  <c r="R47" i="19"/>
  <c r="Q47" i="19"/>
  <c r="P47" i="19"/>
  <c r="O47" i="19"/>
  <c r="M47" i="19"/>
  <c r="L47" i="19"/>
  <c r="K47" i="19"/>
  <c r="AN46" i="19"/>
  <c r="AM46" i="19"/>
  <c r="AL46" i="19"/>
  <c r="AK46" i="19"/>
  <c r="AJ46" i="19"/>
  <c r="AI46" i="19"/>
  <c r="AH46" i="19"/>
  <c r="AG46" i="19"/>
  <c r="AF46" i="19"/>
  <c r="AE46" i="19"/>
  <c r="AD46" i="19"/>
  <c r="AC46" i="19"/>
  <c r="AB46" i="19"/>
  <c r="AA46" i="19"/>
  <c r="Z46" i="19"/>
  <c r="Y46" i="19"/>
  <c r="X46" i="19"/>
  <c r="W46" i="19"/>
  <c r="V46" i="19"/>
  <c r="U46" i="19"/>
  <c r="T46" i="19"/>
  <c r="S46" i="19"/>
  <c r="R46" i="19"/>
  <c r="Q46" i="19"/>
  <c r="P46" i="19"/>
  <c r="O46" i="19"/>
  <c r="M46" i="19"/>
  <c r="L46" i="19"/>
  <c r="K46" i="19"/>
  <c r="AN45" i="19"/>
  <c r="AM45" i="19"/>
  <c r="AL45" i="19"/>
  <c r="AK45" i="19"/>
  <c r="AJ45" i="19"/>
  <c r="AI45" i="19"/>
  <c r="AH45" i="19"/>
  <c r="AG45" i="19"/>
  <c r="AF45" i="19"/>
  <c r="AE45" i="19"/>
  <c r="AD45" i="19"/>
  <c r="AC45" i="19"/>
  <c r="AB45" i="19"/>
  <c r="AA45" i="19"/>
  <c r="Z45" i="19"/>
  <c r="Y45" i="19"/>
  <c r="X45" i="19"/>
  <c r="W45" i="19"/>
  <c r="V45" i="19"/>
  <c r="U45" i="19"/>
  <c r="T45" i="19"/>
  <c r="S45" i="19"/>
  <c r="R45" i="19"/>
  <c r="Q45" i="19"/>
  <c r="P45" i="19"/>
  <c r="O45" i="19"/>
  <c r="M45" i="19"/>
  <c r="L45" i="19"/>
  <c r="K45" i="19"/>
  <c r="AN44" i="19"/>
  <c r="AM44" i="19"/>
  <c r="AL44" i="19"/>
  <c r="AK44" i="19"/>
  <c r="AJ44" i="19"/>
  <c r="AI44" i="19"/>
  <c r="AH44" i="19"/>
  <c r="AG44" i="19"/>
  <c r="AF44" i="19"/>
  <c r="AE44" i="19"/>
  <c r="AD44" i="19"/>
  <c r="AC44" i="19"/>
  <c r="AB44" i="19"/>
  <c r="AA44" i="19"/>
  <c r="Z44" i="19"/>
  <c r="Y44" i="19"/>
  <c r="X44" i="19"/>
  <c r="W44" i="19"/>
  <c r="V44" i="19"/>
  <c r="U44" i="19"/>
  <c r="T44" i="19"/>
  <c r="S44" i="19"/>
  <c r="R44" i="19"/>
  <c r="Q44" i="19"/>
  <c r="P44" i="19"/>
  <c r="O44" i="19"/>
  <c r="M44" i="19"/>
  <c r="L44" i="19"/>
  <c r="K44" i="19"/>
  <c r="AN43" i="19"/>
  <c r="AM43" i="19"/>
  <c r="AL43" i="19"/>
  <c r="AK43" i="19"/>
  <c r="AH43" i="19"/>
  <c r="AG43" i="19"/>
  <c r="AF43" i="19"/>
  <c r="AE43" i="19"/>
  <c r="AB43" i="19"/>
  <c r="AA43" i="19"/>
  <c r="Z43" i="19"/>
  <c r="Y43" i="19"/>
  <c r="V43" i="19"/>
  <c r="U43" i="19"/>
  <c r="T43" i="19"/>
  <c r="S43" i="19"/>
  <c r="P43" i="19"/>
  <c r="O43" i="19"/>
  <c r="M43" i="19"/>
  <c r="AM41" i="19"/>
  <c r="AL41" i="19"/>
  <c r="AK41" i="19"/>
  <c r="AJ41" i="19"/>
  <c r="AI41" i="19"/>
  <c r="AH41" i="19"/>
  <c r="AG41" i="19"/>
  <c r="AF41" i="19"/>
  <c r="AE41" i="19"/>
  <c r="AD41" i="19"/>
  <c r="AC41" i="19"/>
  <c r="AB41" i="19"/>
  <c r="AA41" i="19"/>
  <c r="Z41" i="19"/>
  <c r="Y41" i="19"/>
  <c r="X41" i="19"/>
  <c r="W41" i="19"/>
  <c r="V41" i="19"/>
  <c r="U41" i="19"/>
  <c r="T41" i="19"/>
  <c r="S41" i="19"/>
  <c r="R41" i="19"/>
  <c r="Q41" i="19"/>
  <c r="P41" i="19"/>
  <c r="O41" i="19"/>
  <c r="M41" i="19"/>
  <c r="L41" i="19"/>
  <c r="K41" i="19"/>
  <c r="AN40" i="19"/>
  <c r="AM40" i="19"/>
  <c r="AL40" i="19"/>
  <c r="AK40" i="19"/>
  <c r="AJ40" i="19"/>
  <c r="AI40" i="19"/>
  <c r="AH40" i="19"/>
  <c r="AG40" i="19"/>
  <c r="AF40" i="19"/>
  <c r="AE40" i="19"/>
  <c r="AD40" i="19"/>
  <c r="AC40" i="19"/>
  <c r="AB40" i="19"/>
  <c r="AA40" i="19"/>
  <c r="Z40" i="19"/>
  <c r="Y40" i="19"/>
  <c r="X40" i="19"/>
  <c r="W40" i="19"/>
  <c r="V40" i="19"/>
  <c r="U40" i="19"/>
  <c r="T40" i="19"/>
  <c r="S40" i="19"/>
  <c r="R40" i="19"/>
  <c r="Q40" i="19"/>
  <c r="P40" i="19"/>
  <c r="O40" i="19"/>
  <c r="M40" i="19"/>
  <c r="L40" i="19"/>
  <c r="K40" i="19"/>
  <c r="AN39" i="19"/>
  <c r="AM39" i="19"/>
  <c r="AL39" i="19"/>
  <c r="AK39" i="19"/>
  <c r="AJ39" i="19"/>
  <c r="AI39" i="19"/>
  <c r="AH39" i="19"/>
  <c r="AG39" i="19"/>
  <c r="AF39" i="19"/>
  <c r="AE39" i="19"/>
  <c r="AD39" i="19"/>
  <c r="AC39" i="19"/>
  <c r="AB39" i="19"/>
  <c r="AA39" i="19"/>
  <c r="Z39" i="19"/>
  <c r="Y39" i="19"/>
  <c r="X39" i="19"/>
  <c r="W39" i="19"/>
  <c r="V39" i="19"/>
  <c r="U39" i="19"/>
  <c r="T39" i="19"/>
  <c r="S39" i="19"/>
  <c r="R39" i="19"/>
  <c r="Q39" i="19"/>
  <c r="P39" i="19"/>
  <c r="O39" i="19"/>
  <c r="M39" i="19"/>
  <c r="L39" i="19"/>
  <c r="K39" i="19"/>
  <c r="AN38" i="19"/>
  <c r="AM38" i="19"/>
  <c r="AL38" i="19"/>
  <c r="AK38" i="19"/>
  <c r="AJ38" i="19"/>
  <c r="AI38" i="19"/>
  <c r="AH38" i="19"/>
  <c r="AG38" i="19"/>
  <c r="AF38" i="19"/>
  <c r="AE38" i="19"/>
  <c r="AD38" i="19"/>
  <c r="AC38" i="19"/>
  <c r="AB38" i="19"/>
  <c r="AA38" i="19"/>
  <c r="Z38" i="19"/>
  <c r="Y38" i="19"/>
  <c r="X38" i="19"/>
  <c r="W38" i="19"/>
  <c r="V38" i="19"/>
  <c r="U38" i="19"/>
  <c r="T38" i="19"/>
  <c r="S38" i="19"/>
  <c r="R38" i="19"/>
  <c r="Q38" i="19"/>
  <c r="P38" i="19"/>
  <c r="O38" i="19"/>
  <c r="M38" i="19"/>
  <c r="L38" i="19"/>
  <c r="K38" i="19"/>
  <c r="AN37" i="19"/>
  <c r="AM37" i="19"/>
  <c r="AL37" i="19"/>
  <c r="AK37" i="19"/>
  <c r="AJ37" i="19"/>
  <c r="AI37" i="19"/>
  <c r="AH37" i="19"/>
  <c r="AG37" i="19"/>
  <c r="AF37" i="19"/>
  <c r="AE37" i="19"/>
  <c r="AD37" i="19"/>
  <c r="AC37" i="19"/>
  <c r="AB37" i="19"/>
  <c r="AA37" i="19"/>
  <c r="Z37" i="19"/>
  <c r="Y37" i="19"/>
  <c r="X37" i="19"/>
  <c r="W37" i="19"/>
  <c r="V37" i="19"/>
  <c r="U37" i="19"/>
  <c r="T37" i="19"/>
  <c r="S37" i="19"/>
  <c r="R37" i="19"/>
  <c r="Q37" i="19"/>
  <c r="P37" i="19"/>
  <c r="O37" i="19"/>
  <c r="M37" i="19"/>
  <c r="L37" i="19"/>
  <c r="K37" i="19"/>
  <c r="AN36" i="19"/>
  <c r="AM36" i="19"/>
  <c r="AL36" i="19"/>
  <c r="AK36" i="19"/>
  <c r="AJ36" i="19"/>
  <c r="AI36" i="19"/>
  <c r="AH36" i="19"/>
  <c r="AG36" i="19"/>
  <c r="AF36" i="19"/>
  <c r="AE36" i="19"/>
  <c r="AD36" i="19"/>
  <c r="AC36" i="19"/>
  <c r="AB36" i="19"/>
  <c r="AA36" i="19"/>
  <c r="Z36" i="19"/>
  <c r="Y36" i="19"/>
  <c r="X36" i="19"/>
  <c r="W36" i="19"/>
  <c r="V36" i="19"/>
  <c r="U36" i="19"/>
  <c r="T36" i="19"/>
  <c r="S36" i="19"/>
  <c r="R36" i="19"/>
  <c r="Q36" i="19"/>
  <c r="P36" i="19"/>
  <c r="O36" i="19"/>
  <c r="M36" i="19"/>
  <c r="L36" i="19"/>
  <c r="K36" i="19"/>
  <c r="AN35" i="19"/>
  <c r="AM35" i="19"/>
  <c r="AL35" i="19"/>
  <c r="AK35" i="19"/>
  <c r="AJ35" i="19"/>
  <c r="AI35" i="19"/>
  <c r="AH35" i="19"/>
  <c r="AG35" i="19"/>
  <c r="AF35" i="19"/>
  <c r="AE35" i="19"/>
  <c r="AD35" i="19"/>
  <c r="AC35" i="19"/>
  <c r="AB35" i="19"/>
  <c r="AA35" i="19"/>
  <c r="Z35" i="19"/>
  <c r="Y35" i="19"/>
  <c r="X35" i="19"/>
  <c r="W35" i="19"/>
  <c r="V35" i="19"/>
  <c r="U35" i="19"/>
  <c r="T35" i="19"/>
  <c r="S35" i="19"/>
  <c r="R35" i="19"/>
  <c r="Q35" i="19"/>
  <c r="P35" i="19"/>
  <c r="O35" i="19"/>
  <c r="M35" i="19"/>
  <c r="L35" i="19"/>
  <c r="K35" i="19"/>
  <c r="AN34" i="19"/>
  <c r="AM34" i="19"/>
  <c r="AL34" i="19"/>
  <c r="AK34" i="19"/>
  <c r="AJ34" i="19"/>
  <c r="AI34" i="19"/>
  <c r="AH34" i="19"/>
  <c r="AG34" i="19"/>
  <c r="AF34" i="19"/>
  <c r="AE34" i="19"/>
  <c r="AD34" i="19"/>
  <c r="AC34" i="19"/>
  <c r="AB34" i="19"/>
  <c r="AA34" i="19"/>
  <c r="Z34" i="19"/>
  <c r="Y34" i="19"/>
  <c r="X34" i="19"/>
  <c r="W34" i="19"/>
  <c r="V34" i="19"/>
  <c r="U34" i="19"/>
  <c r="T34" i="19"/>
  <c r="S34" i="19"/>
  <c r="R34" i="19"/>
  <c r="Q34" i="19"/>
  <c r="P34" i="19"/>
  <c r="O34" i="19"/>
  <c r="M34" i="19"/>
  <c r="L34" i="19"/>
  <c r="K34" i="19"/>
  <c r="AN33" i="19"/>
  <c r="AM33" i="19"/>
  <c r="AL33" i="19"/>
  <c r="AK33" i="19"/>
  <c r="AH33" i="19"/>
  <c r="AG33" i="19"/>
  <c r="AF33" i="19"/>
  <c r="AE33" i="19"/>
  <c r="AB33" i="19"/>
  <c r="AA33" i="19"/>
  <c r="Z33" i="19"/>
  <c r="Y33" i="19"/>
  <c r="V33" i="19"/>
  <c r="U33" i="19"/>
  <c r="T33" i="19"/>
  <c r="S33" i="19"/>
  <c r="P33" i="19"/>
  <c r="O33" i="19"/>
  <c r="M33" i="19"/>
  <c r="AM31" i="19"/>
  <c r="AL31" i="19"/>
  <c r="AK31" i="19"/>
  <c r="AJ31" i="19"/>
  <c r="AI31" i="19"/>
  <c r="AH31" i="19"/>
  <c r="AG31" i="19"/>
  <c r="AF31" i="19"/>
  <c r="AE31" i="19"/>
  <c r="AD31" i="19"/>
  <c r="AC31" i="19"/>
  <c r="AB31" i="19"/>
  <c r="AA31" i="19"/>
  <c r="Z31" i="19"/>
  <c r="Y31" i="19"/>
  <c r="X31" i="19"/>
  <c r="W31" i="19"/>
  <c r="V31" i="19"/>
  <c r="U31" i="19"/>
  <c r="T31" i="19"/>
  <c r="S31" i="19"/>
  <c r="R31" i="19"/>
  <c r="Q31" i="19"/>
  <c r="P31" i="19"/>
  <c r="O31" i="19"/>
  <c r="M31" i="19"/>
  <c r="L31" i="19"/>
  <c r="K31" i="19"/>
  <c r="AN30" i="19"/>
  <c r="AM30" i="19"/>
  <c r="AL30" i="19"/>
  <c r="AK30" i="19"/>
  <c r="AJ30" i="19"/>
  <c r="AI30" i="19"/>
  <c r="AH30" i="19"/>
  <c r="AG30" i="19"/>
  <c r="AF30" i="19"/>
  <c r="AE30" i="19"/>
  <c r="AD30" i="19"/>
  <c r="AC30" i="19"/>
  <c r="AB30" i="19"/>
  <c r="AA30" i="19"/>
  <c r="Z30" i="19"/>
  <c r="Y30" i="19"/>
  <c r="X30" i="19"/>
  <c r="W30" i="19"/>
  <c r="V30" i="19"/>
  <c r="U30" i="19"/>
  <c r="T30" i="19"/>
  <c r="S30" i="19"/>
  <c r="R30" i="19"/>
  <c r="Q30" i="19"/>
  <c r="P30" i="19"/>
  <c r="O30" i="19"/>
  <c r="M30" i="19"/>
  <c r="L30" i="19"/>
  <c r="K30" i="19"/>
  <c r="AN29" i="19"/>
  <c r="AM29" i="19"/>
  <c r="AL29" i="19"/>
  <c r="AK29" i="19"/>
  <c r="AJ29" i="19"/>
  <c r="AI29" i="19"/>
  <c r="AH29" i="19"/>
  <c r="AG29" i="19"/>
  <c r="AF29" i="19"/>
  <c r="AE29" i="19"/>
  <c r="AD29" i="19"/>
  <c r="AC29" i="19"/>
  <c r="AB29" i="19"/>
  <c r="AA29" i="19"/>
  <c r="Z29" i="19"/>
  <c r="Y29" i="19"/>
  <c r="X29" i="19"/>
  <c r="W29" i="19"/>
  <c r="V29" i="19"/>
  <c r="U29" i="19"/>
  <c r="T29" i="19"/>
  <c r="S29" i="19"/>
  <c r="R29" i="19"/>
  <c r="Q29" i="19"/>
  <c r="P29" i="19"/>
  <c r="O29" i="19"/>
  <c r="M29" i="19"/>
  <c r="L29" i="19"/>
  <c r="K29" i="19"/>
  <c r="AN28" i="19"/>
  <c r="AM28" i="19"/>
  <c r="AL28" i="19"/>
  <c r="AK28" i="19"/>
  <c r="AJ28" i="19"/>
  <c r="AI28" i="19"/>
  <c r="AH28" i="19"/>
  <c r="AG28" i="19"/>
  <c r="AF28" i="19"/>
  <c r="AE28" i="19"/>
  <c r="AD28" i="19"/>
  <c r="AC28" i="19"/>
  <c r="AB28" i="19"/>
  <c r="AA28" i="19"/>
  <c r="Z28" i="19"/>
  <c r="Y28" i="19"/>
  <c r="X28" i="19"/>
  <c r="W28" i="19"/>
  <c r="V28" i="19"/>
  <c r="U28" i="19"/>
  <c r="T28" i="19"/>
  <c r="S28" i="19"/>
  <c r="R28" i="19"/>
  <c r="Q28" i="19"/>
  <c r="P28" i="19"/>
  <c r="O28" i="19"/>
  <c r="M28" i="19"/>
  <c r="L28" i="19"/>
  <c r="K28" i="19"/>
  <c r="AN27" i="19"/>
  <c r="AM27" i="19"/>
  <c r="AL27" i="19"/>
  <c r="AK27" i="19"/>
  <c r="AJ27" i="19"/>
  <c r="AI27" i="19"/>
  <c r="AH27" i="19"/>
  <c r="AG27" i="19"/>
  <c r="AF27" i="19"/>
  <c r="AE27" i="19"/>
  <c r="AD27" i="19"/>
  <c r="AC27" i="19"/>
  <c r="AB27" i="19"/>
  <c r="AA27" i="19"/>
  <c r="Z27" i="19"/>
  <c r="Y27" i="19"/>
  <c r="X27" i="19"/>
  <c r="W27" i="19"/>
  <c r="V27" i="19"/>
  <c r="U27" i="19"/>
  <c r="T27" i="19"/>
  <c r="S27" i="19"/>
  <c r="R27" i="19"/>
  <c r="Q27" i="19"/>
  <c r="P27" i="19"/>
  <c r="O27" i="19"/>
  <c r="M27" i="19"/>
  <c r="L27" i="19"/>
  <c r="K27"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M26" i="19"/>
  <c r="L26" i="19"/>
  <c r="K26" i="19"/>
  <c r="AN25" i="19"/>
  <c r="AM25" i="19"/>
  <c r="AL25" i="19"/>
  <c r="AK25" i="19"/>
  <c r="AJ25" i="19"/>
  <c r="AI25" i="19"/>
  <c r="AH25" i="19"/>
  <c r="AG25" i="19"/>
  <c r="AF25" i="19"/>
  <c r="AE25" i="19"/>
  <c r="AD25" i="19"/>
  <c r="AC25" i="19"/>
  <c r="AB25" i="19"/>
  <c r="AA25" i="19"/>
  <c r="Z25" i="19"/>
  <c r="Y25" i="19"/>
  <c r="X25" i="19"/>
  <c r="W25" i="19"/>
  <c r="V25" i="19"/>
  <c r="U25" i="19"/>
  <c r="T25" i="19"/>
  <c r="S25" i="19"/>
  <c r="R25" i="19"/>
  <c r="Q25" i="19"/>
  <c r="P25" i="19"/>
  <c r="O25" i="19"/>
  <c r="M25" i="19"/>
  <c r="L25" i="19"/>
  <c r="K25" i="19"/>
  <c r="AN24" i="19"/>
  <c r="AM24" i="19"/>
  <c r="AL24" i="19"/>
  <c r="AK24" i="19"/>
  <c r="AJ24" i="19"/>
  <c r="AI24" i="19"/>
  <c r="AH24" i="19"/>
  <c r="AG24" i="19"/>
  <c r="AF24" i="19"/>
  <c r="AE24" i="19"/>
  <c r="AD24" i="19"/>
  <c r="AC24" i="19"/>
  <c r="AB24" i="19"/>
  <c r="AA24" i="19"/>
  <c r="Z24" i="19"/>
  <c r="Y24" i="19"/>
  <c r="X24" i="19"/>
  <c r="W24" i="19"/>
  <c r="V24" i="19"/>
  <c r="U24" i="19"/>
  <c r="T24" i="19"/>
  <c r="S24" i="19"/>
  <c r="R24" i="19"/>
  <c r="Q24" i="19"/>
  <c r="P24" i="19"/>
  <c r="O24" i="19"/>
  <c r="M24" i="19"/>
  <c r="L24" i="19"/>
  <c r="K24" i="19"/>
  <c r="AN23" i="19"/>
  <c r="AM23" i="19"/>
  <c r="AL23" i="19"/>
  <c r="AK23" i="19"/>
  <c r="AH23" i="19"/>
  <c r="AG23" i="19"/>
  <c r="AF23" i="19"/>
  <c r="AE23" i="19"/>
  <c r="AB23" i="19"/>
  <c r="AA23" i="19"/>
  <c r="Z23" i="19"/>
  <c r="Y23" i="19"/>
  <c r="V23" i="19"/>
  <c r="U23" i="19"/>
  <c r="T23" i="19"/>
  <c r="S23" i="19"/>
  <c r="P23" i="19"/>
  <c r="O23" i="19"/>
  <c r="M23" i="19"/>
  <c r="AN41" i="19"/>
  <c r="AN31" i="19"/>
  <c r="AN21" i="19"/>
  <c r="AM21" i="19"/>
  <c r="AL21" i="19"/>
  <c r="AK21" i="19"/>
  <c r="AJ21" i="19"/>
  <c r="AI21" i="19"/>
  <c r="AN20" i="19"/>
  <c r="AM20" i="19"/>
  <c r="AL20" i="19"/>
  <c r="AK20" i="19"/>
  <c r="AJ20" i="19"/>
  <c r="AI20" i="19"/>
  <c r="AN19" i="19"/>
  <c r="AM19" i="19"/>
  <c r="AL19" i="19"/>
  <c r="AK19" i="19"/>
  <c r="AJ19" i="19"/>
  <c r="AI19" i="19"/>
  <c r="AN18" i="19"/>
  <c r="AM18" i="19"/>
  <c r="AL18" i="19"/>
  <c r="AK18" i="19"/>
  <c r="AJ18" i="19"/>
  <c r="AI18" i="19"/>
  <c r="AN17" i="19"/>
  <c r="AM17" i="19"/>
  <c r="AL17" i="19"/>
  <c r="AK17" i="19"/>
  <c r="AJ17" i="19"/>
  <c r="AI17" i="19"/>
  <c r="AN16" i="19"/>
  <c r="AM16" i="19"/>
  <c r="AL16" i="19"/>
  <c r="AK16" i="19"/>
  <c r="AJ16" i="19"/>
  <c r="AI16" i="19"/>
  <c r="AN15" i="19"/>
  <c r="AM15" i="19"/>
  <c r="AL15" i="19"/>
  <c r="AK15" i="19"/>
  <c r="AJ15" i="19"/>
  <c r="AI15" i="19"/>
  <c r="AN14" i="19"/>
  <c r="AM14" i="19"/>
  <c r="AL14" i="19"/>
  <c r="AK14" i="19"/>
  <c r="AJ14" i="19"/>
  <c r="AI14" i="19"/>
  <c r="Q14" i="19"/>
  <c r="AN13" i="19"/>
  <c r="AM13" i="19"/>
  <c r="AL13" i="19"/>
  <c r="AK13" i="19"/>
  <c r="AC14" i="19"/>
  <c r="AD14" i="19"/>
  <c r="AE14" i="19"/>
  <c r="AF14" i="19"/>
  <c r="AH14" i="19"/>
  <c r="AG14" i="19"/>
  <c r="AH21" i="19"/>
  <c r="AF13" i="19"/>
  <c r="AE13" i="19"/>
  <c r="AG15" i="19"/>
  <c r="AG13" i="19"/>
  <c r="AH13" i="19"/>
  <c r="AG21" i="19"/>
  <c r="AF21" i="19"/>
  <c r="AE21" i="19"/>
  <c r="AD21" i="19"/>
  <c r="AC21" i="19"/>
  <c r="AH20" i="19"/>
  <c r="AG20" i="19"/>
  <c r="AF20" i="19"/>
  <c r="AE20" i="19"/>
  <c r="AD20" i="19"/>
  <c r="AC20" i="19"/>
  <c r="AH19" i="19"/>
  <c r="AG19" i="19"/>
  <c r="AF19" i="19"/>
  <c r="AE19" i="19"/>
  <c r="AD19" i="19"/>
  <c r="AC19" i="19"/>
  <c r="AH18" i="19"/>
  <c r="AG18" i="19"/>
  <c r="AF18" i="19"/>
  <c r="AE18" i="19"/>
  <c r="AD18" i="19"/>
  <c r="AC18" i="19"/>
  <c r="AH17" i="19"/>
  <c r="AG17" i="19"/>
  <c r="AF17" i="19"/>
  <c r="AE17" i="19"/>
  <c r="AD17" i="19"/>
  <c r="AC17" i="19"/>
  <c r="AH16" i="19"/>
  <c r="AG16" i="19"/>
  <c r="AF16" i="19"/>
  <c r="AE16" i="19"/>
  <c r="AD16" i="19"/>
  <c r="AC16" i="19"/>
  <c r="AH15" i="19"/>
  <c r="AF15" i="19"/>
  <c r="AE15" i="19"/>
  <c r="AD15" i="19"/>
  <c r="AC15" i="19"/>
  <c r="W21" i="19"/>
  <c r="X21" i="19"/>
  <c r="Y21" i="19"/>
  <c r="Z21" i="19"/>
  <c r="AA21" i="19"/>
  <c r="AB21" i="19"/>
  <c r="AB20" i="19"/>
  <c r="AA20" i="19"/>
  <c r="Z20" i="19"/>
  <c r="Y20" i="19"/>
  <c r="X20" i="19"/>
  <c r="W20" i="19"/>
  <c r="W19" i="19"/>
  <c r="X19" i="19"/>
  <c r="Y19" i="19"/>
  <c r="Z19" i="19"/>
  <c r="AA19" i="19"/>
  <c r="AB19" i="19"/>
  <c r="AB18" i="19"/>
  <c r="AA18" i="19"/>
  <c r="Z18" i="19"/>
  <c r="Y18" i="19"/>
  <c r="X18" i="19"/>
  <c r="W18" i="19"/>
  <c r="W17" i="19"/>
  <c r="X17" i="19"/>
  <c r="Y17" i="19"/>
  <c r="Z17" i="19"/>
  <c r="AA17" i="19"/>
  <c r="AB17" i="19"/>
  <c r="AB16" i="19"/>
  <c r="AA16" i="19"/>
  <c r="Z16" i="19"/>
  <c r="Y16" i="19"/>
  <c r="X16" i="19"/>
  <c r="W16" i="19"/>
  <c r="W15" i="19"/>
  <c r="X15" i="19"/>
  <c r="Y15" i="19"/>
  <c r="Z15" i="19"/>
  <c r="AA15" i="19"/>
  <c r="AB15" i="19"/>
  <c r="AB14" i="19"/>
  <c r="AA14" i="19"/>
  <c r="Z14" i="19"/>
  <c r="Y14" i="19"/>
  <c r="X14" i="19"/>
  <c r="W14" i="19"/>
  <c r="Y13" i="19"/>
  <c r="Z13" i="19"/>
  <c r="AA13" i="19"/>
  <c r="AB13" i="19"/>
  <c r="V21" i="19"/>
  <c r="U21" i="19"/>
  <c r="T21" i="19"/>
  <c r="S21" i="19"/>
  <c r="R21" i="19"/>
  <c r="Q21" i="19"/>
  <c r="Q20" i="19"/>
  <c r="R20" i="19"/>
  <c r="S20" i="19"/>
  <c r="T20" i="19"/>
  <c r="U20" i="19"/>
  <c r="V20" i="19"/>
  <c r="U19" i="19"/>
  <c r="V19" i="19"/>
  <c r="T19" i="19"/>
  <c r="S19" i="19"/>
  <c r="R19" i="19"/>
  <c r="Q19" i="19"/>
  <c r="Q18" i="19"/>
  <c r="R18" i="19"/>
  <c r="S18" i="19"/>
  <c r="T18" i="19"/>
  <c r="U18" i="19"/>
  <c r="V18" i="19"/>
  <c r="V17" i="19"/>
  <c r="U17" i="19"/>
  <c r="T17" i="19"/>
  <c r="S17" i="19"/>
  <c r="R17" i="19"/>
  <c r="Q17" i="19"/>
  <c r="Q16" i="19"/>
  <c r="R16" i="19"/>
  <c r="S16" i="19"/>
  <c r="T16" i="19"/>
  <c r="U16" i="19"/>
  <c r="V16" i="19"/>
  <c r="V15" i="19"/>
  <c r="U15" i="19"/>
  <c r="T15" i="19"/>
  <c r="S15" i="19"/>
  <c r="R15" i="19"/>
  <c r="Q15" i="19"/>
  <c r="V13" i="19"/>
  <c r="V14" i="19"/>
  <c r="U14" i="19"/>
  <c r="T14" i="19"/>
  <c r="S14" i="19"/>
  <c r="R14" i="19"/>
  <c r="S13" i="19"/>
  <c r="T13" i="19"/>
  <c r="U13" i="19"/>
  <c r="P21" i="19"/>
  <c r="O21" i="19"/>
  <c r="N21" i="19"/>
  <c r="M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49" i="18"/>
  <c r="N49" i="18"/>
  <c r="P49" i="18"/>
  <c r="R49" i="18"/>
  <c r="T49" i="18"/>
  <c r="V49" i="18"/>
  <c r="X49" i="18"/>
  <c r="Z49" i="18"/>
  <c r="AB49" i="18"/>
  <c r="AD49" i="18"/>
  <c r="AF49" i="18"/>
  <c r="AH49" i="18"/>
  <c r="AJ49" i="18"/>
  <c r="AL49" i="18"/>
  <c r="AN49" i="18"/>
  <c r="AN47" i="18"/>
  <c r="AH47" i="18"/>
  <c r="AB47" i="18"/>
  <c r="V47" i="18"/>
  <c r="P47" i="18"/>
  <c r="N47" i="18"/>
  <c r="N45" i="18"/>
  <c r="P45" i="18"/>
  <c r="P43" i="18"/>
  <c r="N43" i="18"/>
  <c r="L41" i="18"/>
  <c r="N41" i="18"/>
  <c r="P41" i="18"/>
  <c r="R41" i="18"/>
  <c r="T41" i="18"/>
  <c r="V41" i="18"/>
  <c r="X41" i="18"/>
  <c r="Z41" i="18"/>
  <c r="AB41" i="18"/>
  <c r="AD41" i="18"/>
  <c r="AF41" i="18"/>
  <c r="AH41" i="18"/>
  <c r="AJ41" i="18"/>
  <c r="AL41" i="18"/>
  <c r="AN41" i="18"/>
  <c r="AN39" i="18"/>
  <c r="AH39" i="18"/>
  <c r="AB39" i="18"/>
  <c r="V39" i="18"/>
  <c r="P39" i="18"/>
  <c r="N39" i="18"/>
  <c r="N37" i="18"/>
  <c r="P37" i="18"/>
  <c r="P35" i="18"/>
  <c r="N35" i="18"/>
  <c r="AN33" i="18"/>
  <c r="AL33" i="18"/>
  <c r="AJ33" i="18"/>
  <c r="AH33" i="18"/>
  <c r="AF33" i="18"/>
  <c r="AD33" i="18"/>
  <c r="AB33" i="18"/>
  <c r="Z33" i="18"/>
  <c r="X33" i="18"/>
  <c r="V33" i="18"/>
  <c r="T33" i="18"/>
  <c r="R33" i="18"/>
  <c r="P33" i="18"/>
  <c r="N33" i="18"/>
  <c r="L33" i="18"/>
  <c r="N31" i="18"/>
  <c r="P31" i="18"/>
  <c r="V31" i="18"/>
  <c r="AB31" i="18"/>
  <c r="AH31" i="18"/>
  <c r="AN31" i="18"/>
  <c r="P29" i="18"/>
  <c r="N29" i="18"/>
  <c r="P27" i="18"/>
  <c r="N27" i="18"/>
  <c r="AN25" i="18"/>
  <c r="AL25" i="18"/>
  <c r="AJ25" i="18"/>
  <c r="AN23" i="18"/>
  <c r="AH25" i="18"/>
  <c r="AF25" i="18"/>
  <c r="AD25" i="18"/>
  <c r="AH23" i="18"/>
  <c r="AB25" i="18"/>
  <c r="X25" i="18"/>
  <c r="Z25" i="18"/>
  <c r="AB23" i="18"/>
  <c r="V25" i="18"/>
  <c r="T25" i="18"/>
  <c r="R25" i="18"/>
  <c r="V23" i="18"/>
  <c r="P25" i="18"/>
  <c r="N25" i="18"/>
  <c r="L25" i="18"/>
  <c r="P23" i="18"/>
  <c r="N23" i="18"/>
  <c r="P21" i="18"/>
  <c r="N21" i="18"/>
  <c r="P19" i="18"/>
  <c r="N19" i="18"/>
  <c r="AN17" i="18"/>
  <c r="AL17" i="18"/>
  <c r="AJ17" i="18"/>
  <c r="AN15" i="18"/>
  <c r="AH17" i="18"/>
  <c r="AF17" i="18"/>
  <c r="AD17" i="18"/>
  <c r="AH15" i="18"/>
  <c r="AB17" i="18"/>
  <c r="Z17" i="18"/>
  <c r="X17" i="18"/>
  <c r="AB15" i="18"/>
  <c r="V17" i="18"/>
  <c r="V15" i="18"/>
  <c r="T17" i="18"/>
  <c r="R17" i="18"/>
  <c r="L17" i="18"/>
  <c r="P17" i="18"/>
  <c r="N17" i="18"/>
  <c r="P15" i="18"/>
  <c r="N15" i="18"/>
  <c r="P13" i="18"/>
  <c r="N13" i="18"/>
  <c r="P11" i="18"/>
  <c r="N11" i="18"/>
  <c r="AI53" i="19" l="1"/>
  <c r="AN13" i="18"/>
  <c r="AN29" i="18"/>
  <c r="AN37" i="18"/>
  <c r="AN21" i="18"/>
  <c r="AN45" i="18"/>
  <c r="AI15" i="1" l="1"/>
  <c r="AH15" i="1"/>
  <c r="F29" i="27"/>
  <c r="E29" i="27"/>
  <c r="G29" i="27" s="1"/>
  <c r="P28" i="1" l="1"/>
  <c r="F221" i="13" l="1"/>
  <c r="F211" i="13"/>
  <c r="F212" i="13"/>
  <c r="F213" i="13"/>
  <c r="F214" i="13"/>
  <c r="F215" i="13"/>
  <c r="F216" i="13"/>
  <c r="F217" i="13"/>
  <c r="F218" i="13"/>
  <c r="F219" i="13"/>
  <c r="F220" i="13"/>
  <c r="F210" i="13"/>
  <c r="B221" i="13" a="1"/>
  <c r="B221" i="13" l="1"/>
  <c r="B223" i="13" l="1"/>
  <c r="B222" i="13"/>
  <c r="H210" i="13" s="1"/>
  <c r="AD53" i="19" l="1"/>
  <c r="X23" i="19"/>
  <c r="AJ13" i="19"/>
  <c r="X13" i="19"/>
  <c r="R43" i="19"/>
  <c r="R33" i="19"/>
  <c r="R53" i="19"/>
  <c r="R23" i="19"/>
  <c r="AD13" i="19"/>
  <c r="X53" i="19"/>
  <c r="AJ43" i="19"/>
  <c r="L43" i="19"/>
  <c r="L33" i="19"/>
  <c r="L53" i="19"/>
  <c r="AJ33" i="19"/>
  <c r="AJ23" i="19"/>
  <c r="L23" i="19"/>
  <c r="X33" i="19"/>
  <c r="AD43" i="19"/>
  <c r="AD33" i="19"/>
  <c r="AJ53" i="19"/>
  <c r="AD23" i="19"/>
  <c r="X43" i="19"/>
  <c r="R13" i="19"/>
  <c r="L13" i="19"/>
  <c r="AC53" i="19"/>
  <c r="W43" i="19"/>
  <c r="W33" i="19"/>
  <c r="W23" i="19"/>
  <c r="W53" i="19"/>
  <c r="AI13" i="19"/>
  <c r="Q43" i="19"/>
  <c r="Q33" i="19"/>
  <c r="K13" i="19"/>
  <c r="Q53" i="19"/>
  <c r="Q23" i="19"/>
  <c r="AC13" i="19"/>
  <c r="AI43" i="19"/>
  <c r="K43" i="19"/>
  <c r="K33" i="19"/>
  <c r="K23" i="19"/>
  <c r="K53" i="19"/>
  <c r="AI33" i="19"/>
  <c r="AI23" i="19"/>
  <c r="AC23" i="19"/>
  <c r="W13" i="19"/>
  <c r="AC43" i="19"/>
  <c r="AC33" i="19"/>
  <c r="Q13" i="19"/>
  <c r="P52" i="19"/>
  <c r="AH42" i="19"/>
  <c r="AH32" i="19"/>
  <c r="AB12" i="19"/>
  <c r="P12" i="19"/>
  <c r="AH52" i="19"/>
  <c r="P42" i="19"/>
  <c r="P32" i="19"/>
  <c r="AH22" i="19"/>
  <c r="P22" i="19"/>
  <c r="AN12" i="19"/>
  <c r="V22" i="19"/>
  <c r="AB52" i="19"/>
  <c r="AB42" i="19"/>
  <c r="AB32" i="19"/>
  <c r="AB22" i="19"/>
  <c r="AH12" i="19"/>
  <c r="V12" i="19"/>
  <c r="AN42" i="19"/>
  <c r="AN32" i="19"/>
  <c r="AN52" i="19"/>
  <c r="V52" i="19"/>
  <c r="V42" i="19"/>
  <c r="V32" i="19"/>
  <c r="AN22" i="19"/>
  <c r="U52" i="19"/>
  <c r="U22" i="19"/>
  <c r="O12" i="19"/>
  <c r="O52" i="19"/>
  <c r="AG42" i="19"/>
  <c r="AG32" i="19"/>
  <c r="AG52" i="19"/>
  <c r="O42" i="19"/>
  <c r="O32" i="19"/>
  <c r="AG22" i="19"/>
  <c r="U12" i="19"/>
  <c r="AM12" i="19"/>
  <c r="AA22" i="19"/>
  <c r="U32" i="19"/>
  <c r="O22" i="19"/>
  <c r="AA52" i="19"/>
  <c r="AA42" i="19"/>
  <c r="AA32" i="19"/>
  <c r="AG12" i="19"/>
  <c r="U42" i="19"/>
  <c r="AM42" i="19"/>
  <c r="AM32" i="19"/>
  <c r="AA12" i="19"/>
  <c r="AM52" i="19"/>
  <c r="AM22" i="19"/>
  <c r="L21" i="18" l="1"/>
  <c r="L37" i="18"/>
  <c r="R13" i="18"/>
  <c r="R37" i="18"/>
  <c r="AD29" i="18"/>
  <c r="L45" i="18"/>
  <c r="AD45" i="18"/>
  <c r="X13" i="18"/>
  <c r="AJ21" i="18"/>
  <c r="AD37" i="18"/>
  <c r="L13" i="18"/>
  <c r="X21" i="18"/>
  <c r="R21" i="18"/>
  <c r="X37" i="18"/>
  <c r="R29" i="18"/>
  <c r="X29" i="18"/>
  <c r="AJ13" i="18"/>
  <c r="AJ45" i="18"/>
  <c r="X45" i="18"/>
  <c r="R45" i="18"/>
  <c r="AJ29" i="18"/>
  <c r="AD13" i="18"/>
  <c r="L29" i="18"/>
  <c r="AJ37" i="18"/>
  <c r="AD21" i="18"/>
  <c r="Z31" i="18"/>
  <c r="AL23" i="18"/>
  <c r="Z15" i="18"/>
  <c r="Z23" i="18"/>
  <c r="AF39" i="18"/>
  <c r="Z39" i="18"/>
  <c r="AL31" i="18"/>
  <c r="T47" i="18"/>
  <c r="AF15" i="18"/>
  <c r="AL15" i="18"/>
  <c r="T39" i="18"/>
  <c r="AL47" i="18"/>
  <c r="AF23" i="18"/>
  <c r="AL39" i="18"/>
  <c r="T31" i="18"/>
  <c r="T15" i="18"/>
  <c r="AF31" i="18"/>
  <c r="AF47" i="18"/>
  <c r="T23" i="18"/>
  <c r="Z47" i="18"/>
  <c r="Z21" i="18"/>
  <c r="Z29" i="18"/>
  <c r="AL21" i="18"/>
  <c r="AF37" i="18"/>
  <c r="AL29" i="18"/>
  <c r="AF13" i="18"/>
  <c r="T21" i="18"/>
  <c r="AF29" i="18"/>
  <c r="T37" i="18"/>
  <c r="Z37" i="18"/>
  <c r="AL13" i="18"/>
  <c r="T45" i="18"/>
  <c r="T29" i="18"/>
  <c r="AF45" i="18"/>
  <c r="T13" i="18"/>
  <c r="Z45" i="18"/>
  <c r="AL37" i="18"/>
  <c r="AF21" i="18"/>
  <c r="Z13" i="18"/>
  <c r="AL45" i="18"/>
  <c r="R15" i="18"/>
  <c r="AJ23" i="18"/>
  <c r="R39" i="18"/>
  <c r="AJ39" i="18"/>
  <c r="R31" i="18"/>
  <c r="L47" i="18"/>
  <c r="X23" i="18"/>
  <c r="L39" i="18"/>
  <c r="L31" i="18"/>
  <c r="X15" i="18"/>
  <c r="X31" i="18"/>
  <c r="AD39" i="18"/>
  <c r="AJ31" i="18"/>
  <c r="R23" i="18"/>
  <c r="AJ47" i="18"/>
  <c r="AD23" i="18"/>
  <c r="X47" i="18"/>
  <c r="L23" i="18"/>
  <c r="R47" i="18"/>
  <c r="L15" i="18"/>
  <c r="AD31" i="18"/>
  <c r="AD15" i="18"/>
  <c r="AJ15" i="18"/>
  <c r="X39" i="18"/>
  <c r="AD47" i="18"/>
  <c r="AH29" i="18"/>
  <c r="V13" i="18"/>
  <c r="AB45" i="18"/>
  <c r="AH45" i="18"/>
  <c r="AB29" i="18"/>
  <c r="AB13" i="18"/>
  <c r="V29" i="18"/>
  <c r="V37" i="18"/>
  <c r="AH13" i="18"/>
  <c r="AH37" i="18"/>
  <c r="AB37" i="18"/>
  <c r="AB21" i="18"/>
  <c r="V21" i="18"/>
  <c r="V45" i="18"/>
  <c r="AH21" i="18"/>
  <c r="Z19" i="18"/>
  <c r="AL43" i="18"/>
  <c r="AF35" i="18"/>
  <c r="AF11" i="18"/>
  <c r="AN27" i="18"/>
  <c r="AN19" i="18"/>
  <c r="AB43" i="18"/>
  <c r="V27" i="18"/>
  <c r="AN43" i="18"/>
  <c r="AN35" i="18"/>
  <c r="AB19" i="18"/>
  <c r="V11" i="18"/>
  <c r="AN11" i="18"/>
  <c r="AH43" i="18"/>
  <c r="V19" i="18"/>
  <c r="AH35" i="18"/>
  <c r="AH19" i="18"/>
  <c r="AB35" i="18"/>
  <c r="V43" i="18"/>
  <c r="AB11" i="18"/>
  <c r="AH11" i="18"/>
  <c r="AH27" i="18"/>
  <c r="AB27" i="18"/>
  <c r="V35" i="18"/>
  <c r="Z43" i="18" l="1"/>
  <c r="T15" i="1"/>
  <c r="AK15" i="1" s="1"/>
  <c r="AL35" i="18"/>
  <c r="AF27" i="18"/>
  <c r="AF19" i="18"/>
  <c r="T11" i="18"/>
  <c r="Z11" i="18"/>
  <c r="Z35" i="18"/>
  <c r="T43" i="18"/>
  <c r="T35" i="18"/>
  <c r="AF43" i="18"/>
  <c r="T19" i="18"/>
  <c r="AL19" i="18"/>
  <c r="AL27" i="18"/>
  <c r="T27" i="18"/>
  <c r="Z27" i="18"/>
  <c r="AL11" i="18"/>
  <c r="AF22" i="19"/>
  <c r="AL22" i="19"/>
  <c r="AF12" i="19"/>
  <c r="Z22" i="19"/>
  <c r="N22" i="19"/>
  <c r="T52" i="19"/>
  <c r="T42" i="19"/>
  <c r="Z32" i="19"/>
  <c r="AL42" i="19"/>
  <c r="Z52" i="19"/>
  <c r="T12" i="19"/>
  <c r="T32" i="19"/>
  <c r="AF32" i="19"/>
  <c r="T22" i="19"/>
  <c r="AF52" i="19"/>
  <c r="AL12" i="19"/>
  <c r="AL32" i="19"/>
  <c r="Z12" i="19"/>
  <c r="AF42" i="19"/>
  <c r="AL52" i="19"/>
  <c r="N12" i="19"/>
  <c r="Z42" i="19"/>
  <c r="M52" i="19" l="1"/>
  <c r="AK52" i="19"/>
  <c r="S42" i="19"/>
  <c r="M42" i="19"/>
  <c r="S32" i="19"/>
  <c r="S22" i="19"/>
  <c r="M32" i="19"/>
  <c r="AE42" i="19"/>
  <c r="AE52" i="19"/>
  <c r="AK32" i="19"/>
  <c r="AK42" i="19"/>
  <c r="M22" i="19"/>
  <c r="AE22" i="19"/>
  <c r="AK22" i="19"/>
  <c r="M12" i="19"/>
  <c r="AE32" i="19"/>
  <c r="AK12" i="19"/>
  <c r="S52" i="19"/>
  <c r="S12" i="19"/>
  <c r="AE12" i="19"/>
  <c r="AJ15" i="1"/>
  <c r="AL15" i="1" s="1"/>
  <c r="R12" i="19"/>
  <c r="X32" i="19"/>
  <c r="AD22" i="19"/>
  <c r="L22" i="19"/>
  <c r="X42" i="19"/>
  <c r="AD12" i="19"/>
  <c r="R52" i="19"/>
  <c r="AJ42" i="19"/>
  <c r="AD32" i="19"/>
  <c r="AJ32" i="19"/>
  <c r="R32" i="19"/>
  <c r="AJ52" i="19"/>
  <c r="AJ22" i="19"/>
  <c r="AJ12" i="19"/>
  <c r="R22" i="19"/>
  <c r="AD52" i="19"/>
  <c r="AD42" i="19"/>
  <c r="L42" i="19"/>
  <c r="L52" i="19"/>
  <c r="R42" i="19"/>
  <c r="L12" i="19"/>
  <c r="X22" i="19"/>
  <c r="X12" i="19"/>
  <c r="L32" i="19"/>
  <c r="X5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tc={31DE014E-1502-4058-AF14-D12B122223C2}</author>
    <author>tc={7319F458-F751-4993-B913-0ED035E30CF3}</author>
    <author>Calidad ETITC</author>
    <author>tc={1816B48D-01BB-448B-AFCC-2FEDB756BA42}</author>
    <author>tc={8ADAA9EE-5890-4480-85AE-C33717331CF8}</author>
    <author>tc={975DE72D-945A-4BAE-A64E-E42069A0D1CB}</author>
    <author>tc={837D0758-B511-4B9B-885F-44B15625A2B0}</author>
    <author>Stefany Parra</author>
  </authors>
  <commentList>
    <comment ref="F13" authorId="0" shapeId="0" xr:uid="{31DE014E-1502-4058-AF14-D12B122223C2}">
      <text>
        <t>[Comentario encadenado]
Tu versión de Excel te permite leer este comentario encadenado; sin embargo, las ediciones que se apliquen se quitarán si el archivo se abre en una versión más reciente de Excel. Más información: https://go.microsoft.com/fwlink/?linkid=870924
Comentario:
    Para el riesgo Fiscal, solo aplica IMPACTO ECONÓMICO</t>
      </text>
    </comment>
    <comment ref="G13" authorId="1" shapeId="0" xr:uid="{7319F458-F751-4993-B913-0ED035E30CF3}">
      <text>
        <t>[Comentario encadenado]
Tu versión de Excel te permite leer este comentario encadenado; sin embargo, las ediciones que se apliquen se quitarán si el archivo se abre en una versión más reciente de Excel. Más información: https://go.microsoft.com/fwlink/?linkid=870924
Comentario:
    Aplica para Riesgo FISCAL</t>
      </text>
    </comment>
    <comment ref="K13" authorId="2" shapeId="0" xr:uid="{00000000-0006-0000-0200-000001000000}">
      <text>
        <r>
          <rPr>
            <sz val="11"/>
            <color rgb="FF000000"/>
            <rFont val="Calibri"/>
            <family val="2"/>
          </rPr>
          <t xml:space="preserve">Inicia con el IMPACTO+ Conector (por) Causa(s) Inmediata(s)+ Conector (debido a) Causa(s) Raíz.
</t>
        </r>
        <r>
          <rPr>
            <sz val="11"/>
            <color rgb="FF000000"/>
            <rFont val="Calibri"/>
            <family val="2"/>
          </rPr>
          <t xml:space="preserve">
</t>
        </r>
        <r>
          <rPr>
            <sz val="11"/>
            <color rgb="FF000000"/>
            <rFont val="Calibri"/>
            <family val="2"/>
          </rPr>
          <t xml:space="preserve">Para el riesgo de Corrupción: se debe tener en cuenta: ACCIÓN U OMISIÓN + USO DEL PODER + DESVIACIÓN DE LA GESTIÓN DE
</t>
        </r>
        <r>
          <rPr>
            <sz val="11"/>
            <color rgb="FF000000"/>
            <rFont val="Calibri"/>
            <family val="2"/>
          </rPr>
          <t xml:space="preserve">LO PÚBLICO + EL BENEFICIO PRIVADO. Es decir tener en cuenta los anteriores criterios.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Aplica para riesgo Gestión/Fiscal/Seguridad de la Información: 
</t>
        </r>
        <r>
          <rPr>
            <sz val="11"/>
            <color rgb="FF000000"/>
            <rFont val="Calibri"/>
            <family val="2"/>
          </rPr>
          <t xml:space="preserve">
</t>
        </r>
        <r>
          <rPr>
            <sz val="11"/>
            <color rgb="FF000000"/>
            <rFont val="Calibri"/>
            <family val="2"/>
          </rPr>
          <t xml:space="preserve">Inicia: IMPACTO+ Conector (por) Causa inmediata+ Conector (debido a) Causa Raíz. 
</t>
        </r>
        <r>
          <rPr>
            <sz val="11"/>
            <color rgb="FF000000"/>
            <rFont val="Calibri"/>
            <family val="2"/>
          </rPr>
          <t xml:space="preserve">
</t>
        </r>
        <r>
          <rPr>
            <sz val="11"/>
            <color rgb="FF000000"/>
            <rFont val="Calibri"/>
            <family val="2"/>
          </rPr>
          <t xml:space="preserve">Riesgos de Corrupción; </t>
        </r>
      </text>
    </comment>
    <comment ref="AU13" authorId="3" shapeId="0" xr:uid="{1816B48D-01BB-448B-AFCC-2FEDB756BA4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 Así como las desviaciones presentadas en la aplicación del control. </t>
      </text>
    </comment>
    <comment ref="AV13" authorId="4" shapeId="0" xr:uid="{8ADAA9EE-5890-4480-85AE-C33717331CF8}">
      <text>
        <t>[Comentario encadenado]
Tu versión de Excel te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 ref="AW13" authorId="5" shapeId="0" xr:uid="{975DE72D-945A-4BAE-A64E-E42069A0D1CB}">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t>
      </text>
    </comment>
    <comment ref="AX13" authorId="6" shapeId="0" xr:uid="{837D0758-B511-4B9B-885F-44B15625A2B0}">
      <text>
        <t>[Comentario encadenado]
Tu versión de Excel te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 ref="O15" authorId="7" shapeId="0" xr:uid="{749F69DC-97DE-5041-AF4F-9BC67B1888E8}">
      <text>
        <r>
          <rPr>
            <b/>
            <sz val="10"/>
            <color rgb="FF000000"/>
            <rFont val="Tahoma"/>
            <family val="2"/>
          </rPr>
          <t>Stefany Parra:</t>
        </r>
        <r>
          <rPr>
            <sz val="10"/>
            <color rgb="FF000000"/>
            <rFont val="Tahoma"/>
            <family val="2"/>
          </rPr>
          <t xml:space="preserve">
</t>
        </r>
        <r>
          <rPr>
            <sz val="10"/>
            <color rgb="FF000000"/>
            <rFont val="Tahoma"/>
            <family val="2"/>
          </rPr>
          <t>numero de proyectos en el 2025</t>
        </r>
      </text>
    </comment>
    <comment ref="O18" authorId="7" shapeId="0" xr:uid="{3962EB0F-5626-E24A-95AF-E604DD2994AB}">
      <text>
        <r>
          <rPr>
            <b/>
            <sz val="10"/>
            <color rgb="FF000000"/>
            <rFont val="Tahoma"/>
            <family val="2"/>
          </rPr>
          <t>Stefany Parra:</t>
        </r>
        <r>
          <rPr>
            <sz val="10"/>
            <color rgb="FF000000"/>
            <rFont val="Tahoma"/>
            <family val="2"/>
          </rPr>
          <t xml:space="preserve">
</t>
        </r>
        <r>
          <rPr>
            <sz val="10"/>
            <color rgb="FF000000"/>
            <rFont val="Tahoma"/>
            <family val="2"/>
          </rPr>
          <t># de actividades programadas para / por los semilleros en el 2025</t>
        </r>
      </text>
    </comment>
    <comment ref="O21" authorId="7" shapeId="0" xr:uid="{3B7F0DE5-A0BA-1144-81A4-C14611D720BE}">
      <text>
        <r>
          <rPr>
            <b/>
            <sz val="10"/>
            <color rgb="FF000000"/>
            <rFont val="Tahoma"/>
            <family val="2"/>
          </rPr>
          <t>Stefany Parra:</t>
        </r>
        <r>
          <rPr>
            <sz val="10"/>
            <color rgb="FF000000"/>
            <rFont val="Tahoma"/>
            <family val="2"/>
          </rPr>
          <t xml:space="preserve">
</t>
        </r>
        <r>
          <rPr>
            <sz val="10"/>
            <color rgb="FF000000"/>
            <rFont val="Tahoma"/>
            <family val="2"/>
          </rPr>
          <t># de constancias emitidas en el 2025</t>
        </r>
      </text>
    </comment>
  </commentList>
</comments>
</file>

<file path=xl/sharedStrings.xml><?xml version="1.0" encoding="utf-8"?>
<sst xmlns="http://schemas.openxmlformats.org/spreadsheetml/2006/main" count="818" uniqueCount="480">
  <si>
    <r>
      <rPr>
        <b/>
        <sz val="6"/>
        <color rgb="FF000000"/>
        <rFont val="Arial"/>
        <family val="2"/>
      </rPr>
      <t xml:space="preserve">Escuela Tecnológica Instituto Técnico Central
</t>
    </r>
    <r>
      <rPr>
        <b/>
        <sz val="5"/>
        <color rgb="FF000000"/>
        <rFont val="Arial"/>
        <family val="2"/>
      </rPr>
      <t>Establecimiento Público de Educación Superior</t>
    </r>
  </si>
  <si>
    <t>MAPA Y PLAN DE TRATAMIENTO DE RIESGOS</t>
  </si>
  <si>
    <t>CÓDIGO: GSI- CA-FO-09</t>
  </si>
  <si>
    <t>VERSIÓN: 9</t>
  </si>
  <si>
    <t>VIGENCIA: 2026-04-28</t>
  </si>
  <si>
    <t>PÁGINA:     1 de 1</t>
  </si>
  <si>
    <t xml:space="preserve">PREGUNTAR  RIESGOS DE CORRUPCIÓN </t>
  </si>
  <si>
    <t>CRITERIOS PARA CALIFICAR EL IMPACTO EN RIESGOS DE CORRUPCIÓN</t>
  </si>
  <si>
    <t>CÓDIGO:GSI- CA-FO-09</t>
  </si>
  <si>
    <t>REGRESAR</t>
  </si>
  <si>
    <t>ITEM</t>
  </si>
  <si>
    <t>Criterios para calificar el impacto en riesgos de corrupción</t>
  </si>
  <si>
    <t>MARACAR CON X</t>
  </si>
  <si>
    <t>Pregunta: ¿Si el riesgo de corrupción se materializa podría: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</si>
  <si>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</si>
  <si>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</si>
  <si>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</si>
  <si>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</si>
  <si>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</si>
  <si>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</si>
  <si>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¿Afectar el cumplimiento de misión del sector al que pertenece la entidad?</t>
  </si>
  <si>
    <t>¿Generar perdida de confianza de la entidad , afectando su reputación?</t>
  </si>
  <si>
    <t>¿Generar perdida de recursos económicos?</t>
  </si>
  <si>
    <t>¿Afectar la generación de los productos o la prestación de los servicios?</t>
  </si>
  <si>
    <t>¿Dar lugar al detrimento de la calidad de vida de la comunidad por la perdida del bien, servicio o recursos públicos?</t>
  </si>
  <si>
    <t>¿Generar pérdida de información de la entidad?</t>
  </si>
  <si>
    <t>¿Generar intervención de los órganos de control, de la Fiscalia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</si>
  <si>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</si>
  <si>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</si>
  <si>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</si>
  <si>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</si>
  <si>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</si>
  <si>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</si>
  <si>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</si>
  <si>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</si>
  <si>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</si>
  <si>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Para la calificación del impacto de los riesgos clasificados con tipología de corrupción, se deberá responder las siguientes preguntas, con el fin de determinar el nivel de impacto del riesgo en caso de llegarse a materializar. 
Una vez responda las diecinueve (19) preguntas para cada uno de los riesgos de corrupción, automáticamente la presente hoja se establecerá el nivel de impacto del riesgo que se encuentra valorando, segun los rangos descritos a continuación:</t>
  </si>
  <si>
    <t xml:space="preserve">
Escuela Tecnológica Instituto Técnico Central
Establecimiento Público de Educación Superior</t>
  </si>
  <si>
    <t>MAPA DE RIESGOS</t>
  </si>
  <si>
    <t>VERSIÓN:  9</t>
  </si>
  <si>
    <t>PÁGINA:    1 de 1</t>
  </si>
  <si>
    <t>Proceso:</t>
  </si>
  <si>
    <t>Objetivo:</t>
  </si>
  <si>
    <t>Alcance:</t>
  </si>
  <si>
    <t>PRIMERA LÍNEA DE DEFENSA (Líder del Proceso)</t>
  </si>
  <si>
    <t xml:space="preserve">
PRIMERA LÍNEA DE DEFENSA
MONITOREO  
</t>
  </si>
  <si>
    <t xml:space="preserve">SEGUNDA LÍNEA DE DEFENSA  (Oficina asesora de Planeación) 
</t>
  </si>
  <si>
    <t>TERCERA LÍNEA DE DEFENSA (Control Interno)</t>
  </si>
  <si>
    <t>Identificación del riesgo</t>
  </si>
  <si>
    <t>Análisis del riesgo inherente</t>
  </si>
  <si>
    <t>Evaluación del riesgo - Valoración de los controles</t>
  </si>
  <si>
    <t>Documentación</t>
  </si>
  <si>
    <t>Evaluación del riesgo - Nivel del riesgo residual</t>
  </si>
  <si>
    <t>Plan de Tratamiento</t>
  </si>
  <si>
    <t xml:space="preserve">Referencia </t>
  </si>
  <si>
    <t>Tipo de Riesgo  (Clasificación)</t>
  </si>
  <si>
    <t>Impacto</t>
  </si>
  <si>
    <t>Efecto Dañoso (Riesgo Fiscal)</t>
  </si>
  <si>
    <t>Factor</t>
  </si>
  <si>
    <t xml:space="preserve">Causa Inmediata
</t>
  </si>
  <si>
    <t>Causa Raíz-Amenazas</t>
  </si>
  <si>
    <t>Clasificación del Riesgo</t>
  </si>
  <si>
    <t xml:space="preserve">Seguridad de la Información </t>
  </si>
  <si>
    <t>Frecuencia con la cual se realiza la actividad</t>
  </si>
  <si>
    <t>Probabilidad Inherente</t>
  </si>
  <si>
    <t>%</t>
  </si>
  <si>
    <t>Criterios de impacto</t>
  </si>
  <si>
    <t>Impacto 
Inherente</t>
  </si>
  <si>
    <t>Zona de Riesgo Inherente</t>
  </si>
  <si>
    <t>No. Control</t>
  </si>
  <si>
    <t>Descripción del Control
Responsable+ Frecuencia+ Propósito+ Desviación</t>
  </si>
  <si>
    <t>Soportes del Control</t>
  </si>
  <si>
    <t>Afectación</t>
  </si>
  <si>
    <t>Atributos</t>
  </si>
  <si>
    <t>Probabilidad Residual</t>
  </si>
  <si>
    <t>Probabilidad Residual Final</t>
  </si>
  <si>
    <t>Impacto Residual Final</t>
  </si>
  <si>
    <t>Zona de Riesgo Final</t>
  </si>
  <si>
    <t>Tratamiento</t>
  </si>
  <si>
    <t>No. Acciones</t>
  </si>
  <si>
    <t xml:space="preserve"> Acción</t>
  </si>
  <si>
    <t>Responsable</t>
  </si>
  <si>
    <t xml:space="preserve"> Evidencia de la Acción</t>
  </si>
  <si>
    <t>Fecha Implementación</t>
  </si>
  <si>
    <t xml:space="preserve">Fecha de Reporte </t>
  </si>
  <si>
    <t>¿El riesgo se materializó?</t>
  </si>
  <si>
    <t xml:space="preserve">Evidencias de la ejecución del Control </t>
  </si>
  <si>
    <t>Evidencias de la ejecucióndel Plan de Tratamiento</t>
  </si>
  <si>
    <t xml:space="preserve">Estado del Plan de Acción </t>
  </si>
  <si>
    <t>Fecha Seguimiento</t>
  </si>
  <si>
    <t xml:space="preserve">Ubicación de las evidencias </t>
  </si>
  <si>
    <t xml:space="preserve">Seguimiento y Evaluación
</t>
  </si>
  <si>
    <t>Activo de información afectado</t>
  </si>
  <si>
    <t>Criterio afectado</t>
  </si>
  <si>
    <t>Tipo</t>
  </si>
  <si>
    <t>Implementación</t>
  </si>
  <si>
    <t>Calificación</t>
  </si>
  <si>
    <t>Frecuencia</t>
  </si>
  <si>
    <t>Evidencia</t>
  </si>
  <si>
    <t>Corrupción</t>
  </si>
  <si>
    <t>Detectivo</t>
  </si>
  <si>
    <t>Reducir (mitigar)</t>
  </si>
  <si>
    <t>NA</t>
  </si>
  <si>
    <r>
      <rPr>
        <sz val="11"/>
        <color theme="9"/>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</si>
  <si>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Iniciada</t>
  </si>
  <si>
    <t>Sin iniciar</t>
  </si>
  <si>
    <t>CLASIF. DE CONFIDENCIALIDAD</t>
  </si>
  <si>
    <t>IPB</t>
  </si>
  <si>
    <t>CLASIF. DE INTEGRIDAD</t>
  </si>
  <si>
    <t>A</t>
  </si>
  <si>
    <t>CLASIF. DE DISPONIBILIDAD</t>
  </si>
  <si>
    <t>cumplida</t>
  </si>
  <si>
    <t xml:space="preserve">Documento controlado por el Sistema de Gestión de la Calidad
Asegúrese que corresponde a la última versión consultando el micrositio de calidad de la Escuela Tecnológica Instituto Técnico Central (ETITC) </t>
  </si>
  <si>
    <t>Incumplida</t>
  </si>
  <si>
    <t>Criterios_Impacto</t>
  </si>
  <si>
    <t xml:space="preserve">     Afectación menor a 10 SMLMV .</t>
  </si>
  <si>
    <t>Leve</t>
  </si>
  <si>
    <t xml:space="preserve">     Entre 10 y 50 SMLMV </t>
  </si>
  <si>
    <t>Menor</t>
  </si>
  <si>
    <t xml:space="preserve">     Entre 50 y 100 SMLMV </t>
  </si>
  <si>
    <t>Moderado</t>
  </si>
  <si>
    <t xml:space="preserve">     Entre 100 y 500 SMLMV </t>
  </si>
  <si>
    <t>Mayor</t>
  </si>
  <si>
    <t xml:space="preserve">     Mayor a 500 SMLMV </t>
  </si>
  <si>
    <t>Catastrófico</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</si>
  <si>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</si>
  <si>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</si>
  <si>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</si>
  <si>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</si>
  <si>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</si>
  <si>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Moderado (Corrupción)</t>
  </si>
  <si>
    <t>Mayor (Corrupción)</t>
  </si>
  <si>
    <t>Catastrófico (Corrupción)</t>
  </si>
  <si>
    <t>14.	Tipología de riesgos que enmarcan la política de administración del riesgo</t>
  </si>
  <si>
    <t>6.4.	 Identificación de áreas de factores de riesgo</t>
  </si>
  <si>
    <t>Efecto Dañoso (fiscal)</t>
  </si>
  <si>
    <t>FACTOR</t>
  </si>
  <si>
    <t xml:space="preserve">Clasificacion del riesgo </t>
  </si>
  <si>
    <t xml:space="preserve">Riesgo Materializado </t>
  </si>
  <si>
    <t>Activo de información</t>
  </si>
  <si>
    <t>Criterio</t>
  </si>
  <si>
    <t>Plan de accion (solo para la opción reducir)</t>
  </si>
  <si>
    <t>Gestión</t>
  </si>
  <si>
    <t>•	Procesos</t>
  </si>
  <si>
    <t>Económico</t>
  </si>
  <si>
    <t>Recursos Públicos</t>
  </si>
  <si>
    <t>Evento externo</t>
  </si>
  <si>
    <t>Daños Activos Fisicos</t>
  </si>
  <si>
    <t>Información</t>
  </si>
  <si>
    <t>Confidencialidad</t>
  </si>
  <si>
    <t>Preventivo</t>
  </si>
  <si>
    <t>Automático</t>
  </si>
  <si>
    <t>Documentado</t>
  </si>
  <si>
    <t>Continua</t>
  </si>
  <si>
    <t>Registro Sustancial</t>
  </si>
  <si>
    <t>Aceptar</t>
  </si>
  <si>
    <t>Finalizado</t>
  </si>
  <si>
    <t>•	Talento humano</t>
  </si>
  <si>
    <t>Reputacional</t>
  </si>
  <si>
    <t>Bienes Públicos</t>
  </si>
  <si>
    <t>Financiero</t>
  </si>
  <si>
    <t>Ejecucion y Administracion de procesos</t>
  </si>
  <si>
    <t xml:space="preserve">Software </t>
  </si>
  <si>
    <t>Disponibilidad</t>
  </si>
  <si>
    <t>Manual</t>
  </si>
  <si>
    <t>Sin Documentar</t>
  </si>
  <si>
    <t>Aleatoria</t>
  </si>
  <si>
    <t>Registro Material</t>
  </si>
  <si>
    <t>Evitar</t>
  </si>
  <si>
    <t>En curso</t>
  </si>
  <si>
    <t>Fiscal</t>
  </si>
  <si>
    <t>•	Tecnología</t>
  </si>
  <si>
    <t>Económico y Reputacional</t>
  </si>
  <si>
    <t>Intereses Patrimoniales de Naturaleza Pública</t>
  </si>
  <si>
    <t>Infraestructura</t>
  </si>
  <si>
    <t>Fallas Tecnologicas</t>
  </si>
  <si>
    <t>Hardware</t>
  </si>
  <si>
    <t>Integridad</t>
  </si>
  <si>
    <t>Correctivo</t>
  </si>
  <si>
    <t>Sin registro</t>
  </si>
  <si>
    <t>Reducir</t>
  </si>
  <si>
    <t>•	Infraestructura</t>
  </si>
  <si>
    <t>Procesos</t>
  </si>
  <si>
    <t>Fraude Externo</t>
  </si>
  <si>
    <t>Servicios</t>
  </si>
  <si>
    <t>NO APLICA</t>
  </si>
  <si>
    <t>•	Evento externo</t>
  </si>
  <si>
    <t>Talento humano</t>
  </si>
  <si>
    <t>Fraude Interno</t>
  </si>
  <si>
    <t>Intangibles</t>
  </si>
  <si>
    <t>Reducir (compartir)</t>
  </si>
  <si>
    <t>Tecnología</t>
  </si>
  <si>
    <t>Relaciones Laborales</t>
  </si>
  <si>
    <t>Componentes
de red</t>
  </si>
  <si>
    <t>Usuarios, productos y practicas , organizacionales</t>
  </si>
  <si>
    <t>Personas</t>
  </si>
  <si>
    <t>Instalaciones</t>
  </si>
  <si>
    <t>Redaccion del Riesgo General</t>
  </si>
  <si>
    <t xml:space="preserve">Redaccion del Riesgo  fiscal </t>
  </si>
  <si>
    <t>CONTEXTO - DOFA</t>
  </si>
  <si>
    <t>DEBILIDADES</t>
  </si>
  <si>
    <t>ESTADO</t>
  </si>
  <si>
    <t>D1. Falta de disponibilidad de recurso humano contratado, con cobertura en las diferentes sedes, Seccionales, Extensiones, unidades Agroambientales y Oficinas de la Universidad, que garantice el apoyo continuó durante todo el período académico</t>
  </si>
  <si>
    <t>D2. Falta de conocimiento de la normatividad legal vigente, aplicable y actualizada, relacionada con aspectos e impactos ambientales asociados al desempeño ambiental institucional y de su respectivo seguimiento.</t>
  </si>
  <si>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</si>
  <si>
    <t>D4. Falta de compromiso y sentido de pertenencia con los temas ambientales por parte de algunos sectores de la comunidad universitaria y otras partes interesadas, reflejado en la falta de participación  en actividades del SGA y de lineamientos ambientales.</t>
  </si>
  <si>
    <t>D5. Falta de articulación de los lineamientos del SGA con los procesos del Modelo de Operación Digital</t>
  </si>
  <si>
    <t xml:space="preserve">D6. Falta de articulación con la academia en temas ambientales, reflejado en el bajo porcentaje de cobertura del Sistema de Gestión de Ambiental respecto a los estudiantes en relación en relación al porcentaje que representan en la comunidad universitaria. </t>
  </si>
  <si>
    <t xml:space="preserve">D7. Falta de articulación de temas ambientales con el Plan de Emergencias Institucional  </t>
  </si>
  <si>
    <t xml:space="preserve">D8. Falta de recursos disponibles de forma oportuna para el desarrollo y continuidad de actividades del Sistema de Gestión Ambiental. </t>
  </si>
  <si>
    <t>D9. Falta  de recursos para desplazamientos del equipo del Sistema de Gestión Ambiental.</t>
  </si>
  <si>
    <t>D10.  Incumplimiento del código de colores de clasificación de residuos institucional por desconocimiento, falta de conciencia ambiental y compromiso de parte de algunos sectores de la comunidad universitaria y otras partes interesadas, o por no contar con la totalidad de los dispositivos de almacenamiento requeridos.</t>
  </si>
  <si>
    <t>AMENAZAS</t>
  </si>
  <si>
    <t>A1. Prácticas ambientales inadecuadas por parte de vecinos de la comunidad circundante a las instalaciones de la Universidad, que puedan afectar su desempeño ambiental.</t>
  </si>
  <si>
    <t xml:space="preserve">A2. Afectación en el desarrollo de actividades presenciales o virtuales, internas y externas del SGA, debido al riesgo de contagio por virus que puedan alcanzar el nivel de pandemia </t>
  </si>
  <si>
    <t>A3. Falta  de alcance en servicios públicos o de comunicación, y condiciones específicas  de la infraestructura  de algunas sedes.</t>
  </si>
  <si>
    <t>A4. Falta de participación  de las partes interesadas externas en las actividades del Sistema de Gestión Ambiental.</t>
  </si>
  <si>
    <t>A5. Afectación de actividades  del Sistema de Gestión ambiental internas o externas), y  de recursos, elementos o insumos del Plan Institucional de Gestión Ambiental -PIGA, por alteraciones de orden público como manifestaciones, paros,  disturbios y asonadas.</t>
  </si>
  <si>
    <t>A6. Afectación de fenómenos naturales (Cambio climático, fenómeno del niño y la niña, sismos, incendios, caída de árboles, Vendavales) y antrópicos (Orden publico y manifestaciones estudiantiles) que puedan afectar las instalaciones.</t>
  </si>
  <si>
    <t xml:space="preserve">A7. Sanciones o multas por incumplimiento legal </t>
  </si>
  <si>
    <t>A8. Rotación constante de personal en diferentes procesos</t>
  </si>
  <si>
    <t>FORTALEZAS</t>
  </si>
  <si>
    <t>F1.Compromiso de la alta  Dirección para apoyar el proceso, reflejado en liderazgo de Directores Administrativos y del Rector.​</t>
  </si>
  <si>
    <t>F2. Articulación del Sistema de Gestión Ambiental a nivel institucional en Sede, Seccionales y Extensiones.</t>
  </si>
  <si>
    <t>F3. Equipo de profesionales del  Sistema de Gestión Ambiental con competencia  y actitud propositiva en el proceso de planeación, implementación, seguimiento y preparación para los procesos de auditoría del SGA.</t>
  </si>
  <si>
    <t>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t>
  </si>
  <si>
    <t>F5.Asignación de rubro para implementación y certificación  del Sistema de Gestión Ambiental_ISO 14001:2015 a través del Proyecto UCundinamarca en Equilibrio con la Naturaleza.</t>
  </si>
  <si>
    <t>F6.Fortalecimiento de la cultura ambiental  a nivel institucional a través del #Reto Ambientalmente en equilibrio con la naturaleza, eventos y capacitaciones ambientales.</t>
  </si>
  <si>
    <t>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t>
  </si>
  <si>
    <t>F8. Implementación del código de colores de clasificación de residuos con la instalación gradual de Unidades Técnicas de Almacenamiento Central -UTAC-  y Puntos ecológicos en Sede, Seccionales y Extensiones.</t>
  </si>
  <si>
    <t>F9. Implementación de estrategias de sostenibilidad en la Sede, Seccionales y Extensiones, mediante la instalación de dispositivos de ahorro de agua y de energía como paneles fotovoltaicos e iluminación LED.</t>
  </si>
  <si>
    <t>F10.Articulación con los demás componentes del Sistema Integrado de Gestión como: SG SST, SGSI, SGC y con las diferentes procesos y dependencias.</t>
  </si>
  <si>
    <t>F11. Proceso de Medición de Huella de Carbono y reporte internacional de sostenibilidad GRI en articulación con Interacción Social Universitaria y diferentes dependencias relacionadas.</t>
  </si>
  <si>
    <t>F12. Articulación del Sistema de Gestión Ambiental  como parte del proceso de formación para la vida de la comunidad universitaria, desde la dimensión naturaleza del Modelo de Educación Digital Transmoderno -MEDIT.</t>
  </si>
  <si>
    <t>F13. Participación activa de los estudiantes en la Gestión Ambiental Institucional como practicantes y pasantes al SGA</t>
  </si>
  <si>
    <t>F14 Articulación de criterios  ambientales en los procesos  de compras institucionales.</t>
  </si>
  <si>
    <t>F15. Disponibilidad de canales institucionales para la comunicación de solicitudes, felicitaciones</t>
  </si>
  <si>
    <t>OPORTUNIDADES</t>
  </si>
  <si>
    <t xml:space="preserve">O1. Fortalecer la articulación  del  Sistema de Gestión ambiental, con las partes interesadas Internas y  Externas de forma translocal a través de la cultura ambiental.     </t>
  </si>
  <si>
    <t>O2. Ampliar la  cobertura  del proceso de cultura ambiental de la comunidad universitaria con base en la Política de Gestión Ambiental, y los programas del Plan Institucional de Gestión Ambiental -PIGA.</t>
  </si>
  <si>
    <t>O3. Ampliar la cobertura de contenedores para disposición de residuos sólidos y  Unidades Técnicas de Almacenamiento Central UTAC en Sedes, Seccionales y Extensiones</t>
  </si>
  <si>
    <t>O4.Pomover alianzas para el desarrollo de espacios verdes en las Sedes, Seccionales y Extensiones, mediante la  implementación de actividades del Programa de Uso Eficiente de Servicios Ecosistemicos -PUESE- generando un ambiente sano para la comunidad.</t>
  </si>
  <si>
    <t>O5. Fortalecer el acompañamiento y asesoría en las unidades regionales, en condiciones de Pandemia, con actividades virtuales y presenciales según las necesidades de la Sede, Seccional o Extensión.</t>
  </si>
  <si>
    <t>O6.Articulación en de Proyectos Ambientales Universitarios -PRAU- con partes interesadas internas y externas.</t>
  </si>
  <si>
    <t xml:space="preserve">O7. Ampliación de actividades de  medición  de impacto y desempeño institucional con proyección translocal.  </t>
  </si>
  <si>
    <t xml:space="preserve">O8. Instaurar lineamiento de austeridad del gasto con el proceso de Bienes y Servicios articulados con el  Sistema de Gestión Ambiental con el fin de  minimizar el consumo de  materiales a nivel institucional </t>
  </si>
  <si>
    <t xml:space="preserve">O9. Generar espacios virtuales o presenciales para  el fortalecimiento de la cultura ambiental de la comunidad educativa, a través de cursos, diplomados,  programas de voluntariado ( ambiental)  y proyectos que generen impacto ambiental positivo  mediante alianzas estratégicas. </t>
  </si>
  <si>
    <r>
      <rPr>
        <b/>
        <sz val="6"/>
        <color theme="1"/>
        <rFont val="Arial"/>
        <family val="2"/>
      </rPr>
      <t>Escuela Tecnológica Instituto Técnico Central</t>
    </r>
    <r>
      <rPr>
        <b/>
        <sz val="5"/>
        <color theme="1"/>
        <rFont val="Arial"/>
        <family val="2"/>
      </rPr>
      <t xml:space="preserve">
Establecimiento Público de Educación Superior</t>
    </r>
  </si>
  <si>
    <t>CÓDIGO: GDC-FO-09</t>
  </si>
  <si>
    <t>VIGENCIA: 2024-08-22</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</si>
  <si>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</si>
  <si>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</si>
  <si>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</si>
  <si>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</si>
  <si>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</si>
  <si>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</si>
  <si>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</si>
  <si>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</si>
  <si>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</si>
  <si>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</si>
  <si>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</si>
  <si>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</si>
  <si>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</si>
  <si>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</si>
  <si>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</si>
  <si>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(Y('Mapa final'!$L$22="Muy Alta",'Mapa final'!$P$22="Leve"),CONCATENAR("R",'Mapa final'!$A$22),"")</t>
  </si>
  <si>
    <t xml:space="preserve"> Matriz de Calor Residual</t>
  </si>
  <si>
    <t>Escuela Tecnológica Instituto Técnico Central
Establecimiento Público de Educación Superior</t>
  </si>
  <si>
    <t>FECHA</t>
  </si>
  <si>
    <t>DESCRIPCIÓN DE LA ACTUALIZACIÓN</t>
  </si>
  <si>
    <t>RESPONSABLE</t>
  </si>
  <si>
    <t>CARGO</t>
  </si>
  <si>
    <t xml:space="preserve">Se actualiza en la versión 9 del formato, se eliminan los riesgos No 5 y 6 Para incluirlos como riesgo No 1 en los mapas de comunicaciones y Internacionalización </t>
  </si>
  <si>
    <t xml:space="preserve"> Hno. Ariosto Ardila Silva</t>
  </si>
  <si>
    <t xml:space="preserve">Rector </t>
  </si>
  <si>
    <r>
      <rPr>
        <b/>
        <sz val="11"/>
        <color theme="1"/>
        <rFont val="Arial"/>
        <family val="2"/>
      </rPr>
      <t>C</t>
    </r>
    <r>
      <rPr>
        <sz val="11"/>
        <color theme="1"/>
        <rFont val="Arial"/>
        <family val="2"/>
      </rPr>
      <t xml:space="preserve">ontexto:
Se elininaron las debilidades D3 Y D8:
Se incluyeron las debilidades D10, D11.
se eliminaron las fortalezas: F2,F11,F12,F13Y la F9 paso a fortaleza.
Riesgos: Se elimino el R1(Posibilidad de afectación económica y reputacional por recibir o solicitar cualquier dádiva o beneficio a nombre propio o de terceros al formular proyectos direccionados que no respondan a ninguna necesidad.) por racionalización de riesgos de integro al riesgo No2.
R2:Se cambiaron los controles del riesgos No2, se ajusto redacción en el control no1 y se implemento el control No2.
R4:Se ajusto redacción del riesgo y el control </t>
    </r>
  </si>
  <si>
    <t>Matriz Mapa de Riesgos</t>
  </si>
  <si>
    <t>X</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</si>
  <si>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V6</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</si>
  <si>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</si>
  <si>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</si>
  <si>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2,3 y 5 Mapa Final de Gestión, Corrupción y Seguridad de la Información: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</si>
  <si>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</si>
  <si>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</si>
  <si>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</si>
  <si>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</si>
  <si>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</si>
  <si>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</si>
  <si>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</si>
  <si>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</si>
  <si>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</si>
  <si>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</si>
  <si>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</si>
  <si>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</si>
  <si>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</si>
  <si>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</si>
  <si>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</si>
  <si>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</si>
  <si>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</si>
  <si>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</si>
  <si>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</si>
  <si>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</si>
  <si>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</si>
  <si>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</si>
  <si>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</si>
  <si>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</si>
  <si>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</si>
  <si>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</si>
  <si>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</si>
  <si>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</si>
  <si>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</si>
  <si>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</si>
  <si>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</si>
  <si>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</si>
  <si>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</si>
  <si>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</si>
  <si>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</si>
  <si>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</si>
  <si>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</si>
  <si>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</si>
  <si>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</si>
  <si>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</si>
  <si>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</si>
  <si>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</si>
  <si>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</si>
  <si>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</si>
  <si>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</si>
  <si>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6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</si>
  <si>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7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</si>
  <si>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8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</si>
  <si>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9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</si>
  <si>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10 Tabla de Valoración de Controles: </t>
    </r>
    <r>
      <rPr>
        <sz val="11"/>
        <rFont val="Arial Narrow"/>
        <family val="2"/>
      </rPr>
      <t>Tabla referente para todos los cálculos (no se diligencia)</t>
    </r>
  </si>
  <si>
    <t xml:space="preserve">Tipo </t>
  </si>
  <si>
    <t>Ambiental</t>
  </si>
  <si>
    <t>Software</t>
  </si>
  <si>
    <t>Estratégico</t>
  </si>
  <si>
    <t>Documental</t>
  </si>
  <si>
    <t>Seguridad digital</t>
  </si>
  <si>
    <t>SST</t>
  </si>
  <si>
    <t>Tecnológico</t>
  </si>
  <si>
    <t>VERSIÓN: 8</t>
  </si>
  <si>
    <t>VERSIÓN</t>
  </si>
  <si>
    <t>CAMBIOS</t>
  </si>
  <si>
    <t xml:space="preserve">Se incluye protada, control de cambios del registro, riesgos fiscales </t>
  </si>
  <si>
    <t>28/4/2026</t>
  </si>
  <si>
    <t xml:space="preserve">Se ajusta el formato en las siguientes condiciones: 
1- Se ajustan las tipologias de riesgos: Corrupción, Fiscal, Seguridad de la Información y Gestión.
2- Se incluye en los criterios de impacto de corrupción: Moderado, Mayor, Catastrófico.
3- Se ajusta las variables del diseño del control
4- Se ajustan la descripción para el monitoreo de la primera y segunda linea, así como la evaluación para la tercera linea de defensa. m
</t>
  </si>
  <si>
    <t>ELABORÓ</t>
  </si>
  <si>
    <t>REVISÓ</t>
  </si>
  <si>
    <t>APROBÓ</t>
  </si>
  <si>
    <t>ANAY PINTO</t>
  </si>
  <si>
    <t xml:space="preserve">JORGE HERRERA ORTIZ </t>
  </si>
  <si>
    <t>Profesional de Calidad</t>
  </si>
  <si>
    <t>Representante de la Dirección</t>
  </si>
  <si>
    <t>Documento controlado por el Sistema de Gestión de la Calidad</t>
  </si>
  <si>
    <t>Asegúrese que corresponde a la última versión consultando el micrositio de calidad de la Escuela Tecnológica Instituto Técnico Central (ETITC)</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</si>
  <si>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</si>
  <si>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</si>
  <si>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</si>
  <si>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</si>
  <si>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</si>
  <si>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</si>
  <si>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</si>
  <si>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</si>
  <si>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</si>
  <si>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</si>
  <si>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</si>
  <si>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</si>
  <si>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</si>
  <si>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</si>
  <si>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</si>
  <si>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</si>
  <si>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</si>
  <si>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</si>
  <si>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</si>
  <si>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</si>
  <si>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</si>
  <si>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</si>
  <si>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</si>
  <si>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</si>
  <si>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</si>
  <si>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</si>
  <si>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</si>
  <si>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la entidad con efecto publicitario sostenido a nivel de sector administrativo, nivel departamental o municipal</t>
  </si>
  <si>
    <t>Catastrófico 100%</t>
  </si>
  <si>
    <t xml:space="preserve">Mayor a 500 SMLMV </t>
  </si>
  <si>
    <t>El riesgo afecta la imagen de la entidad a nivel nacional, con efecto publicitarios sostenible a nivel país</t>
  </si>
  <si>
    <t>Afectación_Económica_o_presupuestal</t>
  </si>
  <si>
    <t>Pérdida_Reputacional</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</si>
  <si>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</si>
  <si>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</si>
  <si>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</si>
  <si>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</si>
  <si>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</si>
  <si>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</si>
  <si>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</si>
  <si>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</si>
  <si>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</si>
  <si>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</si>
  <si>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</si>
  <si>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</si>
  <si>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</si>
  <si>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</si>
  <si>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</si>
  <si>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</si>
  <si>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</si>
  <si>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</si>
  <si>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</si>
  <si>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</si>
  <si>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</si>
  <si>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</si>
  <si>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</si>
  <si>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</si>
  <si>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</si>
  <si>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</si>
  <si>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</si>
  <si>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</si>
  <si>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Seguimiento</t>
  </si>
  <si>
    <t>Avance de Ejecución de Control(es)</t>
  </si>
  <si>
    <t>Avance de Ejecución de Plan de Tratamiento</t>
  </si>
  <si>
    <t xml:space="preserve">Descripción del Riesgo
</t>
  </si>
  <si>
    <t>Esta actividad se incorporó en la matriz de riesgos para su implementación a partir del segundo cuatrimestre del 2026</t>
  </si>
  <si>
    <t>INVESTIGACIÓN</t>
  </si>
  <si>
    <t>Apoyar la investigación en la ETITC, mediante el fomento a las Actividades de Ciencia Tecnología e innovación ACTI, la generación del conocimiento y la gestión de la transferencia del conocimiento, para insertarse en el Sistema Nacional de Ciencia, Tecnología e Innovación.</t>
  </si>
  <si>
    <t>Desde la estructuración de programas de formación investigativa, el apoyo a las ACTI y a la gestión de transferencia del conocimiento hasta la difusión de sus resultados.</t>
  </si>
  <si>
    <t>Deficiencias en la planeación, ejecución y seguimiento de las actividades de investigación de los semilleros.</t>
  </si>
  <si>
    <t>Incumplimiento de las actividades programadas para los semilleros de investigación.</t>
  </si>
  <si>
    <r>
      <t xml:space="preserve">Posibilidad de afectación reputacional y económica por el incumplimiento de las </t>
    </r>
    <r>
      <rPr>
        <u/>
        <sz val="11"/>
        <color theme="1"/>
        <rFont val="Arial Narrow"/>
        <family val="2"/>
      </rPr>
      <t>actividades programadas</t>
    </r>
    <r>
      <rPr>
        <sz val="11"/>
        <color theme="1"/>
        <rFont val="Arial Narrow"/>
        <family val="2"/>
      </rPr>
      <t xml:space="preserve"> para los semilleros de investigación, debido a deficiencias en la planeación, ejecución y seguimiento de las actividades de investigación de los semilleros.</t>
    </r>
  </si>
  <si>
    <t>Posibilidad de afectación reputacional por avalar información no veraz sobre productos de investigación en GrupLAC y CvLAC, aprovechando las facultades asignadas para la validación de los soportes de los productos de investigación reportados, desviando los criterios de existencia y calidad exigidos por Minciencias, para beneficiar indebidamente a investigadores o terceros.</t>
  </si>
  <si>
    <t>Debilidades en los controles preventivos y detectivos para la validación de la información registrada en GrupLAC y CvLAC..</t>
  </si>
  <si>
    <t>Omisión en la verificación de la autenticidad, existencia y calidad de los soportes de los productos de investigación reportados.</t>
  </si>
  <si>
    <t>Posibilidad de efectos dañosos sobre los recursos de la entidad por el incumplimiento de los productos comprometidos en los proyectos de investigación financiados con recursos institucionales, a causa de insuficiencia de competencias metodológicas e investigativas para la formulación, ejecución y seguimiento de proyectos de investigación.</t>
  </si>
  <si>
    <t>Incumplimiento de los productos comprometidos en los proyectos de investigación financiados con recursos institucionales.</t>
  </si>
  <si>
    <t>Insuficiencia de competencias metodológicas e investigativas para la formulación, ejecución y seguimiento de proyectos de investigación</t>
  </si>
  <si>
    <t>INV-FO-02 Presentación de Proyectos de Investigación 
Correos electrónicos</t>
  </si>
  <si>
    <t>Durante la vigencia 2026</t>
  </si>
  <si>
    <t>Apoyo Investigación y profesional de investigación</t>
  </si>
  <si>
    <t xml:space="preserve">
El Profesional de la Vicerrectoría de Investigación, Extensión y Transferencia verifica en la finalización de cada proyecto la entrega y cumplimiento de los productos realizados frente a los aprobados. Cuando identifica productos no realizados, documenta la situación e informa al Comité Institucional de Investigación e Innovación para la definición de acciones correspondientes.</t>
  </si>
  <si>
    <t>INV-FO-04 Informe avance de proyecto 
Acta del comité</t>
  </si>
  <si>
    <t>Actualizar el procedimiento INV-PC-02 Procedimiento Proyectos de investigación</t>
  </si>
  <si>
    <t>Procedimiento actualizado en el SIACET y socializado</t>
  </si>
  <si>
    <t>Diciembre 2026</t>
  </si>
  <si>
    <t>INV-PC-02 PROCEDIMIENTO REALIZACIÓN
PROYECTOS DE INVESTIGACIÓN</t>
  </si>
  <si>
    <t>Modelo medición de grupos de investigación MinCiencias 2024</t>
  </si>
  <si>
    <t>Planes de trabajo de los semilleros, cronogramas aprobados, correos de observaciones y versiones ajustadas.</t>
  </si>
  <si>
    <t>INV-PC-01 Procedimiento para la Creación, Funcionamiento y Cierre de un Semillero de Investigación 
https://www.etitc.edu.co/archives/calidad/INV-PC-01.pdf</t>
  </si>
  <si>
    <t>El líder del semillero realiza seguimiento mensual al cumplimiento de las actividades programadas mediante la revisión del cronograma y de los avances reportados por los integrantes. Cuando identifica retrasos o incumplimientos, define e implementa acciones de ajuste para garantizar el cumplimiento de las actividades programadas e informa a la Vicerrectoría de Investigación cuando corresponda.</t>
  </si>
  <si>
    <t>Informes de avance, actas de reunión del semillero, cronogramas actualizados y planes de acción.</t>
  </si>
  <si>
    <t>Informes semestrales de gestión, matriz de seguimiento de semilleros, comunicaciones y planes de mejoramiento.</t>
  </si>
  <si>
    <t xml:space="preserve">Actualizar el procedimiento INV-PC-01 "Procedimiento para la Creación, Funcionamiento y Cierre de un Semillero de Investigación", incorporando lineamientos para la planeación, ejecución, seguimiento y evaluación de las actividades desarrolladas por los semilleros </t>
  </si>
  <si>
    <t>Formato actualizado en el SIACET y socializado</t>
  </si>
  <si>
    <t>Soportes de la capacitación</t>
  </si>
  <si>
    <t>Segundo semestre 2026</t>
  </si>
  <si>
    <t>Socializar y capacitar a los servidores y contratistas que participan en la validación de productos de investigación sobre los criterios del Modelo de Medición de Minciencias, el procedimiento institucional y el uso de la lista de verificación.</t>
  </si>
  <si>
    <t>Documento actualizado en el SIACET y socializado</t>
  </si>
  <si>
    <t>formato actualizado en el SIACET y socializado
registros de aplicación.</t>
  </si>
  <si>
    <t>Material de capacitación; listados de asistencia; actas o registros de socialización; evaluación o registro de apropiación (si aplica).</t>
  </si>
  <si>
    <t>Junio a Diciembre 2026</t>
  </si>
  <si>
    <t>Estandarizar dentro del SIACET el formato de informe Tecnico de Proyectos de Semilleros de los semilleros de investigación, que incluya actividades, cronograma y productos.</t>
  </si>
  <si>
    <t>Socializar y capacitar a los líderes de semilleros en la aplicación del procedimiento actualizado y en el diligenciamiento del instrumento de reporte de avances de semilleros, verificando su implementación durante la vigencia.</t>
  </si>
  <si>
    <t>El Profesional de la Vicerrectoría de Investigación, Extensión y Transferencia responsable de la trazabilidad de los proyectos  revisa, previo a su aprobación, que las propuestas de investigación cumplan con los términos de referencia de la respectiva convocatoria. En caso de identificar inconsistencias, devuelve la propuesta para los ajustes correspondientes.</t>
  </si>
  <si>
    <t xml:space="preserve">INV-FO-01 Evaluación proyectos de investigación
Acta de comité
Comunicado
</t>
  </si>
  <si>
    <t>El Profesional de la Vicerrectoría de Investigación, Extensión y Transferencia responsable de la trazabilidad de los proyectos verifica cada vez que se presentan propuestas  la evaluación  realizada por los pares externos y emite comunicado a los investigadores y presenta al Comité Institucional de Investigación, para la firma del acta de inicio del proyecto. Para los casos en los que el puntaje de la evaluación sea inferior a 90, se emite comunicado de no aprobado</t>
  </si>
  <si>
    <t>Profesional de investigación</t>
  </si>
  <si>
    <t>Correo electrónico</t>
  </si>
  <si>
    <t xml:space="preserve">Verificación de evaluación  realizada por los pares externos y emisión de comunicado a los investigadores con concepto de aprobado o No aprobado  para los casos en los que el puntaje de la evaluación sea inferior a 90,  e informe al Comité Institucional de Investigación </t>
  </si>
  <si>
    <t xml:space="preserve">Comunicado
Acta Comité </t>
  </si>
  <si>
    <t>Contratista apoyo a la investigación</t>
  </si>
  <si>
    <t>El Profesional de la Vicerrectoría de Investigación, Extensión y Transferencia responsable del proceso de validación verifica, previo a la expedición de constancias , que los productos de investigación registrados en GrupLAC cumplan los criterios de existencia, calidad y los soportes documentales establecidos por Minciencias. Cuando identifica inconsistencias o incumplimiento de requisitos, devuelve la información al investigador para su ajuste y se abstiene de otorgar constancia hasta que se subsanen las observaciones.</t>
  </si>
  <si>
    <t>El profesional  de apoyo a la investigación  realiza una revisión previa de la información validada por el profesional responsable antes de la emisión de la constancia, verificando el cumplimiento de los criterios definidos por Minciencias para los productos reportados. Cuando identifica inconsistencias, solicita una nueva revisión y la corrección de la información antes de emitir la revisión y remitir para firma del Vicerrector de Investigación, Extensión y Transferencia</t>
  </si>
  <si>
    <t>Documentar e implementar un  instructivo  para la validación de los productos de investigación que requieren la expedición   de constancia por parte de la Vicerrectoría de Investigación, Extensión y Transferencia para el  registro en GrupLAC y CvLAC ( Software,   innovaciones,  prototipos,  plantas piloto, libros, capítulos de libro),  incorporando los criterios de existencia y calidad establecidos por Minciencias.</t>
  </si>
  <si>
    <t>Lista de verificación diligenciada
Soportes documentales revisados
Correos de devolución o solicitud de ajustes
Registro de observaciones
Constancia de productos</t>
  </si>
  <si>
    <t>Diseñar e implementar una lista de verificación para la revisión de los requisitos, soportes documentales y criterios de existencia y calidad de los productos de investigación antes de emitir el constancias</t>
  </si>
  <si>
    <t>Registro de revisión
Correos aprobacion u observaciones para firma de constancia
Lista de verificación revisada y firmada</t>
  </si>
  <si>
    <t>El Profesional de la Vicerrectoría de Investigación realiza semestralmente una revisión por muestreo de los productos registrados en GrupLAC, verificando que los soportes conserven los criterios de existencia y calidad establecidos por Minciencias. Cuando identifica inconsistencias, informa al Vicerrector de Investigación para la adopción de las acciones administrativas correspondientes.</t>
  </si>
  <si>
    <t xml:space="preserve">Informe de revisión
Muestreo realizado
Actas
Comunicado revisión de productos
</t>
  </si>
  <si>
    <t>Generar lista de verificación y revisar  que las propuestas de investigación cumplan con los términos de referencia de las  convocatorias a las cuales se postulan.  Remitir revisión a los docentes y recibir el formato corregido</t>
  </si>
  <si>
    <t>El encargado de semilleros  verifica semestralmente que cada semillero de investigación formule y presente su plan de trabajo con las actividades, cronograma, productos y responsables, conforme a los lineamientos institucionales. Cuando identifica inconsistencias o ausencia de la planeación, solicita los ajustes correspondientes antes de aprobar el plan de trabajo.</t>
  </si>
  <si>
    <t>El encargado de semilleros consolida y verifica semestralmente el cumplimiento de las actividades y productos programados por los semilleros, mediante la revisión de los informes de gestión y los soportes correspondientes. Cuando identifica incumplimientos, informa al líder del semillero y solicita la implementación de acciones correctivas y su respectivo seguimiento.</t>
  </si>
  <si>
    <t>Encargado Semilleros</t>
  </si>
  <si>
    <r>
      <rPr>
        <b/>
        <sz val="14"/>
        <rFont val="Arial"/>
        <family val="2"/>
      </rPr>
      <t>LIDER DEL PROCESO:</t>
    </r>
    <r>
      <rPr>
        <sz val="14"/>
        <rFont val="Arial"/>
        <family val="2"/>
      </rPr>
      <t xml:space="preserve">  Vicerrectora Investigación, Extensión y Transferencia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</si>
</sst>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mm/yyyy;@"/>
  </numFmts>
  <fonts count="112">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color rgb="FF000000"/>
      <name val="Arial"/>
      <family val="2"/>
    </font>
    <font>
      <b/>
      <sz val="12"/>
      <name val="Arial"/>
      <family val="2"/>
    </font>
    <font>
      <sz val="6"/>
      <color theme="1"/>
      <name val="Arial"/>
      <family val="2"/>
    </font>
    <font>
      <b/>
      <sz val="14"/>
      <color rgb="FF000000"/>
      <name val="Arial"/>
      <family val="2"/>
    </font>
    <font>
      <sz val="14"/>
      <color rgb="FF000000"/>
      <name val="Arial"/>
      <family val="2"/>
    </font>
    <font>
      <b/>
      <sz val="11"/>
      <color theme="0"/>
      <name val="Calibri"/>
      <family val="2"/>
      <scheme val="minor"/>
    </font>
    <font>
      <b/>
      <sz val="11"/>
      <color theme="1"/>
      <name val="Calibri"/>
      <family val="2"/>
      <scheme val="minor"/>
    </font>
    <font>
      <b/>
      <sz val="5"/>
      <color rgb="FF000000"/>
      <name val="Arial"/>
      <family val="2"/>
    </font>
    <font>
      <b/>
      <sz val="6"/>
      <color rgb="FF000000"/>
      <name val="Arial"/>
      <family val="2"/>
    </font>
    <font>
      <b/>
      <sz val="11"/>
      <color rgb="FF292929"/>
      <name val="Arial"/>
      <family val="2"/>
    </font>
    <font>
      <sz val="11"/>
      <color theme="1"/>
      <name val="Arial"/>
      <family val="2"/>
    </font>
    <font>
      <b/>
      <sz val="8"/>
      <color theme="1"/>
      <name val="Arial"/>
      <family val="2"/>
    </font>
    <font>
      <b/>
      <sz val="5"/>
      <color theme="1"/>
      <name val="Arial"/>
      <family val="2"/>
    </font>
    <font>
      <b/>
      <sz val="6"/>
      <color theme="1"/>
      <name val="Arial"/>
      <family val="2"/>
    </font>
    <font>
      <b/>
      <sz val="9"/>
      <color rgb="FF292929"/>
      <name val="Arial"/>
      <family val="2"/>
    </font>
    <font>
      <b/>
      <sz val="11"/>
      <color theme="0"/>
      <name val="Arial"/>
      <family val="2"/>
    </font>
    <font>
      <sz val="10"/>
      <color theme="1"/>
      <name val="Arial"/>
      <family val="2"/>
    </font>
    <font>
      <b/>
      <sz val="10"/>
      <color theme="0"/>
      <name val="Arial"/>
      <family val="2"/>
    </font>
    <font>
      <b/>
      <sz val="10"/>
      <color theme="1"/>
      <name val="Arial"/>
      <family val="2"/>
    </font>
    <font>
      <b/>
      <u/>
      <sz val="10"/>
      <color theme="1"/>
      <name val="Arial"/>
      <family val="2"/>
    </font>
    <font>
      <i/>
      <sz val="9"/>
      <color rgb="FF000000"/>
      <name val="Arial"/>
      <family val="2"/>
    </font>
    <font>
      <b/>
      <sz val="11"/>
      <color theme="1"/>
      <name val="Arial"/>
      <family val="2"/>
    </font>
    <font>
      <b/>
      <sz val="11"/>
      <color rgb="FF000000"/>
      <name val="Arial"/>
      <family val="2"/>
    </font>
    <font>
      <b/>
      <sz val="11"/>
      <color theme="1"/>
      <name val="Times New Roman"/>
      <family val="1"/>
    </font>
    <font>
      <b/>
      <sz val="11"/>
      <color theme="0"/>
      <name val="Times New Roman"/>
      <family val="1"/>
    </font>
    <font>
      <sz val="11"/>
      <color theme="0"/>
      <name val="Times New Roman"/>
      <family val="1"/>
    </font>
    <font>
      <sz val="11"/>
      <color rgb="FF7030A0"/>
      <name val="Calibri"/>
      <family val="2"/>
      <scheme val="minor"/>
    </font>
    <font>
      <b/>
      <sz val="16"/>
      <color rgb="FF7030A0"/>
      <name val="Times New Roman"/>
      <family val="1"/>
    </font>
    <font>
      <b/>
      <sz val="18"/>
      <color theme="0"/>
      <name val="Arial"/>
      <family val="2"/>
    </font>
    <font>
      <b/>
      <sz val="12"/>
      <color theme="0"/>
      <name val="Arial"/>
      <family val="2"/>
    </font>
    <font>
      <sz val="11"/>
      <color rgb="FF000000"/>
      <name val="Arial"/>
      <family val="2"/>
    </font>
    <font>
      <sz val="10"/>
      <color theme="0"/>
      <name val="Arial"/>
      <family val="2"/>
    </font>
    <font>
      <b/>
      <sz val="22"/>
      <color rgb="FF000000"/>
      <name val="Arial"/>
      <family val="2"/>
    </font>
    <font>
      <b/>
      <sz val="18"/>
      <name val="Arial"/>
      <family val="2"/>
    </font>
    <font>
      <sz val="11"/>
      <color theme="0"/>
      <name val="Arial"/>
      <family val="2"/>
    </font>
    <font>
      <sz val="11"/>
      <name val="Arial"/>
      <family val="2"/>
    </font>
    <font>
      <sz val="14"/>
      <name val="Arial"/>
      <family val="2"/>
    </font>
    <font>
      <b/>
      <sz val="14"/>
      <name val="Arial"/>
      <family val="2"/>
    </font>
    <font>
      <b/>
      <sz val="12"/>
      <color theme="0"/>
      <name val="Arial Black"/>
      <family val="2"/>
    </font>
    <font>
      <sz val="11"/>
      <color theme="9"/>
      <name val="Arial"/>
      <family val="2"/>
    </font>
    <font>
      <b/>
      <sz val="11"/>
      <name val="Arial"/>
      <family val="2"/>
    </font>
    <font>
      <u/>
      <sz val="11"/>
      <color theme="10"/>
      <name val="Calibri"/>
      <family val="2"/>
      <scheme val="minor"/>
    </font>
    <font>
      <sz val="11"/>
      <color rgb="FF000000"/>
      <name val="Calibri"/>
      <family val="2"/>
      <scheme val="minor"/>
    </font>
    <font>
      <b/>
      <sz val="11"/>
      <name val="Arial"/>
      <family val="2"/>
    </font>
    <font>
      <b/>
      <sz val="10"/>
      <color rgb="FF000000"/>
      <name val="Arial"/>
      <family val="2"/>
    </font>
    <font>
      <sz val="11"/>
      <color rgb="FF000000"/>
      <name val="Calibri"/>
      <family val="2"/>
    </font>
    <font>
      <sz val="14"/>
      <color rgb="FF000000"/>
      <name val="-webkit-standard"/>
    </font>
    <font>
      <b/>
      <sz val="36"/>
      <color rgb="FF000000"/>
      <name val="Calibri"/>
      <family val="2"/>
      <scheme val="minor"/>
    </font>
    <font>
      <sz val="36"/>
      <color rgb="FF000000"/>
      <name val="Calibri"/>
      <family val="2"/>
      <scheme val="minor"/>
    </font>
    <font>
      <sz val="10"/>
      <color rgb="FF000000"/>
      <name val="Tahoma"/>
      <family val="2"/>
    </font>
    <font>
      <b/>
      <sz val="10"/>
      <color rgb="FF000000"/>
      <name val="Tahoma"/>
      <family val="2"/>
    </font>
    <font>
      <sz val="11"/>
      <color theme="1"/>
      <name val="Arial Narrow"/>
      <family val="2"/>
    </font>
    <font>
      <u/>
      <sz val="11"/>
      <color theme="1"/>
      <name val="Arial Narrow"/>
      <family val="2"/>
    </font>
    <font>
      <sz val="8"/>
      <name val="Calibri"/>
      <family val="2"/>
      <scheme val="minor"/>
    </font>
    <font>
      <sz val="12"/>
      <name val="Arial"/>
      <family val="2"/>
    </font>
    <font>
      <i/>
      <sz val="11"/>
      <name val="Arial"/>
      <family val="2"/>
    </font>
    <font>
      <u/>
      <sz val="11"/>
      <name val="Calibri"/>
      <family val="2"/>
      <scheme val="minor"/>
    </font>
  </fonts>
  <fills count="30">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6783C"/>
        <bgColor indexed="64"/>
      </patternFill>
    </fill>
    <fill>
      <patternFill patternType="solid">
        <fgColor theme="0" tint="-0.14999847407452621"/>
        <bgColor indexed="64"/>
      </patternFill>
    </fill>
    <fill>
      <patternFill patternType="solid">
        <fgColor rgb="FF287840"/>
        <bgColor indexed="64"/>
      </patternFill>
    </fill>
    <fill>
      <patternFill patternType="solid">
        <fgColor theme="0" tint="-0.499984740745262"/>
        <bgColor indexed="64"/>
      </patternFill>
    </fill>
    <fill>
      <patternFill patternType="solid">
        <fgColor rgb="FFDAAA00"/>
        <bgColor indexed="64"/>
      </patternFill>
    </fill>
    <fill>
      <patternFill patternType="solid">
        <fgColor rgb="FF4E4B48"/>
        <bgColor indexed="64"/>
      </patternFill>
    </fill>
    <fill>
      <patternFill patternType="solid">
        <fgColor rgb="FFFFFFFF"/>
        <bgColor rgb="FFFFFFFF"/>
      </patternFill>
    </fill>
    <fill>
      <patternFill patternType="solid">
        <fgColor rgb="FFFFFFFF"/>
        <bgColor rgb="FF000000"/>
      </patternFill>
    </fill>
    <fill>
      <patternFill patternType="solid">
        <fgColor rgb="FFFFFFFF"/>
        <bgColor indexed="64"/>
      </patternFill>
    </fill>
    <fill>
      <patternFill patternType="solid">
        <fgColor rgb="FFB4B3B6"/>
        <bgColor indexed="64"/>
      </patternFill>
    </fill>
    <fill>
      <patternFill patternType="solid">
        <fgColor rgb="FF00CC66"/>
        <bgColor indexed="64"/>
      </patternFill>
    </fill>
    <fill>
      <patternFill patternType="solid">
        <fgColor theme="0" tint="-4.9989318521683403E-2"/>
        <bgColor indexed="64"/>
      </patternFill>
    </fill>
    <fill>
      <patternFill patternType="solid">
        <fgColor theme="6" tint="-0.499984740745262"/>
        <bgColor indexed="64"/>
      </patternFill>
    </fill>
    <fill>
      <patternFill patternType="solid">
        <fgColor theme="2" tint="-9.9978637043366805E-2"/>
        <bgColor indexed="64"/>
      </patternFill>
    </fill>
  </fills>
  <borders count="118">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auto="1"/>
      </left>
      <right/>
      <top/>
      <bottom style="thin">
        <color auto="1"/>
      </bottom>
      <diagonal/>
    </border>
    <border>
      <left/>
      <right/>
      <top/>
      <bottom style="dashed">
        <color theme="9" tint="-0.2499465926084170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thin">
        <color rgb="FF4B514E"/>
      </left>
      <right/>
      <top/>
      <bottom/>
      <diagonal/>
    </border>
    <border>
      <left/>
      <right style="thin">
        <color indexed="64"/>
      </right>
      <top/>
      <bottom/>
      <diagonal/>
    </border>
    <border>
      <left style="medium">
        <color rgb="FF000000"/>
      </left>
      <right style="thin">
        <color indexed="64"/>
      </right>
      <top/>
      <bottom style="medium">
        <color rgb="FF000000"/>
      </bottom>
      <diagonal/>
    </border>
    <border>
      <left style="thin">
        <color rgb="FF4B514E"/>
      </left>
      <right style="thin">
        <color rgb="FF4B514E"/>
      </right>
      <top style="thin">
        <color rgb="FF4B514E"/>
      </top>
      <bottom style="thin">
        <color rgb="FF4B514E"/>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right style="thin">
        <color rgb="FF4B514E"/>
      </right>
      <top/>
      <bottom/>
      <diagonal/>
    </border>
    <border>
      <left style="thin">
        <color rgb="FF4B514E"/>
      </left>
      <right/>
      <top style="medium">
        <color indexed="64"/>
      </top>
      <bottom/>
      <diagonal/>
    </border>
    <border>
      <left style="thin">
        <color rgb="FF4B514E"/>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auto="1"/>
      </left>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auto="1"/>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auto="1"/>
      </top>
      <bottom style="thin">
        <color indexed="64"/>
      </bottom>
      <diagonal/>
    </border>
    <border>
      <left style="thin">
        <color indexed="64"/>
      </left>
      <right style="thin">
        <color indexed="64"/>
      </right>
      <top style="thin">
        <color rgb="FF000000"/>
      </top>
      <bottom/>
      <diagonal/>
    </border>
    <border>
      <left/>
      <right style="thin">
        <color indexed="64"/>
      </right>
      <top style="medium">
        <color rgb="FF000000"/>
      </top>
      <bottom/>
      <diagonal/>
    </border>
    <border>
      <left/>
      <right style="thin">
        <color indexed="64"/>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6">
    <xf numFmtId="0" fontId="0" fillId="0" borderId="0"/>
    <xf numFmtId="9" fontId="12" fillId="0" borderId="0" applyFont="0" applyFill="0" applyBorder="0" applyAlignment="0" applyProtection="0"/>
    <xf numFmtId="0" fontId="43" fillId="0" borderId="0"/>
    <xf numFmtId="0" fontId="44" fillId="0" borderId="0"/>
    <xf numFmtId="0" fontId="4" fillId="0" borderId="0"/>
    <xf numFmtId="0" fontId="96" fillId="0" borderId="0" applyNumberFormat="0" applyFill="0" applyBorder="0" applyAlignment="0" applyProtection="0"/>
  </cellStyleXfs>
  <cellXfs count="727">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4" fillId="0" borderId="0" xfId="0" applyFont="1" applyAlignment="1">
      <alignment vertical="center"/>
    </xf>
    <xf numFmtId="0" fontId="25" fillId="0" borderId="0" xfId="0" applyFont="1"/>
    <xf numFmtId="0" fontId="23" fillId="0" borderId="0" xfId="0" applyFont="1"/>
    <xf numFmtId="0" fontId="0" fillId="0" borderId="0" xfId="0" pivotButton="1"/>
    <xf numFmtId="0" fontId="10" fillId="0" borderId="0" xfId="0" applyFont="1" applyAlignment="1">
      <alignment horizontal="justify" vertical="center" wrapText="1" readingOrder="1"/>
    </xf>
    <xf numFmtId="0" fontId="26" fillId="0" borderId="0" xfId="0" applyFont="1"/>
    <xf numFmtId="0" fontId="28" fillId="6" borderId="0" xfId="0" applyFont="1" applyFill="1" applyAlignment="1">
      <alignment horizontal="center" vertical="center" wrapText="1" readingOrder="1"/>
    </xf>
    <xf numFmtId="0" fontId="29" fillId="0" borderId="4" xfId="0" applyFont="1" applyBorder="1" applyAlignment="1">
      <alignment horizontal="justify" vertical="center" wrapText="1" readingOrder="1"/>
    </xf>
    <xf numFmtId="0" fontId="29" fillId="0" borderId="1" xfId="0" applyFont="1" applyBorder="1" applyAlignment="1">
      <alignment horizontal="justify" vertical="center" wrapText="1" readingOrder="1"/>
    </xf>
    <xf numFmtId="0" fontId="29" fillId="5" borderId="4"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29" fillId="4" borderId="1" xfId="0" applyFont="1" applyFill="1" applyBorder="1" applyAlignment="1">
      <alignment horizontal="center" vertical="center" wrapText="1" readingOrder="1"/>
    </xf>
    <xf numFmtId="0" fontId="29" fillId="8" borderId="1" xfId="0" applyFont="1" applyFill="1" applyBorder="1" applyAlignment="1">
      <alignment horizontal="center" vertical="center" wrapText="1" readingOrder="1"/>
    </xf>
    <xf numFmtId="0" fontId="30" fillId="9" borderId="1" xfId="0" applyFont="1" applyFill="1" applyBorder="1" applyAlignment="1">
      <alignment horizontal="center" vertical="center" wrapText="1" readingOrder="1"/>
    </xf>
    <xf numFmtId="0" fontId="29" fillId="0" borderId="4" xfId="0" applyFont="1" applyBorder="1" applyAlignment="1">
      <alignment horizontal="center" vertical="center" wrapText="1" readingOrder="1"/>
    </xf>
    <xf numFmtId="0" fontId="29" fillId="0" borderId="1" xfId="0" applyFont="1" applyBorder="1" applyAlignment="1">
      <alignment horizontal="center" vertical="center" wrapText="1" readingOrder="1"/>
    </xf>
    <xf numFmtId="0" fontId="17" fillId="11" borderId="5" xfId="0" applyFont="1" applyFill="1" applyBorder="1" applyAlignment="1" applyProtection="1">
      <alignment horizontal="center" vertical="center" wrapText="1" readingOrder="1"/>
      <protection hidden="1"/>
    </xf>
    <xf numFmtId="0" fontId="17" fillId="11" borderId="12" xfId="0" applyFont="1" applyFill="1" applyBorder="1" applyAlignment="1" applyProtection="1">
      <alignment horizontal="center" vertical="center" wrapText="1" readingOrder="1"/>
      <protection hidden="1"/>
    </xf>
    <xf numFmtId="0" fontId="17" fillId="11" borderId="6" xfId="0" applyFont="1" applyFill="1" applyBorder="1" applyAlignment="1" applyProtection="1">
      <alignment horizontal="center" vertic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1" borderId="7"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8" xfId="0" applyFont="1" applyFill="1" applyBorder="1" applyAlignment="1" applyProtection="1">
      <alignment horizontal="center" vertic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1" borderId="9" xfId="0" applyFont="1" applyFill="1" applyBorder="1" applyAlignment="1" applyProtection="1">
      <alignment horizontal="center" vertical="center" wrapText="1" readingOrder="1"/>
      <protection hidden="1"/>
    </xf>
    <xf numFmtId="0" fontId="17" fillId="11" borderId="11" xfId="0" applyFont="1" applyFill="1" applyBorder="1" applyAlignment="1" applyProtection="1">
      <alignment horizontal="center" vertical="center" wrapText="1" readingOrder="1"/>
      <protection hidden="1"/>
    </xf>
    <xf numFmtId="0" fontId="17" fillId="11" borderId="10" xfId="0" applyFont="1" applyFill="1" applyBorder="1" applyAlignment="1" applyProtection="1">
      <alignment horizontal="center" vertic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13" borderId="5" xfId="0" applyFont="1" applyFill="1" applyBorder="1" applyAlignment="1" applyProtection="1">
      <alignment horizontal="center" wrapText="1" readingOrder="1"/>
      <protection hidden="1"/>
    </xf>
    <xf numFmtId="0" fontId="17" fillId="13" borderId="12" xfId="0" applyFont="1" applyFill="1" applyBorder="1" applyAlignment="1" applyProtection="1">
      <alignment horizontal="center" wrapText="1" readingOrder="1"/>
      <protection hidden="1"/>
    </xf>
    <xf numFmtId="0" fontId="17" fillId="13" borderId="6" xfId="0" applyFont="1" applyFill="1" applyBorder="1" applyAlignment="1" applyProtection="1">
      <alignment horizontal="center" wrapText="1" readingOrder="1"/>
      <protection hidden="1"/>
    </xf>
    <xf numFmtId="0" fontId="17" fillId="13" borderId="7"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8" xfId="0" applyFont="1" applyFill="1" applyBorder="1" applyAlignment="1" applyProtection="1">
      <alignment horizontal="center" wrapText="1" readingOrder="1"/>
      <protection hidden="1"/>
    </xf>
    <xf numFmtId="0" fontId="17" fillId="13" borderId="9" xfId="0" applyFont="1" applyFill="1" applyBorder="1" applyAlignment="1" applyProtection="1">
      <alignment horizontal="center" wrapText="1" readingOrder="1"/>
      <protection hidden="1"/>
    </xf>
    <xf numFmtId="0" fontId="17" fillId="13" borderId="11" xfId="0" applyFont="1" applyFill="1" applyBorder="1" applyAlignment="1" applyProtection="1">
      <alignment horizontal="center" wrapText="1" readingOrder="1"/>
      <protection hidden="1"/>
    </xf>
    <xf numFmtId="0" fontId="17" fillId="13" borderId="10" xfId="0" applyFont="1" applyFill="1" applyBorder="1" applyAlignment="1" applyProtection="1">
      <alignment horizontal="center" wrapText="1" readingOrder="1"/>
      <protection hidden="1"/>
    </xf>
    <xf numFmtId="0" fontId="17" fillId="5" borderId="5" xfId="0" applyFont="1" applyFill="1" applyBorder="1" applyAlignment="1" applyProtection="1">
      <alignment horizontal="center" wrapText="1" readingOrder="1"/>
      <protection hidden="1"/>
    </xf>
    <xf numFmtId="0" fontId="17" fillId="5" borderId="12" xfId="0" applyFont="1" applyFill="1" applyBorder="1" applyAlignment="1" applyProtection="1">
      <alignment horizontal="center" wrapText="1" readingOrder="1"/>
      <protection hidden="1"/>
    </xf>
    <xf numFmtId="0" fontId="17" fillId="5" borderId="6" xfId="0" applyFont="1" applyFill="1" applyBorder="1" applyAlignment="1" applyProtection="1">
      <alignment horizontal="center" wrapText="1" readingOrder="1"/>
      <protection hidden="1"/>
    </xf>
    <xf numFmtId="0" fontId="17" fillId="5" borderId="7"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8" xfId="0" applyFont="1" applyFill="1" applyBorder="1" applyAlignment="1" applyProtection="1">
      <alignment horizontal="center" wrapText="1" readingOrder="1"/>
      <protection hidden="1"/>
    </xf>
    <xf numFmtId="0" fontId="17" fillId="5" borderId="9" xfId="0" applyFont="1" applyFill="1" applyBorder="1" applyAlignment="1" applyProtection="1">
      <alignment horizontal="center" wrapText="1" readingOrder="1"/>
      <protection hidden="1"/>
    </xf>
    <xf numFmtId="0" fontId="17" fillId="5" borderId="11" xfId="0" applyFont="1" applyFill="1" applyBorder="1" applyAlignment="1" applyProtection="1">
      <alignment horizontal="center" wrapText="1" readingOrder="1"/>
      <protection hidden="1"/>
    </xf>
    <xf numFmtId="0" fontId="17" fillId="5" borderId="10" xfId="0" applyFont="1" applyFill="1" applyBorder="1" applyAlignment="1" applyProtection="1">
      <alignment horizontal="center" wrapText="1" readingOrder="1"/>
      <protection hidden="1"/>
    </xf>
    <xf numFmtId="0" fontId="0" fillId="3" borderId="0" xfId="0" applyFill="1"/>
    <xf numFmtId="0" fontId="45" fillId="3" borderId="39" xfId="2" applyFont="1" applyFill="1" applyBorder="1"/>
    <xf numFmtId="0" fontId="45" fillId="3" borderId="40" xfId="2" applyFont="1" applyFill="1" applyBorder="1"/>
    <xf numFmtId="0" fontId="45" fillId="3" borderId="41" xfId="2" applyFont="1" applyFill="1" applyBorder="1"/>
    <xf numFmtId="0" fontId="14" fillId="3" borderId="0" xfId="0" applyFont="1" applyFill="1" applyAlignment="1">
      <alignment vertical="center"/>
    </xf>
    <xf numFmtId="0" fontId="4" fillId="3" borderId="0" xfId="0" applyFont="1" applyFill="1"/>
    <xf numFmtId="0" fontId="32" fillId="3" borderId="0" xfId="0" applyFont="1" applyFill="1"/>
    <xf numFmtId="0" fontId="34" fillId="3" borderId="22" xfId="0" applyFont="1" applyFill="1" applyBorder="1" applyAlignment="1">
      <alignment horizontal="justify" vertical="center" wrapText="1" readingOrder="1"/>
    </xf>
    <xf numFmtId="9" fontId="33" fillId="3" borderId="31" xfId="0" applyNumberFormat="1" applyFont="1" applyFill="1" applyBorder="1" applyAlignment="1">
      <alignment horizontal="center" vertical="center" wrapText="1" readingOrder="1"/>
    </xf>
    <xf numFmtId="0" fontId="34" fillId="3" borderId="21" xfId="0" applyFont="1" applyFill="1" applyBorder="1" applyAlignment="1">
      <alignment horizontal="justify" vertical="center" wrapText="1" readingOrder="1"/>
    </xf>
    <xf numFmtId="9" fontId="33" fillId="3" borderId="26" xfId="0" applyNumberFormat="1"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xf numFmtId="0" fontId="34" fillId="3" borderId="28" xfId="0" applyFont="1" applyFill="1" applyBorder="1" applyAlignment="1">
      <alignment horizontal="justify" vertical="center" wrapText="1" readingOrder="1"/>
    </xf>
    <xf numFmtId="0" fontId="34" fillId="3" borderId="29" xfId="0" applyFont="1" applyFill="1" applyBorder="1" applyAlignment="1">
      <alignment horizontal="center" vertical="center" wrapText="1" readingOrder="1"/>
    </xf>
    <xf numFmtId="0" fontId="42" fillId="3" borderId="0" xfId="0" applyFont="1" applyFill="1"/>
    <xf numFmtId="0" fontId="33" fillId="15" borderId="34" xfId="0" applyFont="1" applyFill="1" applyBorder="1" applyAlignment="1">
      <alignment horizontal="center" vertical="center" wrapText="1" readingOrder="1"/>
    </xf>
    <xf numFmtId="0" fontId="11" fillId="3" borderId="0" xfId="0" applyFont="1" applyFill="1"/>
    <xf numFmtId="0" fontId="27"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5" fillId="3" borderId="7" xfId="2" applyFont="1" applyFill="1" applyBorder="1"/>
    <xf numFmtId="0" fontId="50" fillId="3" borderId="0" xfId="0" applyFont="1" applyFill="1" applyAlignment="1">
      <alignment horizontal="left" vertical="center" wrapText="1"/>
    </xf>
    <xf numFmtId="0" fontId="51" fillId="3" borderId="0" xfId="0" applyFont="1" applyFill="1" applyAlignment="1">
      <alignment horizontal="left" vertical="top" wrapText="1"/>
    </xf>
    <xf numFmtId="0" fontId="45" fillId="3" borderId="0" xfId="2" applyFont="1" applyFill="1"/>
    <xf numFmtId="0" fontId="45" fillId="3" borderId="8" xfId="2" applyFont="1" applyFill="1" applyBorder="1"/>
    <xf numFmtId="0" fontId="45" fillId="3" borderId="9" xfId="2" applyFont="1" applyFill="1" applyBorder="1"/>
    <xf numFmtId="0" fontId="45" fillId="3" borderId="11" xfId="2" applyFont="1" applyFill="1" applyBorder="1"/>
    <xf numFmtId="0" fontId="45" fillId="3" borderId="10" xfId="2" applyFont="1" applyFill="1" applyBorder="1"/>
    <xf numFmtId="0" fontId="49" fillId="3" borderId="0" xfId="2" applyFont="1" applyFill="1" applyAlignment="1">
      <alignment horizontal="left" vertical="center" wrapText="1"/>
    </xf>
    <xf numFmtId="0" fontId="45" fillId="3" borderId="0" xfId="2" applyFont="1" applyFill="1" applyAlignment="1">
      <alignment horizontal="left" vertical="center" wrapText="1"/>
    </xf>
    <xf numFmtId="0" fontId="45" fillId="3" borderId="0" xfId="2" quotePrefix="1" applyFont="1" applyFill="1" applyAlignment="1">
      <alignment horizontal="left" vertical="center" wrapText="1"/>
    </xf>
    <xf numFmtId="0" fontId="47" fillId="3" borderId="7" xfId="2" quotePrefix="1" applyFont="1" applyFill="1" applyBorder="1" applyAlignment="1">
      <alignment horizontal="left" vertical="top" wrapText="1"/>
    </xf>
    <xf numFmtId="0" fontId="48" fillId="3" borderId="0" xfId="2" quotePrefix="1" applyFont="1" applyFill="1" applyAlignment="1">
      <alignment horizontal="left" vertical="top" wrapText="1"/>
    </xf>
    <xf numFmtId="0" fontId="48" fillId="3" borderId="8" xfId="2" quotePrefix="1" applyFont="1" applyFill="1" applyBorder="1" applyAlignment="1">
      <alignment horizontal="left" vertical="top" wrapText="1"/>
    </xf>
    <xf numFmtId="0" fontId="43" fillId="0" borderId="7" xfId="0" applyFont="1" applyBorder="1" applyAlignment="1">
      <alignment vertical="center" wrapText="1"/>
    </xf>
    <xf numFmtId="0" fontId="43" fillId="0" borderId="0" xfId="0" applyFont="1" applyAlignment="1">
      <alignment vertical="center" wrapText="1"/>
    </xf>
    <xf numFmtId="0" fontId="56"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57" fillId="0" borderId="0" xfId="0" applyFont="1" applyAlignment="1">
      <alignment horizontal="center"/>
    </xf>
    <xf numFmtId="0" fontId="59" fillId="0" borderId="0" xfId="0" applyFont="1" applyAlignment="1">
      <alignment horizontal="center" vertical="center" wrapText="1"/>
    </xf>
    <xf numFmtId="0" fontId="0" fillId="0" borderId="0" xfId="0" applyAlignment="1">
      <alignment wrapText="1"/>
    </xf>
    <xf numFmtId="0" fontId="59" fillId="0" borderId="0" xfId="0" applyFont="1" applyAlignment="1">
      <alignment vertical="center" wrapText="1"/>
    </xf>
    <xf numFmtId="0" fontId="55" fillId="0" borderId="63" xfId="0" applyFont="1" applyBorder="1" applyAlignment="1" applyProtection="1">
      <alignment horizontal="center" wrapText="1"/>
      <protection locked="0"/>
    </xf>
    <xf numFmtId="0" fontId="55" fillId="0" borderId="57" xfId="0" applyFont="1" applyBorder="1" applyAlignment="1" applyProtection="1">
      <alignment horizontal="center" wrapText="1"/>
      <protection locked="0"/>
    </xf>
    <xf numFmtId="0" fontId="54" fillId="0" borderId="57" xfId="0" applyFont="1" applyBorder="1" applyAlignment="1">
      <alignment horizontal="left" vertical="center"/>
    </xf>
    <xf numFmtId="0" fontId="0" fillId="17" borderId="0" xfId="0" applyFill="1"/>
    <xf numFmtId="0" fontId="65" fillId="17" borderId="0" xfId="0" applyFont="1" applyFill="1"/>
    <xf numFmtId="14" fontId="65" fillId="0" borderId="74" xfId="0" applyNumberFormat="1" applyFont="1" applyBorder="1" applyAlignment="1" applyProtection="1">
      <alignment horizontal="center" vertical="center"/>
      <protection locked="0"/>
    </xf>
    <xf numFmtId="0" fontId="65" fillId="0" borderId="74" xfId="0" applyFont="1" applyBorder="1" applyAlignment="1" applyProtection="1">
      <alignment horizontal="center" vertical="center"/>
      <protection locked="0"/>
    </xf>
    <xf numFmtId="0" fontId="65" fillId="0" borderId="74" xfId="0" applyFont="1" applyBorder="1" applyAlignment="1" applyProtection="1">
      <alignment horizontal="center" vertical="center" wrapText="1"/>
      <protection locked="0"/>
    </xf>
    <xf numFmtId="0" fontId="65" fillId="0" borderId="74" xfId="0" applyFont="1" applyBorder="1" applyAlignment="1" applyProtection="1">
      <alignment horizontal="justify" wrapText="1"/>
      <protection locked="0"/>
    </xf>
    <xf numFmtId="0" fontId="11" fillId="17" borderId="0" xfId="0" applyFont="1" applyFill="1"/>
    <xf numFmtId="0" fontId="66" fillId="0" borderId="24" xfId="0" applyFont="1" applyBorder="1" applyAlignment="1">
      <alignment horizontal="center" vertical="center"/>
    </xf>
    <xf numFmtId="0" fontId="66" fillId="0" borderId="85" xfId="0" applyFont="1" applyBorder="1" applyAlignment="1">
      <alignment horizontal="center" vertical="center" wrapText="1"/>
    </xf>
    <xf numFmtId="0" fontId="66" fillId="0" borderId="85" xfId="0" applyFont="1" applyBorder="1" applyAlignment="1">
      <alignment horizontal="center" vertical="center"/>
    </xf>
    <xf numFmtId="0" fontId="0" fillId="0" borderId="5"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0" xfId="0" applyBorder="1"/>
    <xf numFmtId="14" fontId="70" fillId="16" borderId="74" xfId="0" applyNumberFormat="1" applyFont="1" applyFill="1" applyBorder="1" applyAlignment="1">
      <alignment horizontal="center" vertical="center" wrapText="1"/>
    </xf>
    <xf numFmtId="0" fontId="70" fillId="16" borderId="74" xfId="0" applyFont="1" applyFill="1" applyBorder="1" applyAlignment="1">
      <alignment horizontal="center" vertical="center" wrapText="1"/>
    </xf>
    <xf numFmtId="0" fontId="76" fillId="17" borderId="0" xfId="0" applyFont="1" applyFill="1" applyAlignment="1">
      <alignment horizontal="center" vertical="center" textRotation="90"/>
    </xf>
    <xf numFmtId="0" fontId="78" fillId="0" borderId="0" xfId="0" applyFont="1" applyAlignment="1">
      <alignment vertical="center"/>
    </xf>
    <xf numFmtId="0" fontId="81" fillId="0" borderId="0" xfId="0" applyFont="1"/>
    <xf numFmtId="0" fontId="76" fillId="0" borderId="0" xfId="0" applyFont="1" applyAlignment="1">
      <alignment horizontal="left" vertical="center"/>
    </xf>
    <xf numFmtId="0" fontId="65" fillId="0" borderId="91" xfId="0" applyFont="1" applyBorder="1" applyAlignment="1">
      <alignment horizontal="left" vertical="center"/>
    </xf>
    <xf numFmtId="0" fontId="65" fillId="0" borderId="92" xfId="0" applyFont="1" applyBorder="1" applyAlignment="1">
      <alignment horizontal="left" vertical="center"/>
    </xf>
    <xf numFmtId="0" fontId="81" fillId="3" borderId="0" xfId="0" applyFont="1" applyFill="1"/>
    <xf numFmtId="0" fontId="82" fillId="3" borderId="0" xfId="0" applyFont="1" applyFill="1" applyAlignment="1">
      <alignment horizontal="center" vertical="center"/>
    </xf>
    <xf numFmtId="0" fontId="0" fillId="0" borderId="85" xfId="0" applyBorder="1" applyAlignment="1">
      <alignment horizontal="center" vertical="center"/>
    </xf>
    <xf numFmtId="0" fontId="70" fillId="19" borderId="85" xfId="0" applyFont="1" applyFill="1" applyBorder="1" applyAlignment="1">
      <alignment horizontal="center" vertical="center"/>
    </xf>
    <xf numFmtId="0" fontId="79" fillId="18" borderId="0" xfId="0" applyFont="1" applyFill="1" applyAlignment="1">
      <alignment horizontal="center" vertical="center"/>
    </xf>
    <xf numFmtId="0" fontId="70" fillId="19" borderId="0" xfId="0" applyFont="1" applyFill="1" applyAlignment="1">
      <alignment horizontal="center" vertical="center"/>
    </xf>
    <xf numFmtId="0" fontId="80" fillId="0" borderId="0" xfId="0" applyFont="1" applyAlignment="1">
      <alignment horizontal="center"/>
    </xf>
    <xf numFmtId="0" fontId="80" fillId="0" borderId="0" xfId="0" applyFont="1" applyAlignment="1">
      <alignment horizontal="center" vertical="center"/>
    </xf>
    <xf numFmtId="0" fontId="72" fillId="21" borderId="27" xfId="0" applyFont="1" applyFill="1" applyBorder="1" applyAlignment="1">
      <alignment horizontal="center" vertical="center" wrapText="1"/>
    </xf>
    <xf numFmtId="0" fontId="72" fillId="21" borderId="28" xfId="0" applyFont="1" applyFill="1" applyBorder="1" applyAlignment="1">
      <alignment horizontal="center" vertical="center" wrapText="1"/>
    </xf>
    <xf numFmtId="0" fontId="85" fillId="3" borderId="21" xfId="0" applyFont="1" applyFill="1" applyBorder="1" applyAlignment="1" applyProtection="1">
      <alignment horizontal="justify" vertical="justify" wrapText="1"/>
      <protection locked="0"/>
    </xf>
    <xf numFmtId="0" fontId="71" fillId="0" borderId="22" xfId="0" applyFont="1" applyBorder="1" applyAlignment="1" applyProtection="1">
      <alignment horizontal="center" vertical="center" wrapText="1"/>
      <protection locked="0"/>
    </xf>
    <xf numFmtId="0" fontId="85" fillId="0" borderId="21" xfId="0" applyFont="1" applyBorder="1" applyAlignment="1" applyProtection="1">
      <alignment horizontal="justify" vertical="justify" wrapText="1"/>
      <protection locked="0"/>
    </xf>
    <xf numFmtId="0" fontId="71" fillId="0" borderId="21" xfId="0" applyFont="1" applyBorder="1" applyAlignment="1" applyProtection="1">
      <alignment horizontal="center" vertical="center" wrapText="1"/>
      <protection locked="0"/>
    </xf>
    <xf numFmtId="0" fontId="85" fillId="22" borderId="21" xfId="0" applyFont="1" applyFill="1" applyBorder="1" applyAlignment="1" applyProtection="1">
      <alignment horizontal="justify" vertical="justify" wrapText="1"/>
      <protection locked="0"/>
    </xf>
    <xf numFmtId="0" fontId="43" fillId="0" borderId="25" xfId="0" applyFont="1" applyBorder="1" applyAlignment="1" applyProtection="1">
      <alignment horizontal="justify" vertical="center" wrapText="1"/>
      <protection locked="0"/>
    </xf>
    <xf numFmtId="0" fontId="72" fillId="21" borderId="25" xfId="0" applyFont="1" applyFill="1" applyBorder="1" applyAlignment="1">
      <alignment horizontal="center" vertical="center" wrapText="1"/>
    </xf>
    <xf numFmtId="0" fontId="71" fillId="21" borderId="21" xfId="0" applyFont="1" applyFill="1" applyBorder="1" applyAlignment="1" applyProtection="1">
      <alignment horizontal="center" vertical="center"/>
      <protection locked="0"/>
    </xf>
    <xf numFmtId="0" fontId="85" fillId="23" borderId="22" xfId="0" applyFont="1" applyFill="1" applyBorder="1" applyAlignment="1" applyProtection="1">
      <alignment horizontal="justify" vertical="justify" wrapText="1"/>
      <protection locked="0"/>
    </xf>
    <xf numFmtId="0" fontId="86" fillId="21" borderId="21" xfId="0" applyFont="1" applyFill="1" applyBorder="1" applyAlignment="1" applyProtection="1">
      <alignment horizontal="center" vertical="center"/>
      <protection locked="0"/>
    </xf>
    <xf numFmtId="0" fontId="85" fillId="24" borderId="21" xfId="0" applyFont="1" applyFill="1" applyBorder="1" applyAlignment="1" applyProtection="1">
      <alignment horizontal="justify" vertical="justify" wrapText="1"/>
      <protection locked="0"/>
    </xf>
    <xf numFmtId="0" fontId="85" fillId="22" borderId="67" xfId="0" applyFont="1" applyFill="1" applyBorder="1" applyAlignment="1" applyProtection="1">
      <alignment wrapText="1"/>
      <protection locked="0"/>
    </xf>
    <xf numFmtId="0" fontId="65" fillId="3" borderId="21" xfId="0" applyFont="1" applyFill="1" applyBorder="1" applyAlignment="1" applyProtection="1">
      <alignment horizontal="justify" vertical="justify" wrapText="1"/>
      <protection locked="0"/>
    </xf>
    <xf numFmtId="0" fontId="11" fillId="18" borderId="0" xfId="0" applyFont="1" applyFill="1" applyAlignment="1">
      <alignment horizontal="center" vertical="center"/>
    </xf>
    <xf numFmtId="0" fontId="60" fillId="18" borderId="0" xfId="0" applyFont="1" applyFill="1" applyAlignment="1">
      <alignment horizontal="center" vertical="center"/>
    </xf>
    <xf numFmtId="0" fontId="60" fillId="18" borderId="0" xfId="0" applyFont="1" applyFill="1" applyAlignment="1">
      <alignment horizontal="center" vertical="center" wrapText="1"/>
    </xf>
    <xf numFmtId="0" fontId="11" fillId="18" borderId="0" xfId="0" applyFont="1" applyFill="1" applyAlignment="1">
      <alignment wrapText="1"/>
    </xf>
    <xf numFmtId="0" fontId="65" fillId="0" borderId="0" xfId="0" applyFont="1"/>
    <xf numFmtId="0" fontId="65" fillId="0" borderId="0" xfId="0" applyFont="1" applyAlignment="1">
      <alignment horizontal="center" vertical="center"/>
    </xf>
    <xf numFmtId="0" fontId="65" fillId="0" borderId="0" xfId="0" applyFont="1" applyAlignment="1">
      <alignment horizontal="center"/>
    </xf>
    <xf numFmtId="0" fontId="87" fillId="0" borderId="57" xfId="0" applyFont="1" applyBorder="1" applyAlignment="1" applyProtection="1">
      <alignment horizontal="center" vertical="center"/>
      <protection locked="0"/>
    </xf>
    <xf numFmtId="0" fontId="65" fillId="3" borderId="0" xfId="0" applyFont="1" applyFill="1"/>
    <xf numFmtId="0" fontId="89" fillId="3" borderId="0" xfId="0" applyFont="1" applyFill="1"/>
    <xf numFmtId="0" fontId="83" fillId="3" borderId="66" xfId="0" applyFont="1" applyFill="1" applyBorder="1" applyAlignment="1">
      <alignment horizontal="center" vertical="center"/>
    </xf>
    <xf numFmtId="0" fontId="83" fillId="3" borderId="67" xfId="0" applyFont="1" applyFill="1" applyBorder="1" applyAlignment="1">
      <alignment horizontal="center" vertical="center"/>
    </xf>
    <xf numFmtId="0" fontId="83" fillId="3" borderId="65" xfId="0" applyFont="1" applyFill="1" applyBorder="1" applyAlignment="1">
      <alignment horizontal="center" vertical="center"/>
    </xf>
    <xf numFmtId="0" fontId="83" fillId="3" borderId="57" xfId="0" applyFont="1" applyFill="1" applyBorder="1" applyAlignment="1">
      <alignment horizontal="center" vertical="center"/>
    </xf>
    <xf numFmtId="0" fontId="83" fillId="3" borderId="40" xfId="0" applyFont="1" applyFill="1" applyBorder="1" applyAlignment="1">
      <alignment vertical="center"/>
    </xf>
    <xf numFmtId="0" fontId="70" fillId="3" borderId="0" xfId="0" applyFont="1" applyFill="1" applyAlignment="1">
      <alignment horizontal="center" vertical="center"/>
    </xf>
    <xf numFmtId="0" fontId="76" fillId="3" borderId="0" xfId="0" applyFont="1" applyFill="1" applyAlignment="1">
      <alignment horizontal="center" vertical="center"/>
    </xf>
    <xf numFmtId="0" fontId="76" fillId="2" borderId="0" xfId="0" applyFont="1" applyFill="1" applyAlignment="1">
      <alignment horizontal="center" vertical="center"/>
    </xf>
    <xf numFmtId="0" fontId="65" fillId="0" borderId="3" xfId="0" applyFont="1" applyBorder="1" applyAlignment="1">
      <alignment horizontal="center" vertical="center"/>
    </xf>
    <xf numFmtId="0" fontId="65" fillId="0" borderId="2" xfId="0" applyFont="1" applyBorder="1" applyAlignment="1">
      <alignment horizontal="center" vertical="center"/>
    </xf>
    <xf numFmtId="0" fontId="65" fillId="0" borderId="0" xfId="0" applyFont="1" applyAlignment="1">
      <alignment horizontal="center" wrapText="1"/>
    </xf>
    <xf numFmtId="0" fontId="65" fillId="0" borderId="0" xfId="0" applyFont="1" applyAlignment="1">
      <alignment wrapText="1"/>
    </xf>
    <xf numFmtId="0" fontId="65" fillId="0" borderId="0" xfId="0" applyFont="1" applyAlignment="1">
      <alignment vertical="center"/>
    </xf>
    <xf numFmtId="0" fontId="90" fillId="0" borderId="0" xfId="0" applyFont="1" applyAlignment="1">
      <alignment horizontal="center" vertical="center" wrapText="1"/>
    </xf>
    <xf numFmtId="0" fontId="90" fillId="3" borderId="0" xfId="0" applyFont="1" applyFill="1" applyAlignment="1">
      <alignment horizontal="center" vertical="center" wrapText="1"/>
    </xf>
    <xf numFmtId="0" fontId="1" fillId="0" borderId="21" xfId="0" applyFont="1" applyBorder="1" applyAlignment="1">
      <alignment horizontal="center" vertical="center"/>
    </xf>
    <xf numFmtId="0" fontId="65" fillId="0" borderId="74" xfId="0" applyFont="1" applyBorder="1" applyAlignment="1" applyProtection="1">
      <alignment horizontal="left" vertical="center" wrapText="1"/>
      <protection locked="0"/>
    </xf>
    <xf numFmtId="0" fontId="55" fillId="11" borderId="12" xfId="0" applyFont="1" applyFill="1" applyBorder="1" applyAlignment="1" applyProtection="1">
      <alignment horizontal="center" vertical="center" wrapText="1" readingOrder="1"/>
      <protection hidden="1"/>
    </xf>
    <xf numFmtId="0" fontId="77" fillId="13" borderId="12" xfId="0" applyFont="1" applyFill="1" applyBorder="1" applyAlignment="1" applyProtection="1">
      <alignment horizontal="center" wrapText="1" readingOrder="1"/>
      <protection hidden="1"/>
    </xf>
    <xf numFmtId="0" fontId="54" fillId="0" borderId="94" xfId="0" applyFont="1" applyBorder="1" applyAlignment="1">
      <alignment vertical="center"/>
    </xf>
    <xf numFmtId="0" fontId="54" fillId="0" borderId="90" xfId="0" applyFont="1" applyBorder="1" applyAlignment="1">
      <alignment vertical="center"/>
    </xf>
    <xf numFmtId="0" fontId="54" fillId="0" borderId="93" xfId="0" applyFont="1" applyBorder="1" applyAlignment="1">
      <alignment vertical="center"/>
    </xf>
    <xf numFmtId="0" fontId="59" fillId="0" borderId="68" xfId="0" applyFont="1" applyBorder="1" applyAlignment="1">
      <alignment horizontal="center" vertical="center" wrapText="1"/>
    </xf>
    <xf numFmtId="0" fontId="33" fillId="15" borderId="33"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14" fontId="96" fillId="3" borderId="0" xfId="5" applyNumberFormat="1" applyFill="1" applyAlignment="1">
      <alignment horizontal="center" vertical="center" wrapText="1"/>
    </xf>
    <xf numFmtId="0" fontId="96" fillId="3" borderId="0" xfId="5" applyFill="1" applyAlignment="1">
      <alignment horizontal="center" vertical="center" wrapText="1"/>
    </xf>
    <xf numFmtId="0" fontId="54" fillId="0" borderId="66" xfId="0" applyFont="1" applyBorder="1" applyAlignment="1">
      <alignment horizontal="left" vertical="center"/>
    </xf>
    <xf numFmtId="0" fontId="54" fillId="0" borderId="21" xfId="0" applyFont="1" applyBorder="1" applyAlignment="1">
      <alignment horizontal="left" vertical="center"/>
    </xf>
    <xf numFmtId="0" fontId="83" fillId="3" borderId="0" xfId="0" applyFont="1" applyFill="1" applyAlignment="1">
      <alignment horizontal="center" vertical="center"/>
    </xf>
    <xf numFmtId="0" fontId="84" fillId="16" borderId="63" xfId="0" applyFont="1" applyFill="1" applyBorder="1" applyAlignment="1">
      <alignment horizontal="center" vertical="center"/>
    </xf>
    <xf numFmtId="0" fontId="90" fillId="17" borderId="21" xfId="0" applyFont="1" applyFill="1" applyBorder="1" applyAlignment="1">
      <alignment horizontal="center" vertical="center" wrapText="1"/>
    </xf>
    <xf numFmtId="0" fontId="96" fillId="17" borderId="21" xfId="5" applyFill="1" applyBorder="1" applyAlignment="1">
      <alignment horizontal="center" vertical="center" wrapText="1"/>
    </xf>
    <xf numFmtId="0" fontId="99" fillId="0" borderId="21" xfId="0" applyFont="1" applyBorder="1" applyAlignment="1">
      <alignment horizontal="left" vertical="center"/>
    </xf>
    <xf numFmtId="0" fontId="84" fillId="16" borderId="101" xfId="0" applyFont="1" applyFill="1" applyBorder="1" applyAlignment="1">
      <alignment horizontal="center" vertical="center" textRotation="90"/>
    </xf>
    <xf numFmtId="0" fontId="93" fillId="16" borderId="101" xfId="0" applyFont="1" applyFill="1" applyBorder="1" applyAlignment="1">
      <alignment horizontal="center" vertical="center" wrapText="1"/>
    </xf>
    <xf numFmtId="0" fontId="1" fillId="0" borderId="28" xfId="0" applyFont="1" applyBorder="1" applyAlignment="1">
      <alignment horizontal="center" vertical="center"/>
    </xf>
    <xf numFmtId="0" fontId="101" fillId="0" borderId="0" xfId="0" applyFont="1"/>
    <xf numFmtId="0" fontId="102" fillId="0" borderId="0" xfId="0" applyFont="1"/>
    <xf numFmtId="0" fontId="103" fillId="0" borderId="0" xfId="0" applyFont="1"/>
    <xf numFmtId="0" fontId="90" fillId="17" borderId="100" xfId="0" applyFont="1" applyFill="1" applyBorder="1" applyAlignment="1">
      <alignment horizontal="center" vertical="center" wrapText="1"/>
    </xf>
    <xf numFmtId="14" fontId="96" fillId="17" borderId="100" xfId="5" applyNumberFormat="1" applyFill="1" applyBorder="1" applyAlignment="1">
      <alignment horizontal="center" vertical="center" wrapText="1"/>
    </xf>
    <xf numFmtId="0" fontId="90" fillId="25" borderId="114" xfId="0" applyFont="1" applyFill="1" applyBorder="1" applyAlignment="1" applyProtection="1">
      <alignment horizontal="center" vertical="center" wrapText="1"/>
      <protection locked="0"/>
    </xf>
    <xf numFmtId="0" fontId="90" fillId="25" borderId="26" xfId="0" applyFont="1" applyFill="1" applyBorder="1" applyAlignment="1" applyProtection="1">
      <alignment horizontal="center" vertical="center" wrapText="1"/>
      <protection locked="0"/>
    </xf>
    <xf numFmtId="0" fontId="90" fillId="17" borderId="28" xfId="0" applyFont="1" applyFill="1" applyBorder="1" applyAlignment="1">
      <alignment horizontal="center" vertical="center" wrapText="1"/>
    </xf>
    <xf numFmtId="0" fontId="96" fillId="17" borderId="28" xfId="5" applyFill="1" applyBorder="1" applyAlignment="1">
      <alignment horizontal="center" vertical="center" wrapText="1"/>
    </xf>
    <xf numFmtId="0" fontId="90" fillId="25" borderId="29" xfId="0" applyFont="1" applyFill="1" applyBorder="1" applyAlignment="1" applyProtection="1">
      <alignment horizontal="center" vertical="center" wrapText="1"/>
      <protection locked="0"/>
    </xf>
    <xf numFmtId="0" fontId="90" fillId="0" borderId="22" xfId="0" applyFont="1" applyBorder="1" applyAlignment="1">
      <alignment horizontal="center" vertical="center" wrapText="1"/>
    </xf>
    <xf numFmtId="14" fontId="90" fillId="25" borderId="100" xfId="0" applyNumberFormat="1" applyFont="1" applyFill="1" applyBorder="1" applyAlignment="1" applyProtection="1">
      <alignment vertical="center" wrapText="1"/>
      <protection locked="0"/>
    </xf>
    <xf numFmtId="14" fontId="90" fillId="25" borderId="21" xfId="0" applyNumberFormat="1" applyFont="1" applyFill="1" applyBorder="1" applyAlignment="1" applyProtection="1">
      <alignment vertical="center" wrapText="1"/>
      <protection locked="0"/>
    </xf>
    <xf numFmtId="14" fontId="90" fillId="25" borderId="28" xfId="0" applyNumberFormat="1" applyFont="1" applyFill="1" applyBorder="1" applyAlignment="1" applyProtection="1">
      <alignment vertical="center" wrapText="1"/>
      <protection locked="0"/>
    </xf>
    <xf numFmtId="0" fontId="90" fillId="0" borderId="21" xfId="0" applyFont="1" applyBorder="1" applyAlignment="1">
      <alignment horizontal="center" vertical="center" wrapText="1"/>
    </xf>
    <xf numFmtId="9" fontId="90" fillId="0" borderId="22" xfId="0" applyNumberFormat="1" applyFont="1" applyBorder="1" applyAlignment="1" applyProtection="1">
      <alignment horizontal="center" vertical="center" wrapText="1"/>
      <protection hidden="1"/>
    </xf>
    <xf numFmtId="0" fontId="90" fillId="0" borderId="100" xfId="0" applyFont="1" applyBorder="1" applyAlignment="1">
      <alignment horizontal="center" vertical="center" wrapText="1"/>
    </xf>
    <xf numFmtId="9" fontId="90" fillId="0" borderId="22" xfId="1" applyFont="1" applyBorder="1" applyAlignment="1">
      <alignment horizontal="center" vertical="center" wrapText="1"/>
    </xf>
    <xf numFmtId="0" fontId="90" fillId="0" borderId="100" xfId="0" applyFont="1" applyBorder="1" applyAlignment="1" applyProtection="1">
      <alignment horizontal="center" vertical="center" textRotation="90" wrapText="1"/>
      <protection locked="0"/>
    </xf>
    <xf numFmtId="0" fontId="90" fillId="0" borderId="22" xfId="0" applyFont="1" applyBorder="1" applyAlignment="1" applyProtection="1">
      <alignment horizontal="center" vertical="center" textRotation="90" wrapText="1"/>
      <protection locked="0"/>
    </xf>
    <xf numFmtId="0" fontId="90" fillId="0" borderId="21" xfId="0" applyFont="1" applyBorder="1" applyAlignment="1" applyProtection="1">
      <alignment horizontal="center" vertical="center" textRotation="90" wrapText="1"/>
      <protection locked="0"/>
    </xf>
    <xf numFmtId="9" fontId="90" fillId="0" borderId="21" xfId="0" applyNumberFormat="1" applyFont="1" applyBorder="1" applyAlignment="1" applyProtection="1">
      <alignment horizontal="center" vertical="center" wrapText="1"/>
      <protection hidden="1"/>
    </xf>
    <xf numFmtId="9" fontId="90" fillId="0" borderId="28" xfId="0" applyNumberFormat="1" applyFont="1" applyBorder="1" applyAlignment="1" applyProtection="1">
      <alignment horizontal="center" vertical="center" wrapText="1"/>
      <protection hidden="1"/>
    </xf>
    <xf numFmtId="0" fontId="90" fillId="0" borderId="28" xfId="0" applyFont="1" applyBorder="1" applyAlignment="1" applyProtection="1">
      <alignment horizontal="center" vertical="center" textRotation="90" wrapText="1"/>
      <protection locked="0"/>
    </xf>
    <xf numFmtId="0" fontId="45" fillId="0" borderId="21" xfId="0" applyFont="1" applyBorder="1" applyAlignment="1" applyProtection="1">
      <alignment horizontal="justify" vertical="center" wrapText="1"/>
      <protection locked="0"/>
    </xf>
    <xf numFmtId="0" fontId="45" fillId="0" borderId="21" xfId="0" applyFont="1" applyBorder="1" applyAlignment="1" applyProtection="1">
      <alignment horizontal="left" vertical="center" wrapText="1"/>
      <protection locked="0"/>
    </xf>
    <xf numFmtId="0" fontId="90" fillId="0" borderId="21" xfId="0" applyFont="1" applyBorder="1" applyAlignment="1" applyProtection="1">
      <alignment horizontal="center" vertical="center" wrapText="1"/>
      <protection hidden="1"/>
    </xf>
    <xf numFmtId="0" fontId="90" fillId="0" borderId="28" xfId="0" applyFont="1" applyBorder="1" applyAlignment="1" applyProtection="1">
      <alignment horizontal="center" vertical="center" wrapText="1"/>
      <protection hidden="1"/>
    </xf>
    <xf numFmtId="0" fontId="1" fillId="0" borderId="21" xfId="0" applyFont="1" applyBorder="1" applyAlignment="1" applyProtection="1">
      <alignment vertical="center" wrapText="1"/>
      <protection locked="0"/>
    </xf>
    <xf numFmtId="14" fontId="1" fillId="0" borderId="21" xfId="0" applyNumberFormat="1" applyFont="1" applyBorder="1" applyAlignment="1" applyProtection="1">
      <alignment horizontal="center" vertical="center" wrapText="1"/>
      <protection locked="0"/>
    </xf>
    <xf numFmtId="0" fontId="43" fillId="0" borderId="100" xfId="0" applyFont="1" applyBorder="1" applyAlignment="1" applyProtection="1">
      <alignment horizontal="center" vertical="center" wrapText="1"/>
      <protection locked="0"/>
    </xf>
    <xf numFmtId="0" fontId="90" fillId="0" borderId="22" xfId="0" applyFont="1" applyBorder="1" applyAlignment="1" applyProtection="1">
      <alignment horizontal="center" vertical="center" wrapText="1"/>
      <protection hidden="1"/>
    </xf>
    <xf numFmtId="0" fontId="43" fillId="0" borderId="22" xfId="0" applyFont="1" applyBorder="1" applyAlignment="1" applyProtection="1">
      <alignment horizontal="center" vertical="center" wrapText="1"/>
      <protection locked="0"/>
    </xf>
    <xf numFmtId="49" fontId="1" fillId="0" borderId="21" xfId="0" applyNumberFormat="1" applyFont="1" applyBorder="1" applyAlignment="1" applyProtection="1">
      <alignment horizontal="center" vertical="center" wrapText="1"/>
      <protection locked="0"/>
    </xf>
    <xf numFmtId="0" fontId="90" fillId="0" borderId="22" xfId="0" applyFont="1" applyBorder="1" applyAlignment="1">
      <alignment vertical="center" wrapText="1"/>
    </xf>
    <xf numFmtId="0" fontId="90" fillId="0" borderId="21" xfId="0" applyFont="1" applyBorder="1" applyAlignment="1">
      <alignment vertical="center" wrapText="1"/>
    </xf>
    <xf numFmtId="0" fontId="90" fillId="0" borderId="28" xfId="0" applyFont="1" applyBorder="1" applyAlignment="1">
      <alignment vertical="center" wrapText="1"/>
    </xf>
    <xf numFmtId="14" fontId="90" fillId="29" borderId="22" xfId="0" applyNumberFormat="1" applyFont="1" applyFill="1" applyBorder="1" applyAlignment="1" applyProtection="1">
      <alignment horizontal="center" vertical="center" wrapText="1"/>
      <protection locked="0"/>
    </xf>
    <xf numFmtId="0" fontId="45" fillId="0" borderId="22" xfId="0" applyFont="1" applyBorder="1" applyAlignment="1" applyProtection="1">
      <alignment horizontal="left" vertical="center" wrapText="1"/>
      <protection locked="0"/>
    </xf>
    <xf numFmtId="0" fontId="90" fillId="29" borderId="21" xfId="0" applyFont="1" applyFill="1" applyBorder="1" applyAlignment="1">
      <alignment vertical="center" wrapText="1"/>
    </xf>
    <xf numFmtId="0" fontId="111" fillId="0" borderId="0" xfId="5" applyFont="1" applyAlignment="1">
      <alignment horizontal="center" vertical="center" wrapText="1"/>
    </xf>
    <xf numFmtId="0" fontId="51" fillId="0" borderId="22" xfId="0" applyFont="1" applyBorder="1" applyAlignment="1" applyProtection="1">
      <alignment horizontal="justify" vertical="center" wrapText="1"/>
      <protection locked="0"/>
    </xf>
    <xf numFmtId="0" fontId="51" fillId="0" borderId="22" xfId="0" applyFont="1" applyBorder="1" applyAlignment="1" applyProtection="1">
      <alignment horizontal="left" vertical="center" wrapText="1"/>
      <protection locked="0"/>
    </xf>
    <xf numFmtId="0" fontId="51" fillId="0" borderId="21" xfId="0" applyFont="1" applyBorder="1" applyAlignment="1" applyProtection="1">
      <alignment horizontal="justify" vertical="center" wrapText="1"/>
      <protection locked="0"/>
    </xf>
    <xf numFmtId="0" fontId="51" fillId="0" borderId="21" xfId="0" applyFont="1" applyBorder="1" applyAlignment="1" applyProtection="1">
      <alignment horizontal="left" vertical="center" wrapText="1"/>
      <protection locked="0"/>
    </xf>
    <xf numFmtId="0" fontId="51" fillId="0" borderId="28" xfId="0" applyFont="1" applyBorder="1" applyAlignment="1" applyProtection="1">
      <alignment horizontal="justify" vertical="center" wrapText="1"/>
      <protection locked="0"/>
    </xf>
    <xf numFmtId="0" fontId="51" fillId="0" borderId="28" xfId="0" applyFont="1" applyBorder="1" applyAlignment="1" applyProtection="1">
      <alignment horizontal="left" vertical="center" wrapText="1"/>
      <protection locked="0"/>
    </xf>
    <xf numFmtId="14" fontId="1" fillId="0" borderId="22" xfId="0" applyNumberFormat="1" applyFont="1" applyBorder="1" applyAlignment="1" applyProtection="1">
      <alignment vertical="center" wrapText="1"/>
      <protection locked="0"/>
    </xf>
    <xf numFmtId="14" fontId="1" fillId="0" borderId="21" xfId="0" applyNumberFormat="1" applyFont="1" applyBorder="1" applyAlignment="1" applyProtection="1">
      <alignment vertical="center" wrapText="1"/>
      <protection locked="0"/>
    </xf>
    <xf numFmtId="14" fontId="1" fillId="0" borderId="28" xfId="0" applyNumberFormat="1" applyFont="1" applyBorder="1" applyAlignment="1" applyProtection="1">
      <alignment vertical="center" wrapText="1"/>
      <protection locked="0"/>
    </xf>
    <xf numFmtId="14" fontId="1" fillId="0" borderId="28" xfId="0" applyNumberFormat="1" applyFont="1" applyBorder="1" applyAlignment="1" applyProtection="1">
      <alignment horizontal="center" vertical="center" wrapText="1"/>
      <protection locked="0"/>
    </xf>
    <xf numFmtId="0" fontId="65" fillId="0" borderId="23" xfId="0" applyFont="1" applyBorder="1" applyAlignment="1">
      <alignment horizontal="left" vertical="center" wrapText="1"/>
    </xf>
    <xf numFmtId="0" fontId="65" fillId="0" borderId="35" xfId="0" applyFont="1" applyBorder="1" applyAlignment="1">
      <alignment horizontal="left" vertical="center" wrapText="1"/>
    </xf>
    <xf numFmtId="0" fontId="97" fillId="0" borderId="111" xfId="0" applyFont="1" applyBorder="1" applyAlignment="1">
      <alignment horizontal="center" wrapText="1"/>
    </xf>
    <xf numFmtId="0" fontId="97" fillId="0" borderId="112" xfId="0" applyFont="1" applyBorder="1" applyAlignment="1">
      <alignment horizontal="center" wrapText="1"/>
    </xf>
    <xf numFmtId="0" fontId="97" fillId="0" borderId="113" xfId="0" applyFont="1" applyBorder="1" applyAlignment="1">
      <alignment horizontal="center" wrapText="1"/>
    </xf>
    <xf numFmtId="0" fontId="64" fillId="0" borderId="94" xfId="0" applyFont="1" applyBorder="1" applyAlignment="1">
      <alignment horizontal="center" vertical="center" wrapText="1"/>
    </xf>
    <xf numFmtId="0" fontId="64" fillId="0" borderId="90" xfId="0" applyFont="1" applyBorder="1" applyAlignment="1">
      <alignment horizontal="center" vertical="center" wrapText="1"/>
    </xf>
    <xf numFmtId="0" fontId="64" fillId="0" borderId="93" xfId="0" applyFont="1" applyBorder="1" applyAlignment="1">
      <alignment horizontal="center" vertical="center" wrapText="1"/>
    </xf>
    <xf numFmtId="0" fontId="60" fillId="18" borderId="94" xfId="0" applyFont="1" applyFill="1" applyBorder="1" applyAlignment="1">
      <alignment horizontal="center" vertical="center"/>
    </xf>
    <xf numFmtId="0" fontId="60" fillId="18" borderId="90" xfId="0" applyFont="1" applyFill="1" applyBorder="1" applyAlignment="1">
      <alignment horizontal="center" vertical="center"/>
    </xf>
    <xf numFmtId="0" fontId="60" fillId="18" borderId="93" xfId="0" applyFont="1" applyFill="1" applyBorder="1" applyAlignment="1">
      <alignment horizontal="center" vertical="center"/>
    </xf>
    <xf numFmtId="0" fontId="70" fillId="18" borderId="5" xfId="0" applyFont="1" applyFill="1" applyBorder="1" applyAlignment="1">
      <alignment horizontal="center" vertical="center"/>
    </xf>
    <xf numFmtId="0" fontId="70" fillId="18" borderId="6" xfId="0" applyFont="1" applyFill="1" applyBorder="1" applyAlignment="1">
      <alignment horizontal="center" vertical="center"/>
    </xf>
    <xf numFmtId="0" fontId="70" fillId="18" borderId="9" xfId="0" applyFont="1" applyFill="1" applyBorder="1" applyAlignment="1">
      <alignment horizontal="center" vertical="center"/>
    </xf>
    <xf numFmtId="0" fontId="70" fillId="18" borderId="10" xfId="0" applyFont="1" applyFill="1" applyBorder="1" applyAlignment="1">
      <alignment horizontal="center" vertical="center"/>
    </xf>
    <xf numFmtId="0" fontId="70" fillId="19" borderId="9" xfId="0" applyFont="1" applyFill="1" applyBorder="1" applyAlignment="1">
      <alignment horizontal="center" vertical="center"/>
    </xf>
    <xf numFmtId="0" fontId="70" fillId="19" borderId="10" xfId="0" applyFont="1" applyFill="1" applyBorder="1" applyAlignment="1">
      <alignment horizontal="center" vertical="center"/>
    </xf>
    <xf numFmtId="0" fontId="62" fillId="0" borderId="5" xfId="0" applyFont="1" applyBorder="1" applyAlignment="1">
      <alignment horizontal="center" wrapText="1"/>
    </xf>
    <xf numFmtId="0" fontId="62" fillId="0" borderId="6" xfId="0" applyFont="1" applyBorder="1" applyAlignment="1">
      <alignment horizontal="center" wrapText="1"/>
    </xf>
    <xf numFmtId="0" fontId="62" fillId="0" borderId="7" xfId="0" applyFont="1" applyBorder="1" applyAlignment="1">
      <alignment horizontal="center" wrapText="1"/>
    </xf>
    <xf numFmtId="0" fontId="62" fillId="0" borderId="8" xfId="0" applyFont="1" applyBorder="1" applyAlignment="1">
      <alignment horizontal="center" wrapText="1"/>
    </xf>
    <xf numFmtId="0" fontId="62" fillId="0" borderId="9" xfId="0" applyFont="1" applyBorder="1" applyAlignment="1">
      <alignment horizontal="center" wrapText="1"/>
    </xf>
    <xf numFmtId="0" fontId="62" fillId="0" borderId="10" xfId="0" applyFont="1" applyBorder="1" applyAlignment="1">
      <alignment horizontal="center" wrapText="1"/>
    </xf>
    <xf numFmtId="0" fontId="70" fillId="18" borderId="5" xfId="0" applyFont="1" applyFill="1" applyBorder="1" applyAlignment="1">
      <alignment horizontal="center" vertical="center" wrapText="1"/>
    </xf>
    <xf numFmtId="0" fontId="70" fillId="18" borderId="6" xfId="0" applyFont="1" applyFill="1" applyBorder="1" applyAlignment="1">
      <alignment horizontal="center" vertical="center" wrapText="1"/>
    </xf>
    <xf numFmtId="0" fontId="70" fillId="18" borderId="9" xfId="0" applyFont="1" applyFill="1" applyBorder="1" applyAlignment="1">
      <alignment horizontal="center" vertical="center" wrapText="1"/>
    </xf>
    <xf numFmtId="0" fontId="70" fillId="18" borderId="10" xfId="0" applyFont="1" applyFill="1" applyBorder="1" applyAlignment="1">
      <alignment horizontal="center" vertical="center" wrapText="1"/>
    </xf>
    <xf numFmtId="0" fontId="54" fillId="0" borderId="5" xfId="0" applyFont="1" applyBorder="1" applyAlignment="1">
      <alignment horizontal="left" vertical="center"/>
    </xf>
    <xf numFmtId="0" fontId="54" fillId="0" borderId="6" xfId="0" applyFont="1" applyBorder="1" applyAlignment="1">
      <alignment horizontal="left" vertical="center"/>
    </xf>
    <xf numFmtId="0" fontId="54" fillId="0" borderId="7" xfId="0" applyFont="1" applyBorder="1" applyAlignment="1">
      <alignment horizontal="left" vertical="center"/>
    </xf>
    <xf numFmtId="0" fontId="54" fillId="0" borderId="8" xfId="0" applyFont="1" applyBorder="1" applyAlignment="1">
      <alignment horizontal="left" vertical="center"/>
    </xf>
    <xf numFmtId="0" fontId="54" fillId="0" borderId="9" xfId="0" applyFont="1" applyBorder="1" applyAlignment="1">
      <alignment horizontal="left" vertical="center"/>
    </xf>
    <xf numFmtId="0" fontId="54" fillId="0" borderId="10" xfId="0" applyFont="1" applyBorder="1" applyAlignment="1">
      <alignment horizontal="left" vertical="center"/>
    </xf>
    <xf numFmtId="0" fontId="61" fillId="0" borderId="0" xfId="0" applyFont="1" applyAlignment="1">
      <alignment horizontal="center" wrapText="1"/>
    </xf>
    <xf numFmtId="0" fontId="64" fillId="0" borderId="88" xfId="0" applyFont="1" applyBorder="1" applyAlignment="1">
      <alignment horizontal="center" vertical="center" wrapText="1"/>
    </xf>
    <xf numFmtId="0" fontId="64" fillId="0" borderId="12" xfId="0" applyFont="1" applyBorder="1" applyAlignment="1">
      <alignment horizontal="center" vertical="center" wrapText="1"/>
    </xf>
    <xf numFmtId="0" fontId="64" fillId="0" borderId="75" xfId="0" applyFont="1" applyBorder="1" applyAlignment="1">
      <alignment horizontal="center" vertical="center" wrapText="1"/>
    </xf>
    <xf numFmtId="0" fontId="64" fillId="0" borderId="71" xfId="0" applyFont="1" applyBorder="1" applyAlignment="1">
      <alignment horizontal="center" vertical="center" wrapText="1"/>
    </xf>
    <xf numFmtId="0" fontId="64" fillId="0" borderId="0" xfId="0" applyFont="1" applyAlignment="1">
      <alignment horizontal="center" vertical="center" wrapText="1"/>
    </xf>
    <xf numFmtId="0" fontId="64" fillId="0" borderId="72" xfId="0" applyFont="1" applyBorder="1" applyAlignment="1">
      <alignment horizontal="center" vertical="center" wrapText="1"/>
    </xf>
    <xf numFmtId="0" fontId="64" fillId="0" borderId="89" xfId="0" applyFont="1" applyBorder="1" applyAlignment="1">
      <alignment horizontal="center" vertical="center" wrapText="1"/>
    </xf>
    <xf numFmtId="0" fontId="64" fillId="0" borderId="11" xfId="0" applyFont="1" applyBorder="1" applyAlignment="1">
      <alignment horizontal="center" vertical="center" wrapText="1"/>
    </xf>
    <xf numFmtId="0" fontId="64" fillId="0" borderId="78" xfId="0" applyFont="1" applyBorder="1" applyAlignment="1">
      <alignment horizontal="center" vertical="center" wrapText="1"/>
    </xf>
    <xf numFmtId="0" fontId="54" fillId="0" borderId="76" xfId="0" applyFont="1" applyBorder="1" applyAlignment="1">
      <alignment horizontal="left" vertical="center"/>
    </xf>
    <xf numFmtId="0" fontId="54" fillId="0" borderId="77" xfId="0" applyFont="1" applyBorder="1" applyAlignment="1">
      <alignment horizontal="left" vertical="center"/>
    </xf>
    <xf numFmtId="0" fontId="54" fillId="0" borderId="79" xfId="0" applyFont="1" applyBorder="1" applyAlignment="1">
      <alignment horizontal="left" vertical="center"/>
    </xf>
    <xf numFmtId="9" fontId="90" fillId="0" borderId="101" xfId="0" applyNumberFormat="1" applyFont="1" applyBorder="1" applyAlignment="1" applyProtection="1">
      <alignment horizontal="center" vertical="center" wrapText="1"/>
      <protection locked="0"/>
    </xf>
    <xf numFmtId="9" fontId="90" fillId="0" borderId="102" xfId="0" applyNumberFormat="1" applyFont="1" applyBorder="1" applyAlignment="1" applyProtection="1">
      <alignment horizontal="center" vertical="center" wrapText="1"/>
      <protection locked="0"/>
    </xf>
    <xf numFmtId="9" fontId="90" fillId="0" borderId="22" xfId="0" applyNumberFormat="1" applyFont="1" applyBorder="1" applyAlignment="1" applyProtection="1">
      <alignment horizontal="center" vertical="center" wrapText="1"/>
      <protection locked="0"/>
    </xf>
    <xf numFmtId="0" fontId="95" fillId="0" borderId="101" xfId="0" applyFont="1" applyBorder="1" applyAlignment="1" applyProtection="1">
      <alignment horizontal="center" vertical="center" wrapText="1"/>
      <protection hidden="1"/>
    </xf>
    <xf numFmtId="0" fontId="95" fillId="0" borderId="102" xfId="0" applyFont="1" applyBorder="1" applyAlignment="1" applyProtection="1">
      <alignment horizontal="center" vertical="center" wrapText="1"/>
      <protection hidden="1"/>
    </xf>
    <xf numFmtId="0" fontId="95" fillId="0" borderId="22" xfId="0" applyFont="1" applyBorder="1" applyAlignment="1" applyProtection="1">
      <alignment horizontal="center" vertical="center" wrapText="1"/>
      <protection hidden="1"/>
    </xf>
    <xf numFmtId="9" fontId="90" fillId="0" borderId="101" xfId="0" applyNumberFormat="1" applyFont="1" applyBorder="1" applyAlignment="1" applyProtection="1">
      <alignment horizontal="center" vertical="center" wrapText="1"/>
      <protection hidden="1"/>
    </xf>
    <xf numFmtId="9" fontId="90" fillId="0" borderId="102" xfId="0" applyNumberFormat="1" applyFont="1" applyBorder="1" applyAlignment="1" applyProtection="1">
      <alignment horizontal="center" vertical="center" wrapText="1"/>
      <protection hidden="1"/>
    </xf>
    <xf numFmtId="9" fontId="90" fillId="0" borderId="22" xfId="0" applyNumberFormat="1" applyFont="1" applyBorder="1" applyAlignment="1" applyProtection="1">
      <alignment horizontal="center" vertical="center" wrapText="1"/>
      <protection hidden="1"/>
    </xf>
    <xf numFmtId="14" fontId="90" fillId="27" borderId="101" xfId="0" applyNumberFormat="1" applyFont="1" applyFill="1" applyBorder="1" applyAlignment="1" applyProtection="1">
      <alignment horizontal="center" vertical="center" wrapText="1"/>
      <protection locked="0"/>
    </xf>
    <xf numFmtId="14" fontId="90" fillId="27" borderId="102" xfId="0" applyNumberFormat="1" applyFont="1" applyFill="1" applyBorder="1" applyAlignment="1" applyProtection="1">
      <alignment horizontal="center" vertical="center" wrapText="1"/>
      <protection locked="0"/>
    </xf>
    <xf numFmtId="14" fontId="90" fillId="27" borderId="22" xfId="0" applyNumberFormat="1" applyFont="1" applyFill="1" applyBorder="1" applyAlignment="1" applyProtection="1">
      <alignment horizontal="center" vertical="center" wrapText="1"/>
      <protection locked="0"/>
    </xf>
    <xf numFmtId="0" fontId="95" fillId="0" borderId="101" xfId="0" applyFont="1" applyBorder="1" applyAlignment="1" applyProtection="1">
      <alignment horizontal="center" vertical="center" textRotation="90" wrapText="1"/>
      <protection hidden="1"/>
    </xf>
    <xf numFmtId="0" fontId="95" fillId="0" borderId="102" xfId="0" applyFont="1" applyBorder="1" applyAlignment="1" applyProtection="1">
      <alignment horizontal="center" vertical="center" textRotation="90" wrapText="1"/>
      <protection hidden="1"/>
    </xf>
    <xf numFmtId="0" fontId="95" fillId="0" borderId="22" xfId="0" applyFont="1" applyBorder="1" applyAlignment="1" applyProtection="1">
      <alignment horizontal="center" vertical="center" textRotation="90" wrapText="1"/>
      <protection hidden="1"/>
    </xf>
    <xf numFmtId="165" fontId="109" fillId="27" borderId="21" xfId="0" applyNumberFormat="1" applyFont="1" applyFill="1" applyBorder="1" applyAlignment="1">
      <alignment horizontal="center" vertical="center"/>
    </xf>
    <xf numFmtId="0" fontId="95" fillId="0" borderId="21" xfId="0" applyFont="1" applyBorder="1" applyAlignment="1" applyProtection="1">
      <alignment horizontal="center" vertical="center" textRotation="90" wrapText="1"/>
      <protection hidden="1"/>
    </xf>
    <xf numFmtId="0" fontId="95" fillId="0" borderId="28" xfId="0" applyFont="1" applyBorder="1" applyAlignment="1" applyProtection="1">
      <alignment horizontal="center" vertical="center" textRotation="90" wrapText="1"/>
      <protection hidden="1"/>
    </xf>
    <xf numFmtId="0" fontId="95" fillId="0" borderId="116" xfId="0" applyFont="1" applyBorder="1" applyAlignment="1">
      <alignment horizontal="center" vertical="center" wrapText="1"/>
    </xf>
    <xf numFmtId="0" fontId="95" fillId="0" borderId="117" xfId="0" applyFont="1" applyBorder="1" applyAlignment="1">
      <alignment horizontal="center" vertical="center" wrapText="1"/>
    </xf>
    <xf numFmtId="0" fontId="95" fillId="0" borderId="30" xfId="0" applyFont="1" applyBorder="1" applyAlignment="1">
      <alignment horizontal="center" vertical="center" wrapText="1"/>
    </xf>
    <xf numFmtId="0" fontId="90" fillId="0" borderId="101" xfId="0" applyFont="1" applyBorder="1" applyAlignment="1">
      <alignment horizontal="center" vertical="center" wrapText="1"/>
    </xf>
    <xf numFmtId="0" fontId="90" fillId="0" borderId="102" xfId="0" applyFont="1" applyBorder="1" applyAlignment="1">
      <alignment horizontal="center" vertical="center" wrapText="1"/>
    </xf>
    <xf numFmtId="0" fontId="90" fillId="0" borderId="22" xfId="0" applyFont="1" applyBorder="1" applyAlignment="1">
      <alignment horizontal="center" vertical="center" wrapText="1"/>
    </xf>
    <xf numFmtId="0" fontId="90" fillId="17" borderId="101" xfId="0" applyFont="1" applyFill="1" applyBorder="1" applyAlignment="1">
      <alignment horizontal="center" vertical="center" wrapText="1"/>
    </xf>
    <xf numFmtId="0" fontId="90" fillId="17" borderId="102" xfId="0" applyFont="1" applyFill="1" applyBorder="1" applyAlignment="1">
      <alignment horizontal="center" vertical="center" wrapText="1"/>
    </xf>
    <xf numFmtId="0" fontId="90" fillId="17" borderId="22" xfId="0" applyFont="1" applyFill="1" applyBorder="1" applyAlignment="1">
      <alignment horizontal="center" vertical="center" wrapText="1"/>
    </xf>
    <xf numFmtId="0" fontId="106" fillId="0" borderId="101" xfId="0" applyFont="1" applyBorder="1" applyAlignment="1" applyProtection="1">
      <alignment horizontal="center" vertical="center" wrapText="1"/>
      <protection locked="0"/>
    </xf>
    <xf numFmtId="0" fontId="106" fillId="0" borderId="102" xfId="0" applyFont="1" applyBorder="1" applyAlignment="1" applyProtection="1">
      <alignment horizontal="center" vertical="center" wrapText="1"/>
      <protection locked="0"/>
    </xf>
    <xf numFmtId="0" fontId="106" fillId="0" borderId="22" xfId="0" applyFont="1" applyBorder="1" applyAlignment="1" applyProtection="1">
      <alignment horizontal="center" vertical="center" wrapText="1"/>
      <protection locked="0"/>
    </xf>
    <xf numFmtId="0" fontId="95" fillId="0" borderId="25" xfId="0" applyFont="1" applyBorder="1" applyAlignment="1">
      <alignment horizontal="center" vertical="center" wrapText="1"/>
    </xf>
    <xf numFmtId="0" fontId="95" fillId="0" borderId="27" xfId="0" applyFont="1" applyBorder="1" applyAlignment="1">
      <alignment horizontal="center" vertical="center" wrapText="1"/>
    </xf>
    <xf numFmtId="0" fontId="90" fillId="0" borderId="21" xfId="0" applyFont="1" applyBorder="1" applyAlignment="1">
      <alignment horizontal="center" vertical="center" wrapText="1"/>
    </xf>
    <xf numFmtId="0" fontId="90" fillId="0" borderId="28" xfId="0" applyFont="1" applyBorder="1" applyAlignment="1">
      <alignment horizontal="center" vertical="center" wrapText="1"/>
    </xf>
    <xf numFmtId="0" fontId="90" fillId="17" borderId="21" xfId="0" applyFont="1" applyFill="1" applyBorder="1" applyAlignment="1">
      <alignment horizontal="center" vertical="center" wrapText="1"/>
    </xf>
    <xf numFmtId="0" fontId="90" fillId="17" borderId="28" xfId="0" applyFont="1" applyFill="1" applyBorder="1" applyAlignment="1">
      <alignment horizontal="center" vertical="center" wrapText="1"/>
    </xf>
    <xf numFmtId="0" fontId="106" fillId="0" borderId="21" xfId="0" applyFont="1" applyBorder="1" applyAlignment="1" applyProtection="1">
      <alignment horizontal="center" vertical="center" wrapText="1"/>
      <protection locked="0"/>
    </xf>
    <xf numFmtId="0" fontId="106" fillId="0" borderId="28" xfId="0" applyFont="1" applyBorder="1" applyAlignment="1" applyProtection="1">
      <alignment horizontal="center" vertical="center" wrapText="1"/>
      <protection locked="0"/>
    </xf>
    <xf numFmtId="0" fontId="90" fillId="0" borderId="22" xfId="0" applyFont="1" applyBorder="1" applyAlignment="1" applyProtection="1">
      <alignment horizontal="center" vertical="center" wrapText="1"/>
      <protection locked="0"/>
    </xf>
    <xf numFmtId="0" fontId="90" fillId="0" borderId="21" xfId="0" applyFont="1" applyBorder="1" applyAlignment="1" applyProtection="1">
      <alignment horizontal="center" vertical="center" wrapText="1"/>
      <protection locked="0"/>
    </xf>
    <xf numFmtId="0" fontId="90" fillId="0" borderId="28" xfId="0" applyFont="1" applyBorder="1" applyAlignment="1" applyProtection="1">
      <alignment horizontal="center" vertical="center" wrapText="1"/>
      <protection locked="0"/>
    </xf>
    <xf numFmtId="0" fontId="0" fillId="0" borderId="103" xfId="0" applyBorder="1" applyAlignment="1">
      <alignment horizontal="left" wrapText="1"/>
    </xf>
    <xf numFmtId="0" fontId="0" fillId="0" borderId="103" xfId="0" applyBorder="1" applyAlignment="1">
      <alignment horizontal="left"/>
    </xf>
    <xf numFmtId="0" fontId="93" fillId="16" borderId="66" xfId="0" applyFont="1" applyFill="1" applyBorder="1" applyAlignment="1">
      <alignment horizontal="center" vertical="center" wrapText="1"/>
    </xf>
    <xf numFmtId="0" fontId="93" fillId="16" borderId="67" xfId="0" applyFont="1" applyFill="1" applyBorder="1" applyAlignment="1">
      <alignment horizontal="center" vertical="center" wrapText="1"/>
    </xf>
    <xf numFmtId="0" fontId="84" fillId="16" borderId="101" xfId="0" applyFont="1" applyFill="1" applyBorder="1" applyAlignment="1">
      <alignment horizontal="center" vertical="center" textRotation="90"/>
    </xf>
    <xf numFmtId="0" fontId="84" fillId="16" borderId="102" xfId="0" applyFont="1" applyFill="1" applyBorder="1" applyAlignment="1">
      <alignment horizontal="center" vertical="center" textRotation="90"/>
    </xf>
    <xf numFmtId="0" fontId="76" fillId="0" borderId="0" xfId="0" applyFont="1" applyAlignment="1">
      <alignment horizontal="center"/>
    </xf>
    <xf numFmtId="0" fontId="76" fillId="0" borderId="72" xfId="0" applyFont="1" applyBorder="1" applyAlignment="1">
      <alignment horizontal="center"/>
    </xf>
    <xf numFmtId="0" fontId="84" fillId="16" borderId="101" xfId="0" applyFont="1" applyFill="1" applyBorder="1" applyAlignment="1">
      <alignment horizontal="center" vertical="center"/>
    </xf>
    <xf numFmtId="0" fontId="84" fillId="16" borderId="102" xfId="0" applyFont="1" applyFill="1" applyBorder="1" applyAlignment="1">
      <alignment horizontal="center" vertical="center"/>
    </xf>
    <xf numFmtId="0" fontId="84" fillId="16" borderId="101" xfId="0" applyFont="1" applyFill="1" applyBorder="1" applyAlignment="1">
      <alignment horizontal="center" vertical="center" wrapText="1"/>
    </xf>
    <xf numFmtId="0" fontId="84" fillId="16" borderId="102" xfId="0" applyFont="1" applyFill="1" applyBorder="1" applyAlignment="1">
      <alignment horizontal="center" vertical="center" wrapText="1"/>
    </xf>
    <xf numFmtId="0" fontId="84" fillId="16" borderId="21" xfId="0" applyFont="1" applyFill="1" applyBorder="1" applyAlignment="1">
      <alignment horizontal="center" vertical="center" textRotation="90" wrapText="1"/>
    </xf>
    <xf numFmtId="0" fontId="84" fillId="16" borderId="101" xfId="0" applyFont="1" applyFill="1" applyBorder="1" applyAlignment="1">
      <alignment horizontal="center" vertical="center" textRotation="90" wrapText="1"/>
    </xf>
    <xf numFmtId="0" fontId="84" fillId="16" borderId="21" xfId="0" applyFont="1" applyFill="1" applyBorder="1" applyAlignment="1">
      <alignment horizontal="center" vertical="center" wrapText="1"/>
    </xf>
    <xf numFmtId="0" fontId="84" fillId="16" borderId="21" xfId="0" applyFont="1" applyFill="1" applyBorder="1" applyAlignment="1">
      <alignment horizontal="center" vertical="center"/>
    </xf>
    <xf numFmtId="0" fontId="90" fillId="0" borderId="100" xfId="0" applyFont="1" applyBorder="1" applyAlignment="1" applyProtection="1">
      <alignment horizontal="center" vertical="center" wrapText="1"/>
      <protection locked="0"/>
    </xf>
    <xf numFmtId="0" fontId="90" fillId="17" borderId="100" xfId="0" applyFont="1" applyFill="1" applyBorder="1" applyAlignment="1" applyProtection="1">
      <alignment horizontal="center" vertical="center" wrapText="1"/>
      <protection locked="0"/>
    </xf>
    <xf numFmtId="0" fontId="90" fillId="17" borderId="22" xfId="0" applyFont="1" applyFill="1" applyBorder="1" applyAlignment="1" applyProtection="1">
      <alignment horizontal="center" vertical="center" wrapText="1"/>
      <protection locked="0"/>
    </xf>
    <xf numFmtId="0" fontId="90" fillId="17" borderId="21" xfId="0" applyFont="1" applyFill="1" applyBorder="1" applyAlignment="1" applyProtection="1">
      <alignment horizontal="center" vertical="center" wrapText="1"/>
      <protection locked="0"/>
    </xf>
    <xf numFmtId="0" fontId="95" fillId="0" borderId="91" xfId="0" applyFont="1" applyBorder="1" applyAlignment="1">
      <alignment horizontal="center" vertical="center" wrapText="1"/>
    </xf>
    <xf numFmtId="0" fontId="90" fillId="0" borderId="100" xfId="0" applyFont="1" applyBorder="1" applyAlignment="1">
      <alignment horizontal="center" vertical="center" wrapText="1"/>
    </xf>
    <xf numFmtId="0" fontId="95" fillId="0" borderId="100" xfId="0" applyFont="1" applyBorder="1" applyAlignment="1" applyProtection="1">
      <alignment horizontal="center" vertical="center" wrapText="1"/>
      <protection hidden="1"/>
    </xf>
    <xf numFmtId="0" fontId="95" fillId="0" borderId="21" xfId="0" applyFont="1" applyBorder="1" applyAlignment="1" applyProtection="1">
      <alignment horizontal="center" vertical="center" wrapText="1"/>
      <protection hidden="1"/>
    </xf>
    <xf numFmtId="9" fontId="90" fillId="0" borderId="100" xfId="1" applyFont="1" applyBorder="1" applyAlignment="1">
      <alignment horizontal="center" vertical="center" wrapText="1"/>
    </xf>
    <xf numFmtId="9" fontId="90" fillId="0" borderId="22" xfId="1" applyFont="1" applyBorder="1" applyAlignment="1">
      <alignment horizontal="center" vertical="center" wrapText="1"/>
    </xf>
    <xf numFmtId="9" fontId="90" fillId="0" borderId="21" xfId="1" applyFont="1" applyBorder="1" applyAlignment="1">
      <alignment horizontal="center" vertical="center" wrapText="1"/>
    </xf>
    <xf numFmtId="0" fontId="95" fillId="0" borderId="100" xfId="0" applyFont="1" applyBorder="1" applyAlignment="1" applyProtection="1">
      <alignment horizontal="center" vertical="center" textRotation="90" wrapText="1"/>
      <protection hidden="1"/>
    </xf>
    <xf numFmtId="0" fontId="58" fillId="0" borderId="68" xfId="0" applyFont="1" applyBorder="1" applyAlignment="1">
      <alignment horizontal="center" vertical="center" wrapText="1"/>
    </xf>
    <xf numFmtId="0" fontId="92" fillId="0" borderId="66" xfId="0" applyFont="1" applyBorder="1" applyAlignment="1">
      <alignment horizontal="left" vertical="center" wrapText="1"/>
    </xf>
    <xf numFmtId="0" fontId="92" fillId="0" borderId="65" xfId="0" applyFont="1" applyBorder="1" applyAlignment="1">
      <alignment horizontal="left" vertical="center" wrapText="1"/>
    </xf>
    <xf numFmtId="0" fontId="92" fillId="0" borderId="67" xfId="0" applyFont="1" applyBorder="1" applyAlignment="1">
      <alignment horizontal="left" vertical="center" wrapText="1"/>
    </xf>
    <xf numFmtId="0" fontId="59" fillId="0" borderId="68" xfId="0" applyFont="1" applyBorder="1" applyAlignment="1">
      <alignment horizontal="center" vertical="center" wrapText="1"/>
    </xf>
    <xf numFmtId="0" fontId="91" fillId="0" borderId="21" xfId="0" applyFont="1" applyBorder="1" applyAlignment="1">
      <alignment horizontal="left" vertical="center" wrapText="1"/>
    </xf>
    <xf numFmtId="0" fontId="84" fillId="16" borderId="104" xfId="0" applyFont="1" applyFill="1" applyBorder="1" applyAlignment="1">
      <alignment horizontal="center" vertical="center" wrapText="1"/>
    </xf>
    <xf numFmtId="0" fontId="65" fillId="0" borderId="64" xfId="0" applyFont="1" applyBorder="1" applyAlignment="1">
      <alignment horizontal="left" vertical="center" wrapText="1"/>
    </xf>
    <xf numFmtId="0" fontId="90" fillId="0" borderId="100" xfId="0" applyFont="1" applyBorder="1" applyAlignment="1" applyProtection="1">
      <alignment horizontal="center" vertical="center" textRotation="90" wrapText="1"/>
      <protection locked="0"/>
    </xf>
    <xf numFmtId="0" fontId="90" fillId="0" borderId="22" xfId="0" applyFont="1" applyBorder="1" applyAlignment="1" applyProtection="1">
      <alignment horizontal="center" vertical="center" textRotation="90" wrapText="1"/>
      <protection locked="0"/>
    </xf>
    <xf numFmtId="0" fontId="90" fillId="0" borderId="21" xfId="0" applyFont="1" applyBorder="1" applyAlignment="1" applyProtection="1">
      <alignment horizontal="center" vertical="center" textRotation="90" wrapText="1"/>
      <protection locked="0"/>
    </xf>
    <xf numFmtId="9" fontId="90" fillId="0" borderId="100" xfId="0" applyNumberFormat="1" applyFont="1" applyBorder="1" applyAlignment="1" applyProtection="1">
      <alignment horizontal="center" vertical="center" wrapText="1"/>
      <protection hidden="1"/>
    </xf>
    <xf numFmtId="9" fontId="90" fillId="0" borderId="21" xfId="0" applyNumberFormat="1" applyFont="1" applyBorder="1" applyAlignment="1" applyProtection="1">
      <alignment horizontal="center" vertical="center" wrapText="1"/>
      <protection hidden="1"/>
    </xf>
    <xf numFmtId="0" fontId="84" fillId="16" borderId="102" xfId="0" applyFont="1" applyFill="1" applyBorder="1" applyAlignment="1">
      <alignment horizontal="center" vertical="center" textRotation="90" wrapText="1"/>
    </xf>
    <xf numFmtId="0" fontId="98" fillId="0" borderId="100" xfId="0" applyFont="1" applyBorder="1" applyAlignment="1" applyProtection="1">
      <alignment horizontal="center" vertical="center" wrapText="1"/>
      <protection hidden="1"/>
    </xf>
    <xf numFmtId="0" fontId="98" fillId="0" borderId="22" xfId="0" applyFont="1" applyBorder="1" applyAlignment="1" applyProtection="1">
      <alignment horizontal="center" vertical="center" wrapText="1"/>
      <protection hidden="1"/>
    </xf>
    <xf numFmtId="0" fontId="98" fillId="0" borderId="21" xfId="0" applyFont="1" applyBorder="1" applyAlignment="1" applyProtection="1">
      <alignment horizontal="center" vertical="center" wrapText="1"/>
      <protection hidden="1"/>
    </xf>
    <xf numFmtId="0" fontId="84" fillId="16" borderId="66" xfId="0" applyFont="1" applyFill="1" applyBorder="1" applyAlignment="1">
      <alignment horizontal="center" vertical="center"/>
    </xf>
    <xf numFmtId="0" fontId="84" fillId="16" borderId="65" xfId="0" applyFont="1" applyFill="1" applyBorder="1" applyAlignment="1">
      <alignment horizontal="center" vertical="center"/>
    </xf>
    <xf numFmtId="0" fontId="90" fillId="17" borderId="28" xfId="0" applyFont="1" applyFill="1" applyBorder="1" applyAlignment="1" applyProtection="1">
      <alignment horizontal="center" vertical="center" wrapText="1"/>
      <protection locked="0"/>
    </xf>
    <xf numFmtId="0" fontId="90" fillId="13" borderId="22" xfId="0" applyFont="1" applyFill="1" applyBorder="1" applyAlignment="1" applyProtection="1">
      <alignment horizontal="center" vertical="center" wrapText="1"/>
      <protection locked="0"/>
    </xf>
    <xf numFmtId="0" fontId="90" fillId="13" borderId="21" xfId="0" applyFont="1" applyFill="1" applyBorder="1" applyAlignment="1" applyProtection="1">
      <alignment horizontal="center" vertical="center" wrapText="1"/>
      <protection locked="0"/>
    </xf>
    <xf numFmtId="0" fontId="90" fillId="13" borderId="28" xfId="0" applyFont="1" applyFill="1" applyBorder="1" applyAlignment="1" applyProtection="1">
      <alignment horizontal="center" vertical="center" wrapText="1"/>
      <protection locked="0"/>
    </xf>
    <xf numFmtId="0" fontId="98" fillId="0" borderId="28" xfId="0" applyFont="1" applyBorder="1" applyAlignment="1" applyProtection="1">
      <alignment horizontal="center" vertical="center" wrapText="1"/>
      <protection hidden="1"/>
    </xf>
    <xf numFmtId="9" fontId="90" fillId="0" borderId="28" xfId="0" applyNumberFormat="1" applyFont="1" applyBorder="1" applyAlignment="1" applyProtection="1">
      <alignment horizontal="center" vertical="center" wrapText="1"/>
      <protection hidden="1"/>
    </xf>
    <xf numFmtId="0" fontId="90" fillId="17" borderId="101" xfId="0" applyFont="1" applyFill="1" applyBorder="1" applyAlignment="1" applyProtection="1">
      <alignment horizontal="center" vertical="center" wrapText="1"/>
      <protection locked="0"/>
    </xf>
    <xf numFmtId="0" fontId="90" fillId="17" borderId="102" xfId="0" applyFont="1" applyFill="1" applyBorder="1" applyAlignment="1" applyProtection="1">
      <alignment horizontal="center" vertical="center" wrapText="1"/>
      <protection locked="0"/>
    </xf>
    <xf numFmtId="0" fontId="90" fillId="13" borderId="101" xfId="0" applyFont="1" applyFill="1" applyBorder="1" applyAlignment="1" applyProtection="1">
      <alignment horizontal="center" vertical="center" wrapText="1"/>
      <protection locked="0"/>
    </xf>
    <xf numFmtId="0" fontId="90" fillId="13" borderId="102" xfId="0" applyFont="1" applyFill="1" applyBorder="1" applyAlignment="1" applyProtection="1">
      <alignment horizontal="center" vertical="center" wrapText="1"/>
      <protection locked="0"/>
    </xf>
    <xf numFmtId="0" fontId="98" fillId="0" borderId="101" xfId="0" applyFont="1" applyBorder="1" applyAlignment="1" applyProtection="1">
      <alignment horizontal="center" vertical="center" wrapText="1"/>
      <protection hidden="1"/>
    </xf>
    <xf numFmtId="0" fontId="98" fillId="0" borderId="102" xfId="0" applyFont="1" applyBorder="1" applyAlignment="1" applyProtection="1">
      <alignment horizontal="center" vertical="center" wrapText="1"/>
      <protection hidden="1"/>
    </xf>
    <xf numFmtId="0" fontId="84" fillId="18" borderId="67" xfId="0" applyFont="1" applyFill="1" applyBorder="1" applyAlignment="1">
      <alignment horizontal="center" vertical="center" wrapText="1"/>
    </xf>
    <xf numFmtId="0" fontId="84" fillId="18" borderId="21" xfId="0" applyFont="1" applyFill="1" applyBorder="1" applyAlignment="1">
      <alignment horizontal="center" vertical="center" wrapText="1"/>
    </xf>
    <xf numFmtId="0" fontId="84" fillId="16" borderId="99" xfId="0" applyFont="1" applyFill="1" applyBorder="1" applyAlignment="1">
      <alignment horizontal="center" vertical="center" wrapText="1"/>
    </xf>
    <xf numFmtId="0" fontId="84" fillId="16" borderId="105" xfId="0" applyFont="1" applyFill="1" applyBorder="1" applyAlignment="1">
      <alignment horizontal="center" vertical="center" wrapText="1"/>
    </xf>
    <xf numFmtId="0" fontId="84" fillId="16" borderId="63" xfId="0" applyFont="1" applyFill="1" applyBorder="1" applyAlignment="1">
      <alignment horizontal="center" vertical="center" wrapText="1"/>
    </xf>
    <xf numFmtId="0" fontId="84" fillId="16" borderId="106" xfId="0" applyFont="1" applyFill="1" applyBorder="1" applyAlignment="1">
      <alignment horizontal="center" vertical="center" wrapText="1"/>
    </xf>
    <xf numFmtId="14" fontId="90" fillId="26" borderId="108" xfId="0" applyNumberFormat="1" applyFont="1" applyFill="1" applyBorder="1" applyAlignment="1">
      <alignment horizontal="center" vertical="center" wrapText="1"/>
    </xf>
    <xf numFmtId="14" fontId="90" fillId="26" borderId="102" xfId="0" applyNumberFormat="1" applyFont="1" applyFill="1" applyBorder="1" applyAlignment="1">
      <alignment horizontal="center" vertical="center" wrapText="1"/>
    </xf>
    <xf numFmtId="0" fontId="84" fillId="16" borderId="107" xfId="0" applyFont="1" applyFill="1" applyBorder="1" applyAlignment="1">
      <alignment horizontal="center" vertical="center"/>
    </xf>
    <xf numFmtId="14" fontId="89" fillId="28" borderId="108" xfId="0" applyNumberFormat="1" applyFont="1" applyFill="1" applyBorder="1" applyAlignment="1">
      <alignment horizontal="center" vertical="center" wrapText="1"/>
    </xf>
    <xf numFmtId="14" fontId="89" fillId="28" borderId="102" xfId="0" applyNumberFormat="1" applyFont="1" applyFill="1" applyBorder="1" applyAlignment="1">
      <alignment horizontal="center" vertical="center" wrapText="1"/>
    </xf>
    <xf numFmtId="0" fontId="62" fillId="0" borderId="95" xfId="0" applyFont="1" applyBorder="1" applyAlignment="1">
      <alignment horizontal="center" vertical="center" wrapText="1"/>
    </xf>
    <xf numFmtId="0" fontId="62" fillId="0" borderId="96" xfId="0" applyFont="1" applyBorder="1" applyAlignment="1">
      <alignment horizontal="center" vertical="center" wrapText="1"/>
    </xf>
    <xf numFmtId="0" fontId="62" fillId="0" borderId="109" xfId="0" applyFont="1" applyBorder="1" applyAlignment="1">
      <alignment horizontal="center" vertical="center" wrapText="1"/>
    </xf>
    <xf numFmtId="0" fontId="62" fillId="0" borderId="86" xfId="0" applyFont="1" applyBorder="1" applyAlignment="1">
      <alignment horizontal="center" vertical="center" wrapText="1"/>
    </xf>
    <xf numFmtId="0" fontId="62" fillId="0" borderId="0" xfId="0" applyFont="1" applyAlignment="1">
      <alignment horizontal="center" vertical="center" wrapText="1"/>
    </xf>
    <xf numFmtId="0" fontId="62" fillId="0" borderId="72" xfId="0" applyFont="1" applyBorder="1" applyAlignment="1">
      <alignment horizontal="center" vertical="center" wrapText="1"/>
    </xf>
    <xf numFmtId="0" fontId="62" fillId="0" borderId="97" xfId="0" applyFont="1" applyBorder="1" applyAlignment="1">
      <alignment horizontal="center" vertical="center" wrapText="1"/>
    </xf>
    <xf numFmtId="0" fontId="62" fillId="0" borderId="98" xfId="0" applyFont="1" applyBorder="1" applyAlignment="1">
      <alignment horizontal="center" vertical="center" wrapText="1"/>
    </xf>
    <xf numFmtId="0" fontId="62" fillId="0" borderId="110" xfId="0" applyFont="1" applyBorder="1" applyAlignment="1">
      <alignment horizontal="center" vertical="center" wrapText="1"/>
    </xf>
    <xf numFmtId="0" fontId="87" fillId="0" borderId="21" xfId="0" applyFont="1" applyBorder="1" applyAlignment="1" applyProtection="1">
      <alignment horizontal="center" vertical="center"/>
      <protection locked="0"/>
    </xf>
    <xf numFmtId="0" fontId="88" fillId="0" borderId="66" xfId="0" applyFont="1" applyBorder="1" applyAlignment="1">
      <alignment horizontal="left" vertical="center"/>
    </xf>
    <xf numFmtId="0" fontId="88" fillId="0" borderId="65" xfId="0" applyFont="1" applyBorder="1" applyAlignment="1">
      <alignment horizontal="left" vertical="center"/>
    </xf>
    <xf numFmtId="0" fontId="84" fillId="16" borderId="22" xfId="0" applyFont="1" applyFill="1" applyBorder="1" applyAlignment="1">
      <alignment horizontal="center" vertical="center"/>
    </xf>
    <xf numFmtId="0" fontId="83" fillId="16" borderId="66" xfId="0" applyFont="1" applyFill="1" applyBorder="1" applyAlignment="1">
      <alignment horizontal="left" vertical="center"/>
    </xf>
    <xf numFmtId="0" fontId="83" fillId="16" borderId="65" xfId="0" applyFont="1" applyFill="1" applyBorder="1" applyAlignment="1">
      <alignment horizontal="left" vertical="center"/>
    </xf>
    <xf numFmtId="0" fontId="83" fillId="16" borderId="67" xfId="0" applyFont="1" applyFill="1" applyBorder="1" applyAlignment="1">
      <alignment horizontal="left" vertical="center"/>
    </xf>
    <xf numFmtId="0" fontId="84" fillId="16" borderId="21" xfId="0" applyFont="1" applyFill="1" applyBorder="1" applyAlignment="1">
      <alignment horizontal="center" vertical="center" textRotation="90"/>
    </xf>
    <xf numFmtId="14" fontId="90" fillId="17" borderId="115" xfId="0" applyNumberFormat="1" applyFont="1" applyFill="1" applyBorder="1" applyAlignment="1">
      <alignment horizontal="center" vertical="center" wrapText="1"/>
    </xf>
    <xf numFmtId="14" fontId="90" fillId="17" borderId="106" xfId="0" applyNumberFormat="1" applyFont="1" applyFill="1" applyBorder="1" applyAlignment="1">
      <alignment horizontal="center" vertical="center" wrapText="1"/>
    </xf>
    <xf numFmtId="14" fontId="90" fillId="17" borderId="67" xfId="0" applyNumberFormat="1" applyFont="1" applyFill="1" applyBorder="1" applyAlignment="1">
      <alignment horizontal="center" vertical="center" wrapText="1"/>
    </xf>
    <xf numFmtId="0" fontId="1" fillId="0" borderId="83" xfId="0" applyFont="1" applyBorder="1" applyAlignment="1" applyProtection="1">
      <alignment horizontal="center" vertical="center" wrapText="1"/>
      <protection locked="0"/>
    </xf>
    <xf numFmtId="0" fontId="1" fillId="0" borderId="102"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106" fillId="0" borderId="83" xfId="0" applyFont="1" applyBorder="1" applyAlignment="1" applyProtection="1">
      <alignment horizontal="center" vertical="center" wrapText="1"/>
      <protection locked="0"/>
    </xf>
    <xf numFmtId="9" fontId="90" fillId="0" borderId="100" xfId="0" applyNumberFormat="1" applyFont="1" applyBorder="1" applyAlignment="1" applyProtection="1">
      <alignment horizontal="center" vertical="center" wrapText="1"/>
      <protection locked="0"/>
    </xf>
    <xf numFmtId="9" fontId="90" fillId="0" borderId="21" xfId="0" applyNumberFormat="1" applyFont="1" applyBorder="1" applyAlignment="1" applyProtection="1">
      <alignment horizontal="center" vertical="center" wrapText="1"/>
      <protection locked="0"/>
    </xf>
    <xf numFmtId="0" fontId="90" fillId="0" borderId="28" xfId="0" applyFont="1" applyBorder="1" applyAlignment="1" applyProtection="1">
      <alignment horizontal="center" vertical="center" textRotation="90" wrapText="1"/>
      <protection locked="0"/>
    </xf>
    <xf numFmtId="0" fontId="90" fillId="13" borderId="100" xfId="0" applyFont="1" applyFill="1" applyBorder="1" applyAlignment="1" applyProtection="1">
      <alignment horizontal="center" vertical="center" wrapText="1"/>
      <protection locked="0"/>
    </xf>
    <xf numFmtId="9" fontId="90" fillId="0" borderId="28" xfId="0" applyNumberFormat="1" applyFont="1" applyBorder="1" applyAlignment="1" applyProtection="1">
      <alignment horizontal="center" vertical="center" wrapText="1"/>
      <protection locked="0"/>
    </xf>
    <xf numFmtId="0" fontId="95" fillId="0" borderId="28" xfId="0" applyFont="1" applyBorder="1" applyAlignment="1" applyProtection="1">
      <alignment horizontal="center" vertical="center" wrapText="1"/>
      <protection hidden="1"/>
    </xf>
    <xf numFmtId="9" fontId="90" fillId="0" borderId="28" xfId="1" applyFont="1" applyBorder="1" applyAlignment="1">
      <alignment horizontal="center" vertical="center" wrapText="1"/>
    </xf>
    <xf numFmtId="0" fontId="0" fillId="5" borderId="0" xfId="0" applyFill="1" applyAlignment="1">
      <alignment horizontal="center"/>
    </xf>
    <xf numFmtId="0" fontId="76" fillId="20" borderId="91" xfId="0" applyFont="1" applyFill="1" applyBorder="1" applyAlignment="1">
      <alignment horizontal="center" vertical="center" wrapText="1"/>
    </xf>
    <xf numFmtId="0" fontId="76" fillId="20" borderId="100" xfId="0" applyFont="1" applyFill="1" applyBorder="1" applyAlignment="1">
      <alignment horizontal="center" vertical="center" wrapText="1"/>
    </xf>
    <xf numFmtId="0" fontId="76" fillId="20" borderId="25" xfId="0" applyFont="1" applyFill="1" applyBorder="1" applyAlignment="1">
      <alignment horizontal="center" vertical="center" wrapText="1"/>
    </xf>
    <xf numFmtId="0" fontId="76" fillId="20" borderId="21" xfId="0" applyFont="1" applyFill="1" applyBorder="1" applyAlignment="1">
      <alignment horizontal="center" vertical="center" wrapText="1"/>
    </xf>
    <xf numFmtId="0" fontId="22" fillId="0" borderId="0" xfId="0" applyFont="1" applyAlignment="1">
      <alignment horizontal="center" vertical="center" wrapText="1"/>
    </xf>
    <xf numFmtId="0" fontId="18" fillId="5" borderId="7"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8" xfId="0" applyFont="1" applyFill="1" applyBorder="1" applyAlignment="1" applyProtection="1">
      <alignment horizontal="center" wrapText="1" readingOrder="1"/>
      <protection hidden="1"/>
    </xf>
    <xf numFmtId="0" fontId="18" fillId="5" borderId="11" xfId="0" applyFont="1" applyFill="1" applyBorder="1" applyAlignment="1" applyProtection="1">
      <alignment horizontal="center" wrapText="1" readingOrder="1"/>
      <protection hidden="1"/>
    </xf>
    <xf numFmtId="0" fontId="18" fillId="5" borderId="10" xfId="0" applyFont="1" applyFill="1" applyBorder="1" applyAlignment="1" applyProtection="1">
      <alignment horizontal="center" wrapText="1" readingOrder="1"/>
      <protection hidden="1"/>
    </xf>
    <xf numFmtId="0" fontId="18" fillId="5" borderId="5" xfId="0" applyFont="1" applyFill="1" applyBorder="1" applyAlignment="1" applyProtection="1">
      <alignment horizontal="center" wrapText="1" readingOrder="1"/>
      <protection hidden="1"/>
    </xf>
    <xf numFmtId="0" fontId="18" fillId="5" borderId="12" xfId="0" applyFont="1" applyFill="1" applyBorder="1" applyAlignment="1" applyProtection="1">
      <alignment horizontal="center" wrapText="1" readingOrder="1"/>
      <protection hidden="1"/>
    </xf>
    <xf numFmtId="0" fontId="18" fillId="5" borderId="6" xfId="0" applyFont="1" applyFill="1" applyBorder="1" applyAlignment="1" applyProtection="1">
      <alignment horizontal="center" wrapText="1" readingOrder="1"/>
      <protection hidden="1"/>
    </xf>
    <xf numFmtId="0" fontId="18" fillId="5" borderId="9" xfId="0" applyFont="1" applyFill="1" applyBorder="1" applyAlignment="1" applyProtection="1">
      <alignment horizontal="center" wrapText="1" readingOrder="1"/>
      <protection hidden="1"/>
    </xf>
    <xf numFmtId="0" fontId="18" fillId="13" borderId="7"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8" fillId="13" borderId="8" xfId="0" applyFont="1" applyFill="1" applyBorder="1" applyAlignment="1" applyProtection="1">
      <alignment horizontal="center" wrapText="1" readingOrder="1"/>
      <protection hidden="1"/>
    </xf>
    <xf numFmtId="0" fontId="18" fillId="13" borderId="9" xfId="0" applyFont="1" applyFill="1" applyBorder="1" applyAlignment="1" applyProtection="1">
      <alignment horizontal="center" wrapText="1" readingOrder="1"/>
      <protection hidden="1"/>
    </xf>
    <xf numFmtId="0" fontId="18" fillId="13" borderId="11" xfId="0" applyFont="1" applyFill="1" applyBorder="1" applyAlignment="1" applyProtection="1">
      <alignment horizontal="center" wrapText="1" readingOrder="1"/>
      <protection hidden="1"/>
    </xf>
    <xf numFmtId="0" fontId="18" fillId="13" borderId="10" xfId="0" applyFont="1" applyFill="1" applyBorder="1" applyAlignment="1" applyProtection="1">
      <alignment horizontal="center" wrapText="1" readingOrder="1"/>
      <protection hidden="1"/>
    </xf>
    <xf numFmtId="0" fontId="18" fillId="13" borderId="5" xfId="0" applyFont="1" applyFill="1" applyBorder="1" applyAlignment="1" applyProtection="1">
      <alignment horizontal="center" wrapText="1" readingOrder="1"/>
      <protection hidden="1"/>
    </xf>
    <xf numFmtId="0" fontId="18" fillId="13" borderId="12" xfId="0" applyFont="1" applyFill="1" applyBorder="1" applyAlignment="1" applyProtection="1">
      <alignment horizontal="center" wrapText="1" readingOrder="1"/>
      <protection hidden="1"/>
    </xf>
    <xf numFmtId="0" fontId="18" fillId="13" borderId="6" xfId="0" applyFont="1" applyFill="1" applyBorder="1" applyAlignment="1" applyProtection="1">
      <alignment horizont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1" borderId="7" xfId="0" applyFont="1" applyFill="1" applyBorder="1" applyAlignment="1" applyProtection="1">
      <alignment horizontal="center" vertical="center" wrapText="1" readingOrder="1"/>
      <protection hidden="1"/>
    </xf>
    <xf numFmtId="0" fontId="18" fillId="11" borderId="0" xfId="0" applyFont="1" applyFill="1" applyAlignment="1" applyProtection="1">
      <alignment horizontal="center" vertical="center" wrapText="1" readingOrder="1"/>
      <protection hidden="1"/>
    </xf>
    <xf numFmtId="0" fontId="18" fillId="11" borderId="8" xfId="0" applyFont="1" applyFill="1" applyBorder="1" applyAlignment="1" applyProtection="1">
      <alignment horizontal="center" vertical="center" wrapText="1" readingOrder="1"/>
      <protection hidden="1"/>
    </xf>
    <xf numFmtId="0" fontId="18" fillId="11" borderId="9" xfId="0" applyFont="1" applyFill="1" applyBorder="1" applyAlignment="1" applyProtection="1">
      <alignment horizontal="center" vertical="center" wrapText="1" readingOrder="1"/>
      <protection hidden="1"/>
    </xf>
    <xf numFmtId="0" fontId="18" fillId="11" borderId="11" xfId="0" applyFont="1" applyFill="1" applyBorder="1" applyAlignment="1" applyProtection="1">
      <alignment horizontal="center" vertical="center" wrapText="1" readingOrder="1"/>
      <protection hidden="1"/>
    </xf>
    <xf numFmtId="0" fontId="18" fillId="11" borderId="10" xfId="0" applyFont="1" applyFill="1" applyBorder="1" applyAlignment="1" applyProtection="1">
      <alignment horizontal="center" vertical="center" wrapText="1" readingOrder="1"/>
      <protection hidden="1"/>
    </xf>
    <xf numFmtId="0" fontId="18" fillId="11" borderId="5" xfId="0" applyFont="1" applyFill="1" applyBorder="1" applyAlignment="1" applyProtection="1">
      <alignment horizontal="center" vertical="center" wrapText="1" readingOrder="1"/>
      <protection hidden="1"/>
    </xf>
    <xf numFmtId="0" fontId="18" fillId="11" borderId="12" xfId="0" applyFont="1" applyFill="1" applyBorder="1" applyAlignment="1" applyProtection="1">
      <alignment horizontal="center" vertical="center" wrapText="1" readingOrder="1"/>
      <protection hidden="1"/>
    </xf>
    <xf numFmtId="0" fontId="18" fillId="11" borderId="6" xfId="0" applyFont="1" applyFill="1" applyBorder="1" applyAlignment="1" applyProtection="1">
      <alignment horizontal="center" vertical="center" wrapText="1" readingOrder="1"/>
      <protection hidden="1"/>
    </xf>
    <xf numFmtId="0" fontId="15" fillId="0" borderId="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7" xfId="0" applyFont="1" applyBorder="1" applyAlignment="1">
      <alignment horizontal="center" vertical="center" wrapText="1"/>
    </xf>
    <xf numFmtId="0" fontId="54" fillId="0" borderId="12" xfId="0" applyFont="1" applyBorder="1" applyAlignment="1">
      <alignment horizontal="left" vertical="center"/>
    </xf>
    <xf numFmtId="0" fontId="54" fillId="0" borderId="0" xfId="0" applyFont="1" applyAlignment="1">
      <alignment horizontal="left" vertical="center"/>
    </xf>
    <xf numFmtId="0" fontId="54" fillId="0" borderId="11" xfId="0" applyFont="1" applyBorder="1" applyAlignment="1">
      <alignment horizontal="left" vertical="center"/>
    </xf>
    <xf numFmtId="0" fontId="54" fillId="0" borderId="5" xfId="0" applyFont="1" applyBorder="1" applyAlignment="1">
      <alignment horizontal="center" vertical="center"/>
    </xf>
    <xf numFmtId="0" fontId="54" fillId="0" borderId="12"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67" fillId="0" borderId="5" xfId="0" applyFont="1" applyBorder="1" applyAlignment="1">
      <alignment horizontal="center" wrapText="1"/>
    </xf>
    <xf numFmtId="0" fontId="67" fillId="0" borderId="12" xfId="0" applyFont="1" applyBorder="1" applyAlignment="1">
      <alignment horizontal="center" wrapText="1"/>
    </xf>
    <xf numFmtId="0" fontId="67" fillId="0" borderId="6" xfId="0" applyFont="1" applyBorder="1" applyAlignment="1">
      <alignment horizontal="center" wrapText="1"/>
    </xf>
    <xf numFmtId="0" fontId="67" fillId="0" borderId="7" xfId="0" applyFont="1" applyBorder="1" applyAlignment="1">
      <alignment horizontal="center" wrapText="1"/>
    </xf>
    <xf numFmtId="0" fontId="67" fillId="0" borderId="0" xfId="0" applyFont="1" applyAlignment="1">
      <alignment horizontal="center" wrapText="1"/>
    </xf>
    <xf numFmtId="0" fontId="67" fillId="0" borderId="8" xfId="0" applyFont="1" applyBorder="1" applyAlignment="1">
      <alignment horizontal="center" wrapText="1"/>
    </xf>
    <xf numFmtId="0" fontId="67" fillId="0" borderId="9" xfId="0" applyFont="1" applyBorder="1" applyAlignment="1">
      <alignment horizontal="center" wrapText="1"/>
    </xf>
    <xf numFmtId="0" fontId="67" fillId="0" borderId="11" xfId="0" applyFont="1" applyBorder="1" applyAlignment="1">
      <alignment horizontal="center" wrapText="1"/>
    </xf>
    <xf numFmtId="0" fontId="67" fillId="0" borderId="10" xfId="0" applyFont="1" applyBorder="1" applyAlignment="1">
      <alignment horizontal="center" wrapText="1"/>
    </xf>
    <xf numFmtId="0" fontId="16" fillId="10" borderId="0" xfId="0" applyFont="1" applyFill="1" applyAlignment="1">
      <alignment horizontal="center" vertical="center" textRotation="90" wrapText="1" readingOrder="1"/>
    </xf>
    <xf numFmtId="0" fontId="16" fillId="10" borderId="8" xfId="0" applyFont="1" applyFill="1" applyBorder="1" applyAlignment="1">
      <alignment horizontal="center" vertical="center" textRotation="90"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3" borderId="13" xfId="0" applyFont="1" applyFill="1" applyBorder="1" applyAlignment="1">
      <alignment horizontal="center" vertical="center" wrapText="1" readingOrder="1"/>
    </xf>
    <xf numFmtId="0" fontId="19" fillId="13" borderId="14" xfId="0" applyFont="1" applyFill="1" applyBorder="1" applyAlignment="1">
      <alignment horizontal="center" vertical="center" wrapText="1" readingOrder="1"/>
    </xf>
    <xf numFmtId="0" fontId="19" fillId="13" borderId="15" xfId="0" applyFont="1" applyFill="1" applyBorder="1" applyAlignment="1">
      <alignment horizontal="center" vertical="center" wrapText="1" readingOrder="1"/>
    </xf>
    <xf numFmtId="0" fontId="19" fillId="13" borderId="16"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17" xfId="0" applyFont="1" applyFill="1" applyBorder="1" applyAlignment="1">
      <alignment horizontal="center" vertical="center" wrapText="1" readingOrder="1"/>
    </xf>
    <xf numFmtId="0" fontId="19" fillId="13" borderId="18" xfId="0" applyFont="1" applyFill="1" applyBorder="1" applyAlignment="1">
      <alignment horizontal="center" vertical="center" wrapText="1" readingOrder="1"/>
    </xf>
    <xf numFmtId="0" fontId="19" fillId="13" borderId="19" xfId="0" applyFont="1" applyFill="1" applyBorder="1" applyAlignment="1">
      <alignment horizontal="center" vertical="center" wrapText="1" readingOrder="1"/>
    </xf>
    <xf numFmtId="0" fontId="19" fillId="13" borderId="20" xfId="0" applyFont="1" applyFill="1" applyBorder="1" applyAlignment="1">
      <alignment horizontal="center" vertical="center" wrapText="1" readingOrder="1"/>
    </xf>
    <xf numFmtId="0" fontId="19" fillId="5" borderId="13" xfId="0" applyFont="1" applyFill="1" applyBorder="1" applyAlignment="1">
      <alignment horizontal="center" vertical="center" wrapText="1" readingOrder="1"/>
    </xf>
    <xf numFmtId="0" fontId="19" fillId="5" borderId="14" xfId="0" applyFont="1" applyFill="1" applyBorder="1" applyAlignment="1">
      <alignment horizontal="center" vertical="center" wrapText="1" readingOrder="1"/>
    </xf>
    <xf numFmtId="0" fontId="19" fillId="5" borderId="15" xfId="0" applyFont="1" applyFill="1" applyBorder="1" applyAlignment="1">
      <alignment horizontal="center" vertical="center" wrapText="1" readingOrder="1"/>
    </xf>
    <xf numFmtId="0" fontId="19" fillId="5" borderId="16"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17" xfId="0" applyFont="1" applyFill="1" applyBorder="1" applyAlignment="1">
      <alignment horizontal="center" vertical="center" wrapText="1" readingOrder="1"/>
    </xf>
    <xf numFmtId="0" fontId="19" fillId="5" borderId="18" xfId="0" applyFont="1" applyFill="1" applyBorder="1" applyAlignment="1">
      <alignment horizontal="center" vertical="center" wrapText="1" readingOrder="1"/>
    </xf>
    <xf numFmtId="0" fontId="19" fillId="5" borderId="19" xfId="0" applyFont="1" applyFill="1" applyBorder="1" applyAlignment="1">
      <alignment horizontal="center" vertical="center" wrapText="1" readingOrder="1"/>
    </xf>
    <xf numFmtId="0" fontId="19" fillId="5" borderId="20" xfId="0" applyFont="1" applyFill="1" applyBorder="1" applyAlignment="1">
      <alignment horizontal="center" vertical="center" wrapText="1" readingOrder="1"/>
    </xf>
    <xf numFmtId="0" fontId="16" fillId="25" borderId="0" xfId="0" applyFont="1" applyFill="1" applyAlignment="1">
      <alignment horizontal="center" vertical="center" wrapText="1" readingOrder="1"/>
    </xf>
    <xf numFmtId="0" fontId="61" fillId="0" borderId="0" xfId="0" applyFont="1" applyAlignment="1">
      <alignment horizontal="center"/>
    </xf>
    <xf numFmtId="0" fontId="39" fillId="0" borderId="5" xfId="0" applyFont="1" applyBorder="1" applyAlignment="1">
      <alignment horizontal="center" vertical="center" wrapText="1"/>
    </xf>
    <xf numFmtId="0" fontId="39" fillId="0" borderId="12"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2" xfId="0" applyFont="1" applyBorder="1" applyAlignment="1">
      <alignment horizontal="center" vertical="center" wrapText="1"/>
    </xf>
    <xf numFmtId="0" fontId="38" fillId="11" borderId="13" xfId="0" applyFont="1" applyFill="1" applyBorder="1" applyAlignment="1">
      <alignment horizontal="center" vertical="center" wrapText="1" readingOrder="1"/>
    </xf>
    <xf numFmtId="0" fontId="38" fillId="11" borderId="14" xfId="0" applyFont="1" applyFill="1" applyBorder="1" applyAlignment="1">
      <alignment horizontal="center" vertical="center" wrapText="1" readingOrder="1"/>
    </xf>
    <xf numFmtId="0" fontId="38" fillId="11" borderId="15" xfId="0" applyFont="1" applyFill="1" applyBorder="1" applyAlignment="1">
      <alignment horizontal="center" vertical="center" wrapText="1" readingOrder="1"/>
    </xf>
    <xf numFmtId="0" fontId="38" fillId="11" borderId="16" xfId="0" applyFont="1" applyFill="1" applyBorder="1" applyAlignment="1">
      <alignment horizontal="center" vertical="center" wrapText="1" readingOrder="1"/>
    </xf>
    <xf numFmtId="0" fontId="38" fillId="11" borderId="0" xfId="0" applyFont="1" applyFill="1" applyAlignment="1">
      <alignment horizontal="center" vertical="center" wrapText="1" readingOrder="1"/>
    </xf>
    <xf numFmtId="0" fontId="38" fillId="11" borderId="17" xfId="0" applyFont="1" applyFill="1" applyBorder="1" applyAlignment="1">
      <alignment horizontal="center" vertical="center" wrapText="1" readingOrder="1"/>
    </xf>
    <xf numFmtId="0" fontId="38" fillId="11" borderId="18" xfId="0" applyFont="1" applyFill="1" applyBorder="1" applyAlignment="1">
      <alignment horizontal="center" vertical="center" wrapText="1" readingOrder="1"/>
    </xf>
    <xf numFmtId="0" fontId="38" fillId="11" borderId="19" xfId="0" applyFont="1" applyFill="1" applyBorder="1" applyAlignment="1">
      <alignment horizontal="center" vertical="center" wrapText="1" readingOrder="1"/>
    </xf>
    <xf numFmtId="0" fontId="38" fillId="11" borderId="20" xfId="0" applyFont="1" applyFill="1" applyBorder="1" applyAlignment="1">
      <alignment horizontal="center" vertical="center" wrapText="1" readingOrder="1"/>
    </xf>
    <xf numFmtId="0" fontId="39" fillId="0" borderId="7" xfId="0" applyFont="1" applyBorder="1" applyAlignment="1">
      <alignment horizontal="center" vertical="center" wrapText="1"/>
    </xf>
    <xf numFmtId="0" fontId="38" fillId="12" borderId="13" xfId="0" applyFont="1" applyFill="1" applyBorder="1" applyAlignment="1">
      <alignment horizontal="center" vertical="center" wrapText="1" readingOrder="1"/>
    </xf>
    <xf numFmtId="0" fontId="38" fillId="12" borderId="14" xfId="0" applyFont="1" applyFill="1" applyBorder="1" applyAlignment="1">
      <alignment horizontal="center" vertical="center" wrapText="1" readingOrder="1"/>
    </xf>
    <xf numFmtId="0" fontId="38" fillId="12" borderId="15" xfId="0" applyFont="1" applyFill="1" applyBorder="1" applyAlignment="1">
      <alignment horizontal="center" vertical="center" wrapText="1" readingOrder="1"/>
    </xf>
    <xf numFmtId="0" fontId="38" fillId="12" borderId="16" xfId="0" applyFont="1" applyFill="1" applyBorder="1" applyAlignment="1">
      <alignment horizontal="center" vertical="center" wrapText="1" readingOrder="1"/>
    </xf>
    <xf numFmtId="0" fontId="38" fillId="12" borderId="0" xfId="0" applyFont="1" applyFill="1" applyAlignment="1">
      <alignment horizontal="center" vertical="center" wrapText="1" readingOrder="1"/>
    </xf>
    <xf numFmtId="0" fontId="38" fillId="12" borderId="17" xfId="0" applyFont="1" applyFill="1" applyBorder="1" applyAlignment="1">
      <alignment horizontal="center" vertical="center" wrapText="1" readingOrder="1"/>
    </xf>
    <xf numFmtId="0" fontId="38" fillId="12" borderId="18" xfId="0" applyFont="1" applyFill="1" applyBorder="1" applyAlignment="1">
      <alignment horizontal="center" vertical="center" wrapText="1" readingOrder="1"/>
    </xf>
    <xf numFmtId="0" fontId="38" fillId="12" borderId="19" xfId="0" applyFont="1" applyFill="1" applyBorder="1" applyAlignment="1">
      <alignment horizontal="center" vertical="center" wrapText="1" readingOrder="1"/>
    </xf>
    <xf numFmtId="0" fontId="38" fillId="12" borderId="20" xfId="0" applyFont="1" applyFill="1" applyBorder="1" applyAlignment="1">
      <alignment horizontal="center" vertical="center" wrapText="1" readingOrder="1"/>
    </xf>
    <xf numFmtId="0" fontId="37" fillId="0" borderId="0" xfId="0" applyFont="1" applyAlignment="1">
      <alignment horizontal="center" vertical="center" wrapText="1"/>
    </xf>
    <xf numFmtId="0" fontId="20" fillId="0" borderId="0" xfId="0" applyFont="1" applyAlignment="1">
      <alignment horizontal="center" vertical="center" wrapText="1"/>
    </xf>
    <xf numFmtId="0" fontId="16" fillId="10" borderId="0" xfId="0" applyFont="1" applyFill="1" applyAlignment="1">
      <alignment horizontal="center" vertical="center" wrapText="1" readingOrder="1"/>
    </xf>
    <xf numFmtId="0" fontId="38" fillId="5" borderId="13" xfId="0" applyFont="1" applyFill="1" applyBorder="1" applyAlignment="1">
      <alignment horizontal="center" vertical="center" wrapText="1" readingOrder="1"/>
    </xf>
    <xf numFmtId="0" fontId="38" fillId="5" borderId="14" xfId="0" applyFont="1" applyFill="1" applyBorder="1" applyAlignment="1">
      <alignment horizontal="center" vertical="center" wrapText="1" readingOrder="1"/>
    </xf>
    <xf numFmtId="0" fontId="38" fillId="5" borderId="15" xfId="0" applyFont="1" applyFill="1" applyBorder="1" applyAlignment="1">
      <alignment horizontal="center" vertical="center" wrapText="1" readingOrder="1"/>
    </xf>
    <xf numFmtId="0" fontId="38" fillId="5" borderId="16" xfId="0" applyFont="1" applyFill="1" applyBorder="1" applyAlignment="1">
      <alignment horizontal="center" vertical="center" wrapText="1" readingOrder="1"/>
    </xf>
    <xf numFmtId="0" fontId="38" fillId="5" borderId="0" xfId="0" applyFont="1" applyFill="1" applyAlignment="1">
      <alignment horizontal="center" vertical="center" wrapText="1" readingOrder="1"/>
    </xf>
    <xf numFmtId="0" fontId="38" fillId="5" borderId="17" xfId="0" applyFont="1" applyFill="1" applyBorder="1" applyAlignment="1">
      <alignment horizontal="center" vertical="center" wrapText="1" readingOrder="1"/>
    </xf>
    <xf numFmtId="0" fontId="38" fillId="5" borderId="18" xfId="0" applyFont="1" applyFill="1" applyBorder="1" applyAlignment="1">
      <alignment horizontal="center" vertical="center" wrapText="1" readingOrder="1"/>
    </xf>
    <xf numFmtId="0" fontId="38" fillId="5" borderId="19" xfId="0" applyFont="1" applyFill="1" applyBorder="1" applyAlignment="1">
      <alignment horizontal="center" vertical="center" wrapText="1" readingOrder="1"/>
    </xf>
    <xf numFmtId="0" fontId="38" fillId="5" borderId="20" xfId="0" applyFont="1" applyFill="1" applyBorder="1" applyAlignment="1">
      <alignment horizontal="center" vertical="center" wrapText="1" readingOrder="1"/>
    </xf>
    <xf numFmtId="0" fontId="38" fillId="13" borderId="13" xfId="0" applyFont="1" applyFill="1" applyBorder="1" applyAlignment="1">
      <alignment horizontal="center" vertical="center" wrapText="1" readingOrder="1"/>
    </xf>
    <xf numFmtId="0" fontId="38" fillId="13" borderId="14" xfId="0" applyFont="1" applyFill="1" applyBorder="1" applyAlignment="1">
      <alignment horizontal="center" vertical="center" wrapText="1" readingOrder="1"/>
    </xf>
    <xf numFmtId="0" fontId="38" fillId="13" borderId="15" xfId="0" applyFont="1" applyFill="1" applyBorder="1" applyAlignment="1">
      <alignment horizontal="center" vertical="center" wrapText="1" readingOrder="1"/>
    </xf>
    <xf numFmtId="0" fontId="38" fillId="13" borderId="16" xfId="0" applyFont="1" applyFill="1" applyBorder="1" applyAlignment="1">
      <alignment horizontal="center" vertical="center" wrapText="1" readingOrder="1"/>
    </xf>
    <xf numFmtId="0" fontId="38" fillId="13" borderId="0" xfId="0" applyFont="1" applyFill="1" applyAlignment="1">
      <alignment horizontal="center" vertical="center" wrapText="1" readingOrder="1"/>
    </xf>
    <xf numFmtId="0" fontId="38" fillId="13" borderId="17" xfId="0" applyFont="1" applyFill="1" applyBorder="1" applyAlignment="1">
      <alignment horizontal="center" vertical="center" wrapText="1" readingOrder="1"/>
    </xf>
    <xf numFmtId="0" fontId="38" fillId="13" borderId="18" xfId="0" applyFont="1" applyFill="1" applyBorder="1" applyAlignment="1">
      <alignment horizontal="center" vertical="center" wrapText="1" readingOrder="1"/>
    </xf>
    <xf numFmtId="0" fontId="38" fillId="13" borderId="19" xfId="0" applyFont="1" applyFill="1" applyBorder="1" applyAlignment="1">
      <alignment horizontal="center" vertical="center" wrapText="1" readingOrder="1"/>
    </xf>
    <xf numFmtId="0" fontId="38" fillId="13" borderId="20" xfId="0" applyFont="1" applyFill="1" applyBorder="1" applyAlignment="1">
      <alignment horizontal="center" vertical="center" wrapText="1" readingOrder="1"/>
    </xf>
    <xf numFmtId="0" fontId="62" fillId="0" borderId="95" xfId="0" applyFont="1" applyBorder="1" applyAlignment="1">
      <alignment horizontal="center" wrapText="1"/>
    </xf>
    <xf numFmtId="0" fontId="66" fillId="0" borderId="86" xfId="0" applyFont="1" applyBorder="1" applyAlignment="1">
      <alignment horizontal="center" wrapText="1"/>
    </xf>
    <xf numFmtId="0" fontId="66" fillId="0" borderId="97" xfId="0" applyFont="1" applyBorder="1" applyAlignment="1">
      <alignment horizontal="center" wrapText="1"/>
    </xf>
    <xf numFmtId="0" fontId="64" fillId="0" borderId="5" xfId="0" applyFont="1" applyBorder="1" applyAlignment="1">
      <alignment horizontal="center" vertical="center" wrapText="1"/>
    </xf>
    <xf numFmtId="0" fontId="64" fillId="0" borderId="7" xfId="0" applyFont="1" applyBorder="1" applyAlignment="1">
      <alignment horizontal="center" vertical="center" wrapText="1"/>
    </xf>
    <xf numFmtId="0" fontId="64" fillId="0" borderId="9" xfId="0" applyFont="1" applyBorder="1" applyAlignment="1">
      <alignment horizontal="center" vertical="center" wrapText="1"/>
    </xf>
    <xf numFmtId="0" fontId="76" fillId="17" borderId="87" xfId="0" applyFont="1" applyFill="1" applyBorder="1" applyAlignment="1">
      <alignment horizontal="center" vertical="center" textRotation="90"/>
    </xf>
    <xf numFmtId="0" fontId="46" fillId="14" borderId="36" xfId="2" applyFont="1" applyFill="1" applyBorder="1" applyAlignment="1">
      <alignment horizontal="center" vertical="center" wrapText="1"/>
    </xf>
    <xf numFmtId="0" fontId="46" fillId="14" borderId="37" xfId="2" applyFont="1" applyFill="1" applyBorder="1" applyAlignment="1">
      <alignment horizontal="center" vertical="center" wrapText="1"/>
    </xf>
    <xf numFmtId="0" fontId="46" fillId="14" borderId="38" xfId="2" applyFont="1" applyFill="1" applyBorder="1" applyAlignment="1">
      <alignment horizontal="center" vertical="center" wrapText="1"/>
    </xf>
    <xf numFmtId="0" fontId="45" fillId="0" borderId="7" xfId="2" quotePrefix="1" applyFont="1" applyBorder="1" applyAlignment="1">
      <alignment horizontal="left" vertical="center" wrapText="1"/>
    </xf>
    <xf numFmtId="0" fontId="45" fillId="0" borderId="0" xfId="2" quotePrefix="1" applyFont="1" applyAlignment="1">
      <alignment horizontal="left" vertical="center" wrapText="1"/>
    </xf>
    <xf numFmtId="0" fontId="45" fillId="0" borderId="8" xfId="2" quotePrefix="1" applyFont="1" applyBorder="1" applyAlignment="1">
      <alignment horizontal="left" vertical="center" wrapText="1"/>
    </xf>
    <xf numFmtId="0" fontId="45" fillId="0" borderId="56" xfId="2" quotePrefix="1" applyFont="1" applyBorder="1" applyAlignment="1">
      <alignment horizontal="left" vertical="center" wrapText="1"/>
    </xf>
    <xf numFmtId="0" fontId="45" fillId="0" borderId="57" xfId="2" quotePrefix="1" applyFont="1" applyBorder="1" applyAlignment="1">
      <alignment horizontal="left" vertical="center" wrapText="1"/>
    </xf>
    <xf numFmtId="0" fontId="45" fillId="0" borderId="58" xfId="2" quotePrefix="1" applyFont="1" applyBorder="1" applyAlignment="1">
      <alignment horizontal="left" vertical="center" wrapText="1"/>
    </xf>
    <xf numFmtId="0" fontId="47" fillId="3" borderId="39" xfId="2" quotePrefix="1" applyFont="1" applyFill="1" applyBorder="1" applyAlignment="1">
      <alignment horizontal="left" vertical="top" wrapText="1"/>
    </xf>
    <xf numFmtId="0" fontId="48" fillId="3" borderId="40" xfId="2" quotePrefix="1" applyFont="1" applyFill="1" applyBorder="1" applyAlignment="1">
      <alignment horizontal="left" vertical="top" wrapText="1"/>
    </xf>
    <xf numFmtId="0" fontId="48" fillId="3" borderId="41" xfId="2" quotePrefix="1" applyFont="1" applyFill="1" applyBorder="1" applyAlignment="1">
      <alignment horizontal="left" vertical="top" wrapText="1"/>
    </xf>
    <xf numFmtId="0" fontId="45" fillId="0" borderId="7" xfId="2" quotePrefix="1" applyFont="1" applyBorder="1" applyAlignment="1">
      <alignment horizontal="left" vertical="top" wrapText="1"/>
    </xf>
    <xf numFmtId="0" fontId="45" fillId="0" borderId="0" xfId="2" quotePrefix="1" applyFont="1" applyAlignment="1">
      <alignment horizontal="left" vertical="top" wrapText="1"/>
    </xf>
    <xf numFmtId="0" fontId="45" fillId="0" borderId="8" xfId="2" quotePrefix="1" applyFont="1" applyBorder="1" applyAlignment="1">
      <alignment horizontal="left" vertical="top" wrapText="1"/>
    </xf>
    <xf numFmtId="0" fontId="50" fillId="14" borderId="42" xfId="3" applyFont="1" applyFill="1" applyBorder="1" applyAlignment="1">
      <alignment horizontal="center" vertical="center" wrapText="1"/>
    </xf>
    <xf numFmtId="0" fontId="50" fillId="14" borderId="43" xfId="3" applyFont="1" applyFill="1" applyBorder="1" applyAlignment="1">
      <alignment horizontal="center" vertical="center" wrapText="1"/>
    </xf>
    <xf numFmtId="0" fontId="50" fillId="14" borderId="44" xfId="2" applyFont="1" applyFill="1" applyBorder="1" applyAlignment="1">
      <alignment horizontal="center" vertical="center"/>
    </xf>
    <xf numFmtId="0" fontId="50" fillId="14" borderId="45" xfId="2" applyFont="1" applyFill="1" applyBorder="1" applyAlignment="1">
      <alignment horizontal="center" vertical="center"/>
    </xf>
    <xf numFmtId="0" fontId="1" fillId="3" borderId="56" xfId="2" quotePrefix="1" applyFont="1" applyFill="1" applyBorder="1" applyAlignment="1">
      <alignment horizontal="justify" vertical="center" wrapText="1"/>
    </xf>
    <xf numFmtId="0" fontId="1" fillId="3" borderId="57" xfId="2" quotePrefix="1" applyFont="1" applyFill="1" applyBorder="1" applyAlignment="1">
      <alignment horizontal="justify" vertical="center" wrapText="1"/>
    </xf>
    <xf numFmtId="0" fontId="1" fillId="3" borderId="58" xfId="2" quotePrefix="1" applyFont="1" applyFill="1" applyBorder="1" applyAlignment="1">
      <alignment horizontal="justify" vertical="center" wrapText="1"/>
    </xf>
    <xf numFmtId="0" fontId="50" fillId="3" borderId="46" xfId="3" applyFont="1" applyFill="1" applyBorder="1" applyAlignment="1">
      <alignment horizontal="left" vertical="top" wrapText="1" readingOrder="1"/>
    </xf>
    <xf numFmtId="0" fontId="50" fillId="3" borderId="47" xfId="3" applyFont="1" applyFill="1" applyBorder="1" applyAlignment="1">
      <alignment horizontal="left" vertical="top" wrapText="1" readingOrder="1"/>
    </xf>
    <xf numFmtId="0" fontId="51" fillId="3" borderId="48" xfId="2" applyFont="1" applyFill="1" applyBorder="1" applyAlignment="1">
      <alignment horizontal="justify" vertical="center" wrapText="1"/>
    </xf>
    <xf numFmtId="0" fontId="51" fillId="3" borderId="49" xfId="2" applyFont="1" applyFill="1" applyBorder="1" applyAlignment="1">
      <alignment horizontal="justify" vertical="center" wrapText="1"/>
    </xf>
    <xf numFmtId="0" fontId="50" fillId="3" borderId="50" xfId="0" applyFont="1" applyFill="1" applyBorder="1" applyAlignment="1">
      <alignment horizontal="left" vertical="center" wrapText="1"/>
    </xf>
    <xf numFmtId="0" fontId="50" fillId="3" borderId="51" xfId="0" applyFont="1" applyFill="1" applyBorder="1" applyAlignment="1">
      <alignment horizontal="left" vertical="center" wrapText="1"/>
    </xf>
    <xf numFmtId="0" fontId="51" fillId="3" borderId="52" xfId="2" applyFont="1" applyFill="1" applyBorder="1" applyAlignment="1">
      <alignment horizontal="justify" vertical="center" wrapText="1"/>
    </xf>
    <xf numFmtId="0" fontId="51" fillId="3" borderId="53" xfId="2" applyFont="1" applyFill="1" applyBorder="1" applyAlignment="1">
      <alignment horizontal="justify" vertical="center" wrapText="1"/>
    </xf>
    <xf numFmtId="0" fontId="45" fillId="3" borderId="7" xfId="2" applyFont="1" applyFill="1" applyBorder="1" applyAlignment="1">
      <alignment horizontal="left" vertical="top" wrapText="1"/>
    </xf>
    <xf numFmtId="0" fontId="45" fillId="3" borderId="0" xfId="2" applyFont="1" applyFill="1" applyAlignment="1">
      <alignment horizontal="left" vertical="top" wrapText="1"/>
    </xf>
    <xf numFmtId="0" fontId="45" fillId="3" borderId="8" xfId="2" applyFont="1" applyFill="1" applyBorder="1" applyAlignment="1">
      <alignment horizontal="left" vertical="top" wrapText="1"/>
    </xf>
    <xf numFmtId="0" fontId="50" fillId="3" borderId="59" xfId="0" applyFont="1" applyFill="1" applyBorder="1" applyAlignment="1">
      <alignment horizontal="left" vertical="center" wrapText="1"/>
    </xf>
    <xf numFmtId="0" fontId="50" fillId="3" borderId="60" xfId="0" applyFont="1" applyFill="1" applyBorder="1" applyAlignment="1">
      <alignment horizontal="left" vertical="center" wrapText="1"/>
    </xf>
    <xf numFmtId="0" fontId="50" fillId="3" borderId="61" xfId="0" applyFont="1" applyFill="1" applyBorder="1" applyAlignment="1">
      <alignment horizontal="left" vertical="center" wrapText="1"/>
    </xf>
    <xf numFmtId="0" fontId="50" fillId="3" borderId="62" xfId="0" applyFont="1" applyFill="1" applyBorder="1" applyAlignment="1">
      <alignment horizontal="left" vertical="center" wrapText="1"/>
    </xf>
    <xf numFmtId="0" fontId="51" fillId="3" borderId="54" xfId="0" applyFont="1" applyFill="1" applyBorder="1" applyAlignment="1">
      <alignment horizontal="justify" vertical="center" wrapText="1"/>
    </xf>
    <xf numFmtId="0" fontId="51" fillId="3" borderId="55" xfId="0" applyFont="1" applyFill="1" applyBorder="1" applyAlignment="1">
      <alignment horizontal="justify" vertical="center" wrapText="1"/>
    </xf>
    <xf numFmtId="0" fontId="67" fillId="0" borderId="69" xfId="0" applyFont="1" applyBorder="1" applyAlignment="1">
      <alignment horizontal="center" wrapText="1"/>
    </xf>
    <xf numFmtId="0" fontId="66" fillId="0" borderId="70" xfId="0" applyFont="1" applyBorder="1" applyAlignment="1">
      <alignment horizontal="center" wrapText="1"/>
    </xf>
    <xf numFmtId="0" fontId="66" fillId="0" borderId="73" xfId="0" applyFont="1" applyBorder="1" applyAlignment="1">
      <alignment horizontal="center" wrapText="1"/>
    </xf>
    <xf numFmtId="0" fontId="69" fillId="0" borderId="5" xfId="0" applyFont="1" applyBorder="1" applyAlignment="1">
      <alignment horizontal="center" vertical="center" wrapText="1"/>
    </xf>
    <xf numFmtId="0" fontId="69" fillId="0" borderId="12" xfId="0" applyFont="1" applyBorder="1" applyAlignment="1">
      <alignment horizontal="center" vertical="center" wrapText="1"/>
    </xf>
    <xf numFmtId="0" fontId="69" fillId="0" borderId="7" xfId="0" applyFont="1" applyBorder="1" applyAlignment="1">
      <alignment horizontal="center" vertical="center" wrapText="1"/>
    </xf>
    <xf numFmtId="0" fontId="69" fillId="0" borderId="0" xfId="0" applyFont="1" applyAlignment="1">
      <alignment horizontal="center" vertical="center" wrapText="1"/>
    </xf>
    <xf numFmtId="0" fontId="69" fillId="0" borderId="9" xfId="0" applyFont="1" applyBorder="1" applyAlignment="1">
      <alignment horizontal="center" vertical="center" wrapText="1"/>
    </xf>
    <xf numFmtId="0" fontId="69" fillId="0" borderId="11" xfId="0" applyFont="1" applyBorder="1" applyAlignment="1">
      <alignment horizontal="center" vertical="center" wrapText="1"/>
    </xf>
    <xf numFmtId="0" fontId="70" fillId="16" borderId="32" xfId="0" applyFont="1" applyFill="1" applyBorder="1" applyAlignment="1">
      <alignment horizontal="center" vertical="center" wrapText="1"/>
    </xf>
    <xf numFmtId="0" fontId="70" fillId="16" borderId="33" xfId="0" applyFont="1" applyFill="1" applyBorder="1" applyAlignment="1">
      <alignment horizontal="center" vertical="center" wrapText="1"/>
    </xf>
    <xf numFmtId="0" fontId="70" fillId="16" borderId="80" xfId="0" applyFont="1" applyFill="1" applyBorder="1" applyAlignment="1">
      <alignment horizontal="center" vertical="center" wrapText="1"/>
    </xf>
    <xf numFmtId="0" fontId="70" fillId="16" borderId="81" xfId="0" applyFont="1" applyFill="1" applyBorder="1" applyAlignment="1">
      <alignment horizontal="center" vertical="center" wrapText="1"/>
    </xf>
    <xf numFmtId="0" fontId="70" fillId="16" borderId="24" xfId="0" applyFont="1" applyFill="1" applyBorder="1" applyAlignment="1">
      <alignment horizontal="center" vertical="center" wrapText="1"/>
    </xf>
    <xf numFmtId="0" fontId="70" fillId="16" borderId="35" xfId="0" applyFont="1" applyFill="1" applyBorder="1" applyAlignment="1">
      <alignment horizontal="center" vertical="center" wrapText="1"/>
    </xf>
    <xf numFmtId="164" fontId="65" fillId="0" borderId="23" xfId="0" applyNumberFormat="1" applyFont="1" applyBorder="1" applyAlignment="1">
      <alignment horizontal="center" vertical="center"/>
    </xf>
    <xf numFmtId="164" fontId="65" fillId="0" borderId="35" xfId="0" applyNumberFormat="1" applyFont="1" applyBorder="1" applyAlignment="1">
      <alignment horizontal="center" vertical="center"/>
    </xf>
    <xf numFmtId="0" fontId="65" fillId="0" borderId="81" xfId="0" applyFont="1" applyBorder="1" applyAlignment="1">
      <alignment horizontal="center" vertical="center" wrapText="1"/>
    </xf>
    <xf numFmtId="0" fontId="65" fillId="0" borderId="33" xfId="0" applyFont="1" applyBorder="1" applyAlignment="1">
      <alignment horizontal="center" vertical="center" wrapText="1"/>
    </xf>
    <xf numFmtId="0" fontId="65" fillId="0" borderId="33" xfId="0" applyFont="1" applyBorder="1" applyAlignment="1">
      <alignment horizontal="left" vertical="center" wrapText="1"/>
    </xf>
    <xf numFmtId="0" fontId="65" fillId="0" borderId="34" xfId="0" applyFont="1" applyBorder="1" applyAlignment="1">
      <alignment horizontal="left" vertical="center" wrapText="1"/>
    </xf>
    <xf numFmtId="0" fontId="71" fillId="0" borderId="0" xfId="0" applyFont="1" applyAlignment="1">
      <alignment horizontal="center" vertical="center"/>
    </xf>
    <xf numFmtId="0" fontId="72" fillId="16" borderId="82" xfId="0" applyFont="1" applyFill="1" applyBorder="1" applyAlignment="1">
      <alignment horizontal="center" vertical="center" wrapText="1"/>
    </xf>
    <xf numFmtId="0" fontId="72" fillId="16" borderId="83" xfId="0" applyFont="1" applyFill="1" applyBorder="1" applyAlignment="1">
      <alignment horizontal="center" vertical="center" wrapText="1"/>
    </xf>
    <xf numFmtId="0" fontId="72" fillId="16" borderId="84" xfId="0" applyFont="1" applyFill="1" applyBorder="1" applyAlignment="1">
      <alignment horizontal="center" vertical="center" wrapText="1"/>
    </xf>
    <xf numFmtId="0" fontId="72" fillId="16" borderId="5" xfId="0" applyFont="1" applyFill="1" applyBorder="1" applyAlignment="1">
      <alignment horizontal="center" vertical="center" wrapText="1"/>
    </xf>
    <xf numFmtId="0" fontId="72" fillId="16" borderId="12" xfId="0" applyFont="1" applyFill="1" applyBorder="1" applyAlignment="1">
      <alignment horizontal="center" vertical="center" wrapText="1"/>
    </xf>
    <xf numFmtId="0" fontId="72" fillId="16" borderId="6" xfId="0" applyFont="1" applyFill="1" applyBorder="1" applyAlignment="1">
      <alignment horizontal="center" vertical="center" wrapText="1"/>
    </xf>
    <xf numFmtId="0" fontId="72" fillId="16" borderId="75" xfId="0" applyFont="1" applyFill="1" applyBorder="1" applyAlignment="1">
      <alignment horizontal="center" vertical="center" wrapText="1"/>
    </xf>
    <xf numFmtId="0" fontId="72" fillId="16" borderId="76" xfId="0"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12" xfId="0" applyFont="1" applyBorder="1" applyAlignment="1">
      <alignment horizontal="center" vertical="center" wrapText="1"/>
    </xf>
    <xf numFmtId="0" fontId="65" fillId="0" borderId="12" xfId="0" applyFont="1" applyBorder="1" applyAlignment="1">
      <alignment horizontal="center"/>
    </xf>
    <xf numFmtId="0" fontId="65" fillId="0" borderId="6" xfId="0" applyFont="1" applyBorder="1" applyAlignment="1">
      <alignment horizontal="center"/>
    </xf>
    <xf numFmtId="0" fontId="75" fillId="0" borderId="0" xfId="0" applyFont="1" applyAlignment="1">
      <alignment horizontal="left" wrapText="1"/>
    </xf>
    <xf numFmtId="0" fontId="73" fillId="0" borderId="7" xfId="0" applyFont="1" applyBorder="1" applyAlignment="1">
      <alignment horizontal="center" vertical="center" wrapText="1"/>
    </xf>
    <xf numFmtId="0" fontId="74" fillId="0" borderId="0" xfId="0" applyFont="1" applyAlignment="1">
      <alignment horizontal="center" vertical="center" wrapText="1"/>
    </xf>
    <xf numFmtId="0" fontId="73" fillId="0" borderId="0" xfId="0" applyFont="1" applyAlignment="1">
      <alignment horizontal="center" vertical="center" wrapText="1"/>
    </xf>
    <xf numFmtId="0" fontId="73" fillId="0" borderId="8" xfId="0" applyFont="1" applyBorder="1" applyAlignment="1">
      <alignment horizontal="center" vertical="center" wrapText="1"/>
    </xf>
    <xf numFmtId="0" fontId="65" fillId="0" borderId="9"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xf>
    <xf numFmtId="0" fontId="66" fillId="0" borderId="23"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21" fillId="0" borderId="0" xfId="0" applyFont="1" applyAlignment="1">
      <alignment horizontal="center" vertical="center"/>
    </xf>
    <xf numFmtId="0" fontId="41" fillId="0" borderId="0" xfId="0" applyFont="1" applyAlignment="1">
      <alignment horizontal="center" vertical="center"/>
    </xf>
    <xf numFmtId="0" fontId="36" fillId="15" borderId="23" xfId="0" applyFont="1" applyFill="1" applyBorder="1" applyAlignment="1">
      <alignment horizontal="center" vertical="center" wrapText="1" readingOrder="1"/>
    </xf>
    <xf numFmtId="0" fontId="36" fillId="15" borderId="24" xfId="0" applyFont="1" applyFill="1" applyBorder="1" applyAlignment="1">
      <alignment horizontal="center" vertical="center" wrapText="1" readingOrder="1"/>
    </xf>
    <xf numFmtId="0" fontId="36" fillId="15" borderId="35" xfId="0" applyFont="1" applyFill="1" applyBorder="1" applyAlignment="1">
      <alignment horizontal="center" vertical="center" wrapText="1" readingOrder="1"/>
    </xf>
    <xf numFmtId="0" fontId="31" fillId="3" borderId="0" xfId="0" applyFont="1" applyFill="1" applyAlignment="1">
      <alignment horizontal="justify" vertical="center" wrapText="1"/>
    </xf>
    <xf numFmtId="0" fontId="33" fillId="15" borderId="32" xfId="0" applyFont="1" applyFill="1" applyBorder="1" applyAlignment="1">
      <alignment horizontal="center" vertical="center" wrapText="1" readingOrder="1"/>
    </xf>
    <xf numFmtId="0" fontId="33" fillId="15" borderId="33" xfId="0" applyFont="1" applyFill="1" applyBorder="1" applyAlignment="1">
      <alignment horizontal="center" vertical="center" wrapText="1" readingOrder="1"/>
    </xf>
    <xf numFmtId="0" fontId="33" fillId="3" borderId="30" xfId="0" applyFont="1" applyFill="1" applyBorder="1" applyAlignment="1">
      <alignment horizontal="center" vertical="center" wrapText="1" readingOrder="1"/>
    </xf>
    <xf numFmtId="0" fontId="33" fillId="3" borderId="25"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7"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14" fontId="90" fillId="0" borderId="21" xfId="0" applyNumberFormat="1" applyFont="1" applyFill="1" applyBorder="1" applyAlignment="1" applyProtection="1">
      <alignment vertical="center" wrapText="1"/>
      <protection locked="0"/>
    </xf>
    <xf numFmtId="14" fontId="1" fillId="0" borderId="21" xfId="0" applyNumberFormat="1" applyFont="1" applyFill="1" applyBorder="1" applyAlignment="1" applyProtection="1">
      <alignment horizontal="center" vertical="center" wrapText="1"/>
      <protection locked="0"/>
    </xf>
    <xf numFmtId="0" fontId="110" fillId="29" borderId="0" xfId="0" applyFont="1" applyFill="1" applyAlignment="1">
      <alignment vertical="center" wrapText="1"/>
    </xf>
    <xf numFmtId="0" fontId="110" fillId="29" borderId="21" xfId="0" applyFont="1" applyFill="1" applyBorder="1" applyAlignment="1">
      <alignment vertical="center" wrapText="1"/>
    </xf>
  </cellXfs>
  <cellStyles count="6">
    <cellStyle name="Hipervínculo" xfId="5" builtinId="8"/>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40">
    <dxf>
      <font>
        <color auto="1"/>
      </font>
      <fill>
        <patternFill>
          <bgColor rgb="FFFFFF00"/>
        </patternFill>
      </fill>
    </dxf>
    <dxf>
      <font>
        <color theme="1"/>
      </font>
      <fill>
        <patternFill>
          <bgColor rgb="FF92D05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0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FFFF66"/>
        </patternFill>
      </fill>
    </dxf>
    <dxf>
      <fill>
        <patternFill>
          <bgColor rgb="FF00B050"/>
        </patternFill>
      </fill>
    </dxf>
    <dxf>
      <fill>
        <patternFill>
          <bgColor rgb="FFFFFF00"/>
        </patternFill>
      </fill>
    </dxf>
    <dxf>
      <fill>
        <patternFill>
          <bgColor rgb="FF00B050"/>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00CC66"/>
      <color rgb="FFB4B3B6"/>
      <color rgb="FF287840"/>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PORTADA '!A1"/><Relationship Id="rId1" Type="http://schemas.openxmlformats.org/officeDocument/2006/relationships/image" Target="../media/image1.png"/><Relationship Id="rId4" Type="http://schemas.openxmlformats.org/officeDocument/2006/relationships/image" Target="../media/image3.svg"/></Relationships>
</file>

<file path=xl/drawings/_rels/drawing2.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Mapa final'!A1"/><Relationship Id="rId7" Type="http://schemas.openxmlformats.org/officeDocument/2006/relationships/image" Target="../media/image5.svg"/><Relationship Id="rId2" Type="http://schemas.openxmlformats.org/officeDocument/2006/relationships/hyperlink" Target="#'Matriz Calor Residual'!A1"/><Relationship Id="rId1" Type="http://schemas.openxmlformats.org/officeDocument/2006/relationships/hyperlink" Target="#'CAMBIOS REGISTRO'!A1"/><Relationship Id="rId6" Type="http://schemas.openxmlformats.org/officeDocument/2006/relationships/image" Target="../media/image4.png"/><Relationship Id="rId5" Type="http://schemas.openxmlformats.org/officeDocument/2006/relationships/hyperlink" Target="#'CRITERIOS R CORRUPCION'!A1"/><Relationship Id="rId4" Type="http://schemas.openxmlformats.org/officeDocument/2006/relationships/hyperlink" Target="#'Matriz Calor Inherente'!A1"/></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PORTADA '!A1"/><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PORTADA '!A1"/><Relationship Id="rId1" Type="http://schemas.openxmlformats.org/officeDocument/2006/relationships/image" Target="../media/image1.png"/><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PORTADA '!A1"/><Relationship Id="rId1" Type="http://schemas.openxmlformats.org/officeDocument/2006/relationships/image" Target="../media/image1.png"/><Relationship Id="rId4" Type="http://schemas.openxmlformats.org/officeDocument/2006/relationships/image" Target="../media/image3.sv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RTADA '!A1"/></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458788</xdr:colOff>
      <xdr:row>1</xdr:row>
      <xdr:rowOff>38100</xdr:rowOff>
    </xdr:from>
    <xdr:to>
      <xdr:col>2</xdr:col>
      <xdr:colOff>342899</xdr:colOff>
      <xdr:row>3</xdr:row>
      <xdr:rowOff>87829</xdr:rowOff>
    </xdr:to>
    <xdr:pic>
      <xdr:nvPicPr>
        <xdr:cNvPr id="2" name="Imagen 4">
          <a:extLst>
            <a:ext uri="{FF2B5EF4-FFF2-40B4-BE49-F238E27FC236}">
              <a16:creationId xmlns:a16="http://schemas.microsoft.com/office/drawing/2014/main" id="{3C1CD76F-FE75-4CE9-BCB2-B45BD421A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788" y="238125"/>
          <a:ext cx="531811" cy="545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952500</xdr:colOff>
      <xdr:row>4</xdr:row>
      <xdr:rowOff>85725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2EC4FEF1-A890-48AB-8460-EBD7D26D13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8100" y="114300"/>
          <a:ext cx="914400" cy="91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80211</xdr:colOff>
      <xdr:row>31</xdr:row>
      <xdr:rowOff>50132</xdr:rowOff>
    </xdr:from>
    <xdr:to>
      <xdr:col>13</xdr:col>
      <xdr:colOff>604086</xdr:colOff>
      <xdr:row>37</xdr:row>
      <xdr:rowOff>50132</xdr:rowOff>
    </xdr:to>
    <xdr:sp macro="" textlink="">
      <xdr:nvSpPr>
        <xdr:cNvPr id="3" name="Diagrama de flujo: multidocumento 2">
          <a:hlinkClick xmlns:r="http://schemas.openxmlformats.org/officeDocument/2006/relationships" r:id="rId1"/>
          <a:extLst>
            <a:ext uri="{FF2B5EF4-FFF2-40B4-BE49-F238E27FC236}">
              <a16:creationId xmlns:a16="http://schemas.microsoft.com/office/drawing/2014/main" id="{561EEA2B-EE45-474B-B261-C2F77FE53BED}"/>
            </a:ext>
            <a:ext uri="{147F2762-F138-4A5C-976F-8EAC2B608ADB}">
              <a16:predDERef xmlns:a16="http://schemas.microsoft.com/office/drawing/2014/main" pred="{A0CA84D1-D22B-4210-8FA4-F089CFE3202B}"/>
            </a:ext>
          </a:extLst>
        </xdr:cNvPr>
        <xdr:cNvSpPr/>
      </xdr:nvSpPr>
      <xdr:spPr>
        <a:xfrm>
          <a:off x="9314448" y="6035843"/>
          <a:ext cx="1285875" cy="1143000"/>
        </a:xfrm>
        <a:prstGeom prst="flowChartMultidocument">
          <a:avLst/>
        </a:prstGeom>
        <a:solidFill>
          <a:srgbClr val="28784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ctr"/>
          <a:r>
            <a:rPr lang="en-US" sz="1100" b="1" i="0" u="none" strike="noStrike">
              <a:solidFill>
                <a:schemeClr val="lt1"/>
              </a:solidFill>
              <a:latin typeface="Calibri" panose="020F0502020204030204" pitchFamily="34" charset="0"/>
              <a:cs typeface="Calibri" panose="020F0502020204030204" pitchFamily="34" charset="0"/>
            </a:rPr>
            <a:t>CONTROL DE CAMBIOS </a:t>
          </a:r>
        </a:p>
      </xdr:txBody>
    </xdr:sp>
    <xdr:clientData/>
  </xdr:twoCellAnchor>
  <xdr:twoCellAnchor>
    <xdr:from>
      <xdr:col>2</xdr:col>
      <xdr:colOff>280736</xdr:colOff>
      <xdr:row>8</xdr:row>
      <xdr:rowOff>130342</xdr:rowOff>
    </xdr:from>
    <xdr:to>
      <xdr:col>12</xdr:col>
      <xdr:colOff>601579</xdr:colOff>
      <xdr:row>28</xdr:row>
      <xdr:rowOff>40105</xdr:rowOff>
    </xdr:to>
    <xdr:grpSp>
      <xdr:nvGrpSpPr>
        <xdr:cNvPr id="4" name="Google Shape;6040;p62">
          <a:extLst>
            <a:ext uri="{FF2B5EF4-FFF2-40B4-BE49-F238E27FC236}">
              <a16:creationId xmlns:a16="http://schemas.microsoft.com/office/drawing/2014/main" id="{B3F5F72E-E959-4301-B587-7E1224BDEF5E}"/>
            </a:ext>
          </a:extLst>
        </xdr:cNvPr>
        <xdr:cNvGrpSpPr/>
      </xdr:nvGrpSpPr>
      <xdr:grpSpPr>
        <a:xfrm>
          <a:off x="1831473" y="1761289"/>
          <a:ext cx="9571790" cy="3920290"/>
          <a:chOff x="238125" y="1188750"/>
          <a:chExt cx="7140450" cy="3335550"/>
        </a:xfrm>
      </xdr:grpSpPr>
      <xdr:sp macro="" textlink="">
        <xdr:nvSpPr>
          <xdr:cNvPr id="5" name="Google Shape;6041;p62">
            <a:extLst>
              <a:ext uri="{FF2B5EF4-FFF2-40B4-BE49-F238E27FC236}">
                <a16:creationId xmlns:a16="http://schemas.microsoft.com/office/drawing/2014/main" id="{18AB30EA-3692-4E95-AC57-A61DDC3B62D6}"/>
              </a:ext>
            </a:extLst>
          </xdr:cNvPr>
          <xdr:cNvSpPr/>
        </xdr:nvSpPr>
        <xdr:spPr>
          <a:xfrm>
            <a:off x="238125" y="1188750"/>
            <a:ext cx="3507025" cy="1584000"/>
          </a:xfrm>
          <a:custGeom>
            <a:avLst/>
            <a:gdLst/>
            <a:ahLst/>
            <a:cxnLst/>
            <a:rect l="l" t="t" r="r" b="b"/>
            <a:pathLst>
              <a:path w="140281" h="63360" extrusionOk="0">
                <a:moveTo>
                  <a:pt x="4021" y="0"/>
                </a:moveTo>
                <a:cubicBezTo>
                  <a:pt x="1801" y="6"/>
                  <a:pt x="6" y="1801"/>
                  <a:pt x="0" y="4021"/>
                </a:cubicBezTo>
                <a:lnTo>
                  <a:pt x="0" y="59338"/>
                </a:lnTo>
                <a:cubicBezTo>
                  <a:pt x="6" y="61552"/>
                  <a:pt x="1801" y="63354"/>
                  <a:pt x="4021" y="63359"/>
                </a:cubicBezTo>
                <a:lnTo>
                  <a:pt x="98272" y="63359"/>
                </a:lnTo>
                <a:cubicBezTo>
                  <a:pt x="99963" y="41512"/>
                  <a:pt x="118098" y="24204"/>
                  <a:pt x="140280" y="23813"/>
                </a:cubicBezTo>
                <a:lnTo>
                  <a:pt x="140280" y="4021"/>
                </a:lnTo>
                <a:cubicBezTo>
                  <a:pt x="140275" y="1801"/>
                  <a:pt x="138474" y="6"/>
                  <a:pt x="136259"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CONTEXTO -</a:t>
            </a:r>
            <a:r>
              <a:rPr lang="es-MX" b="1" baseline="0">
                <a:solidFill>
                  <a:schemeClr val="bg1"/>
                </a:solidFill>
              </a:rPr>
              <a:t> DOFA</a:t>
            </a:r>
          </a:p>
          <a:p>
            <a:pPr marL="0" lvl="0" indent="0" algn="ctr" rtl="0">
              <a:spcBef>
                <a:spcPts val="0"/>
              </a:spcBef>
              <a:spcAft>
                <a:spcPts val="0"/>
              </a:spcAft>
              <a:buNone/>
            </a:pPr>
            <a:r>
              <a:rPr lang="es-MX" b="1" baseline="0">
                <a:solidFill>
                  <a:schemeClr val="bg1"/>
                </a:solidFill>
              </a:rPr>
              <a:t>(KAWAK)</a:t>
            </a:r>
            <a:endParaRPr b="1">
              <a:solidFill>
                <a:schemeClr val="bg1"/>
              </a:solidFill>
            </a:endParaRPr>
          </a:p>
        </xdr:txBody>
      </xdr:sp>
      <xdr:sp macro="" textlink="">
        <xdr:nvSpPr>
          <xdr:cNvPr id="6" name="Google Shape;6042;p62">
            <a:hlinkClick xmlns:r="http://schemas.openxmlformats.org/officeDocument/2006/relationships" r:id="rId2"/>
            <a:extLst>
              <a:ext uri="{FF2B5EF4-FFF2-40B4-BE49-F238E27FC236}">
                <a16:creationId xmlns:a16="http://schemas.microsoft.com/office/drawing/2014/main" id="{BD507546-1AC8-44E1-93E6-7187A5D8A960}"/>
              </a:ext>
            </a:extLst>
          </xdr:cNvPr>
          <xdr:cNvSpPr/>
        </xdr:nvSpPr>
        <xdr:spPr>
          <a:xfrm>
            <a:off x="238125" y="2940300"/>
            <a:ext cx="3507025" cy="1584000"/>
          </a:xfrm>
          <a:custGeom>
            <a:avLst/>
            <a:gdLst/>
            <a:ahLst/>
            <a:cxnLst/>
            <a:rect l="l" t="t" r="r" b="b"/>
            <a:pathLst>
              <a:path w="140281" h="63360" extrusionOk="0">
                <a:moveTo>
                  <a:pt x="4021" y="1"/>
                </a:moveTo>
                <a:cubicBezTo>
                  <a:pt x="1801" y="6"/>
                  <a:pt x="6" y="1808"/>
                  <a:pt x="0" y="4022"/>
                </a:cubicBezTo>
                <a:lnTo>
                  <a:pt x="0" y="59339"/>
                </a:lnTo>
                <a:cubicBezTo>
                  <a:pt x="6" y="61559"/>
                  <a:pt x="1801" y="63354"/>
                  <a:pt x="4021" y="63360"/>
                </a:cubicBezTo>
                <a:lnTo>
                  <a:pt x="136259" y="63360"/>
                </a:lnTo>
                <a:cubicBezTo>
                  <a:pt x="138474" y="63354"/>
                  <a:pt x="140275" y="61559"/>
                  <a:pt x="140280" y="59339"/>
                </a:cubicBezTo>
                <a:lnTo>
                  <a:pt x="140280" y="39547"/>
                </a:lnTo>
                <a:cubicBezTo>
                  <a:pt x="118098" y="39155"/>
                  <a:pt x="99963" y="21848"/>
                  <a:pt x="98272" y="1"/>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a:t>
            </a:r>
          </a:p>
          <a:p>
            <a:pPr algn="ctr"/>
            <a:r>
              <a:rPr lang="es-CO" sz="1400" b="1" i="0" u="none" strike="noStrike" cap="none">
                <a:solidFill>
                  <a:schemeClr val="bg1"/>
                </a:solidFill>
                <a:effectLst/>
                <a:latin typeface="Arial"/>
                <a:ea typeface="Arial"/>
                <a:cs typeface="Arial"/>
                <a:sym typeface="Arial"/>
              </a:rPr>
              <a:t> RESIDUAL</a:t>
            </a:r>
          </a:p>
          <a:p>
            <a:pPr marL="0" lvl="0" indent="0" algn="ctr" rtl="0">
              <a:spcBef>
                <a:spcPts val="0"/>
              </a:spcBef>
              <a:spcAft>
                <a:spcPts val="0"/>
              </a:spcAft>
              <a:buNone/>
            </a:pPr>
            <a:endParaRPr/>
          </a:p>
        </xdr:txBody>
      </xdr:sp>
      <xdr:sp macro="" textlink="">
        <xdr:nvSpPr>
          <xdr:cNvPr id="7" name="Google Shape;6043;p62">
            <a:hlinkClick xmlns:r="http://schemas.openxmlformats.org/officeDocument/2006/relationships" r:id="rId3"/>
            <a:extLst>
              <a:ext uri="{FF2B5EF4-FFF2-40B4-BE49-F238E27FC236}">
                <a16:creationId xmlns:a16="http://schemas.microsoft.com/office/drawing/2014/main" id="{B42689E8-C2D2-49B1-8850-0208BA377BE1}"/>
              </a:ext>
            </a:extLst>
          </xdr:cNvPr>
          <xdr:cNvSpPr/>
        </xdr:nvSpPr>
        <xdr:spPr>
          <a:xfrm>
            <a:off x="3871550" y="1188750"/>
            <a:ext cx="3507025" cy="1584000"/>
          </a:xfrm>
          <a:custGeom>
            <a:avLst/>
            <a:gdLst/>
            <a:ahLst/>
            <a:cxnLst/>
            <a:rect l="l" t="t" r="r" b="b"/>
            <a:pathLst>
              <a:path w="140281" h="63360" extrusionOk="0">
                <a:moveTo>
                  <a:pt x="4022" y="0"/>
                </a:moveTo>
                <a:cubicBezTo>
                  <a:pt x="1807" y="6"/>
                  <a:pt x="6" y="1801"/>
                  <a:pt x="0" y="4021"/>
                </a:cubicBezTo>
                <a:lnTo>
                  <a:pt x="0" y="24017"/>
                </a:lnTo>
                <a:cubicBezTo>
                  <a:pt x="20553" y="26066"/>
                  <a:pt x="36886" y="42675"/>
                  <a:pt x="38494" y="63359"/>
                </a:cubicBezTo>
                <a:lnTo>
                  <a:pt x="136260" y="63359"/>
                </a:lnTo>
                <a:cubicBezTo>
                  <a:pt x="138480" y="63354"/>
                  <a:pt x="140275" y="61552"/>
                  <a:pt x="140281" y="59338"/>
                </a:cubicBezTo>
                <a:lnTo>
                  <a:pt x="140281" y="4021"/>
                </a:lnTo>
                <a:cubicBezTo>
                  <a:pt x="140275" y="1801"/>
                  <a:pt x="138480" y="6"/>
                  <a:pt x="136260" y="0"/>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MAPA DE</a:t>
            </a:r>
            <a:r>
              <a:rPr lang="es-MX" b="1" baseline="0">
                <a:solidFill>
                  <a:schemeClr val="bg1"/>
                </a:solidFill>
              </a:rPr>
              <a:t> </a:t>
            </a:r>
            <a:r>
              <a:rPr lang="es-MX" b="1">
                <a:solidFill>
                  <a:schemeClr val="bg1"/>
                </a:solidFill>
              </a:rPr>
              <a:t>RIESGOS</a:t>
            </a:r>
            <a:r>
              <a:rPr lang="es-MX" b="1" baseline="0">
                <a:solidFill>
                  <a:schemeClr val="bg1"/>
                </a:solidFill>
              </a:rPr>
              <a:t>  </a:t>
            </a:r>
          </a:p>
          <a:p>
            <a:pPr marL="0" lvl="0" indent="0" algn="ctr" rtl="0">
              <a:spcBef>
                <a:spcPts val="0"/>
              </a:spcBef>
              <a:spcAft>
                <a:spcPts val="0"/>
              </a:spcAft>
              <a:buNone/>
            </a:pPr>
            <a:r>
              <a:rPr lang="es-MX" b="1" baseline="0">
                <a:solidFill>
                  <a:schemeClr val="bg1"/>
                </a:solidFill>
              </a:rPr>
              <a:t>DE PROCESO</a:t>
            </a:r>
            <a:endParaRPr b="1">
              <a:solidFill>
                <a:schemeClr val="bg1"/>
              </a:solidFill>
            </a:endParaRPr>
          </a:p>
        </xdr:txBody>
      </xdr:sp>
      <xdr:sp macro="" textlink="">
        <xdr:nvSpPr>
          <xdr:cNvPr id="8" name="Google Shape;6044;p62">
            <a:hlinkClick xmlns:r="http://schemas.openxmlformats.org/officeDocument/2006/relationships" r:id="rId4"/>
            <a:extLst>
              <a:ext uri="{FF2B5EF4-FFF2-40B4-BE49-F238E27FC236}">
                <a16:creationId xmlns:a16="http://schemas.microsoft.com/office/drawing/2014/main" id="{CDE12DC8-5FFF-4D49-BD61-EB6409C00729}"/>
              </a:ext>
            </a:extLst>
          </xdr:cNvPr>
          <xdr:cNvSpPr/>
        </xdr:nvSpPr>
        <xdr:spPr>
          <a:xfrm>
            <a:off x="3871550" y="2940300"/>
            <a:ext cx="3507025" cy="1584000"/>
          </a:xfrm>
          <a:custGeom>
            <a:avLst/>
            <a:gdLst/>
            <a:ahLst/>
            <a:cxnLst/>
            <a:rect l="l" t="t" r="r" b="b"/>
            <a:pathLst>
              <a:path w="140281" h="63360" extrusionOk="0">
                <a:moveTo>
                  <a:pt x="38494" y="1"/>
                </a:moveTo>
                <a:cubicBezTo>
                  <a:pt x="36886" y="20680"/>
                  <a:pt x="20553" y="37294"/>
                  <a:pt x="0" y="39343"/>
                </a:cubicBezTo>
                <a:lnTo>
                  <a:pt x="0" y="59339"/>
                </a:lnTo>
                <a:cubicBezTo>
                  <a:pt x="6" y="61559"/>
                  <a:pt x="1807" y="63354"/>
                  <a:pt x="4022" y="63360"/>
                </a:cubicBezTo>
                <a:lnTo>
                  <a:pt x="136260" y="63360"/>
                </a:lnTo>
                <a:cubicBezTo>
                  <a:pt x="138480" y="63354"/>
                  <a:pt x="140275" y="61559"/>
                  <a:pt x="140281" y="59339"/>
                </a:cubicBezTo>
                <a:lnTo>
                  <a:pt x="140281" y="4022"/>
                </a:lnTo>
                <a:cubicBezTo>
                  <a:pt x="140275" y="1808"/>
                  <a:pt x="138480" y="6"/>
                  <a:pt x="136260" y="1"/>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 </a:t>
            </a:r>
          </a:p>
          <a:p>
            <a:pPr algn="ctr"/>
            <a:r>
              <a:rPr lang="es-CO" sz="1400" b="1" i="0" u="none" strike="noStrike" cap="none">
                <a:solidFill>
                  <a:schemeClr val="bg1"/>
                </a:solidFill>
                <a:effectLst/>
                <a:latin typeface="Arial"/>
                <a:ea typeface="Arial"/>
                <a:cs typeface="Arial"/>
                <a:sym typeface="Arial"/>
              </a:rPr>
              <a:t>INHERENTE</a:t>
            </a:r>
          </a:p>
        </xdr:txBody>
      </xdr:sp>
      <xdr:sp macro="" textlink="">
        <xdr:nvSpPr>
          <xdr:cNvPr id="9" name="Google Shape;6045;p62">
            <a:extLst>
              <a:ext uri="{FF2B5EF4-FFF2-40B4-BE49-F238E27FC236}">
                <a16:creationId xmlns:a16="http://schemas.microsoft.com/office/drawing/2014/main" id="{4F08F53C-068E-4448-BD7A-AC4DC9C52EAA}"/>
              </a:ext>
            </a:extLst>
          </xdr:cNvPr>
          <xdr:cNvSpPr/>
        </xdr:nvSpPr>
        <xdr:spPr>
          <a:xfrm>
            <a:off x="2842425" y="1934600"/>
            <a:ext cx="1843850" cy="1843850"/>
          </a:xfrm>
          <a:custGeom>
            <a:avLst/>
            <a:gdLst/>
            <a:ahLst/>
            <a:cxnLst/>
            <a:rect l="l" t="t" r="r" b="b"/>
            <a:pathLst>
              <a:path w="73754" h="73754" extrusionOk="0">
                <a:moveTo>
                  <a:pt x="36880" y="0"/>
                </a:moveTo>
                <a:cubicBezTo>
                  <a:pt x="36621" y="0"/>
                  <a:pt x="36362" y="6"/>
                  <a:pt x="36108" y="11"/>
                </a:cubicBezTo>
                <a:cubicBezTo>
                  <a:pt x="17253" y="397"/>
                  <a:pt x="1834" y="15011"/>
                  <a:pt x="154" y="33525"/>
                </a:cubicBezTo>
                <a:cubicBezTo>
                  <a:pt x="55" y="34627"/>
                  <a:pt x="0" y="35745"/>
                  <a:pt x="0" y="36874"/>
                </a:cubicBezTo>
                <a:cubicBezTo>
                  <a:pt x="0" y="38009"/>
                  <a:pt x="55" y="39122"/>
                  <a:pt x="154" y="40229"/>
                </a:cubicBezTo>
                <a:cubicBezTo>
                  <a:pt x="1834" y="58749"/>
                  <a:pt x="17253" y="73357"/>
                  <a:pt x="36108" y="73743"/>
                </a:cubicBezTo>
                <a:cubicBezTo>
                  <a:pt x="36362" y="73748"/>
                  <a:pt x="36621" y="73754"/>
                  <a:pt x="36880" y="73754"/>
                </a:cubicBezTo>
                <a:cubicBezTo>
                  <a:pt x="38312" y="73754"/>
                  <a:pt x="39744" y="73666"/>
                  <a:pt x="41165" y="73500"/>
                </a:cubicBezTo>
                <a:cubicBezTo>
                  <a:pt x="58391" y="71495"/>
                  <a:pt x="72030" y="57581"/>
                  <a:pt x="73600" y="40229"/>
                </a:cubicBezTo>
                <a:cubicBezTo>
                  <a:pt x="73699" y="39127"/>
                  <a:pt x="73754" y="38009"/>
                  <a:pt x="73754" y="36874"/>
                </a:cubicBezTo>
                <a:cubicBezTo>
                  <a:pt x="73754" y="35745"/>
                  <a:pt x="73699" y="34632"/>
                  <a:pt x="73600" y="33525"/>
                </a:cubicBezTo>
                <a:cubicBezTo>
                  <a:pt x="72024" y="16173"/>
                  <a:pt x="58391" y="2259"/>
                  <a:pt x="41165" y="254"/>
                </a:cubicBezTo>
                <a:cubicBezTo>
                  <a:pt x="39744" y="88"/>
                  <a:pt x="38312" y="0"/>
                  <a:pt x="36880"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SISTEMA DE GESTION INTEGRADO</a:t>
            </a:r>
            <a:r>
              <a:rPr lang="es-MX" b="1" baseline="0">
                <a:solidFill>
                  <a:schemeClr val="bg1"/>
                </a:solidFill>
              </a:rPr>
              <a:t> ETITC</a:t>
            </a:r>
            <a:endParaRPr b="1">
              <a:solidFill>
                <a:schemeClr val="bg1"/>
              </a:solidFill>
            </a:endParaRPr>
          </a:p>
        </xdr:txBody>
      </xdr:sp>
    </xdr:grpSp>
    <xdr:clientData/>
  </xdr:twoCellAnchor>
  <xdr:twoCellAnchor editAs="oneCell">
    <xdr:from>
      <xdr:col>3</xdr:col>
      <xdr:colOff>180473</xdr:colOff>
      <xdr:row>31</xdr:row>
      <xdr:rowOff>82217</xdr:rowOff>
    </xdr:from>
    <xdr:to>
      <xdr:col>5</xdr:col>
      <xdr:colOff>10027</xdr:colOff>
      <xdr:row>38</xdr:row>
      <xdr:rowOff>92244</xdr:rowOff>
    </xdr:to>
    <xdr:pic>
      <xdr:nvPicPr>
        <xdr:cNvPr id="11" name="Gráfico 10" descr="Lista de comprobación">
          <a:hlinkClick xmlns:r="http://schemas.openxmlformats.org/officeDocument/2006/relationships" r:id="rId5"/>
          <a:extLst>
            <a:ext uri="{FF2B5EF4-FFF2-40B4-BE49-F238E27FC236}">
              <a16:creationId xmlns:a16="http://schemas.microsoft.com/office/drawing/2014/main" id="{B2681AEC-BB6E-40BC-9B5F-2C3C98ED35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168315" y="6458954"/>
          <a:ext cx="1353553" cy="1353553"/>
        </a:xfrm>
        <a:prstGeom prst="rect">
          <a:avLst/>
        </a:prstGeom>
      </xdr:spPr>
    </xdr:pic>
    <xdr:clientData/>
  </xdr:twoCellAnchor>
  <xdr:twoCellAnchor editAs="oneCell">
    <xdr:from>
      <xdr:col>1</xdr:col>
      <xdr:colOff>1112920</xdr:colOff>
      <xdr:row>1</xdr:row>
      <xdr:rowOff>120316</xdr:rowOff>
    </xdr:from>
    <xdr:to>
      <xdr:col>2</xdr:col>
      <xdr:colOff>533399</xdr:colOff>
      <xdr:row>4</xdr:row>
      <xdr:rowOff>391</xdr:rowOff>
    </xdr:to>
    <xdr:pic>
      <xdr:nvPicPr>
        <xdr:cNvPr id="2" name="Imagen 4">
          <a:extLst>
            <a:ext uri="{FF2B5EF4-FFF2-40B4-BE49-F238E27FC236}">
              <a16:creationId xmlns:a16="http://schemas.microsoft.com/office/drawing/2014/main" id="{57AE46B9-8CF0-4183-B042-FA91EA9C8AC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63578" y="280737"/>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3</xdr:col>
      <xdr:colOff>189235</xdr:colOff>
      <xdr:row>10</xdr:row>
      <xdr:rowOff>4888</xdr:rowOff>
    </xdr:to>
    <xdr:pic>
      <xdr:nvPicPr>
        <xdr:cNvPr id="6" name="Gráfico 5" descr="Escena suburbana">
          <a:hlinkClick xmlns:r="http://schemas.openxmlformats.org/officeDocument/2006/relationships" r:id="rId1"/>
          <a:extLst>
            <a:ext uri="{FF2B5EF4-FFF2-40B4-BE49-F238E27FC236}">
              <a16:creationId xmlns:a16="http://schemas.microsoft.com/office/drawing/2014/main" id="{2A21950B-AED9-4C7D-A227-4B209EC561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93" y="2174421"/>
          <a:ext cx="923925" cy="930728"/>
        </a:xfrm>
        <a:prstGeom prst="rect">
          <a:avLst/>
        </a:prstGeom>
      </xdr:spPr>
    </xdr:pic>
    <xdr:clientData/>
  </xdr:twoCellAnchor>
  <xdr:twoCellAnchor editAs="oneCell">
    <xdr:from>
      <xdr:col>5</xdr:col>
      <xdr:colOff>372071</xdr:colOff>
      <xdr:row>1</xdr:row>
      <xdr:rowOff>193477</xdr:rowOff>
    </xdr:from>
    <xdr:to>
      <xdr:col>5</xdr:col>
      <xdr:colOff>1145977</xdr:colOff>
      <xdr:row>3</xdr:row>
      <xdr:rowOff>286860</xdr:rowOff>
    </xdr:to>
    <xdr:pic>
      <xdr:nvPicPr>
        <xdr:cNvPr id="2" name="Imagen 4">
          <a:extLst>
            <a:ext uri="{FF2B5EF4-FFF2-40B4-BE49-F238E27FC236}">
              <a16:creationId xmlns:a16="http://schemas.microsoft.com/office/drawing/2014/main" id="{982481E6-8388-4A39-BA8D-5F1279B28E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7969" y="386954"/>
          <a:ext cx="773906" cy="81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44450</xdr:colOff>
      <xdr:row>0</xdr:row>
      <xdr:rowOff>0</xdr:rowOff>
    </xdr:from>
    <xdr:to>
      <xdr:col>11</xdr:col>
      <xdr:colOff>495300</xdr:colOff>
      <xdr:row>26</xdr:row>
      <xdr:rowOff>155042</xdr:rowOff>
    </xdr:to>
    <xdr:pic>
      <xdr:nvPicPr>
        <xdr:cNvPr id="2" name="Imagen 1">
          <a:extLst>
            <a:ext uri="{FF2B5EF4-FFF2-40B4-BE49-F238E27FC236}">
              <a16:creationId xmlns:a16="http://schemas.microsoft.com/office/drawing/2014/main" id="{05936C09-E2DB-C52B-4972-F52956DF6CB7}"/>
            </a:ext>
          </a:extLst>
        </xdr:cNvPr>
        <xdr:cNvPicPr>
          <a:picLocks noChangeAspect="1"/>
        </xdr:cNvPicPr>
      </xdr:nvPicPr>
      <xdr:blipFill>
        <a:blip xmlns:r="http://schemas.openxmlformats.org/officeDocument/2006/relationships" r:embed="rId1"/>
        <a:stretch>
          <a:fillRect/>
        </a:stretch>
      </xdr:blipFill>
      <xdr:spPr>
        <a:xfrm>
          <a:off x="3092450" y="0"/>
          <a:ext cx="5784850" cy="5108042"/>
        </a:xfrm>
        <a:prstGeom prst="rect">
          <a:avLst/>
        </a:prstGeom>
      </xdr:spPr>
    </xdr:pic>
    <xdr:clientData/>
  </xdr:twoCellAnchor>
  <xdr:twoCellAnchor editAs="oneCell">
    <xdr:from>
      <xdr:col>4</xdr:col>
      <xdr:colOff>76200</xdr:colOff>
      <xdr:row>27</xdr:row>
      <xdr:rowOff>47624</xdr:rowOff>
    </xdr:from>
    <xdr:to>
      <xdr:col>11</xdr:col>
      <xdr:colOff>485775</xdr:colOff>
      <xdr:row>42</xdr:row>
      <xdr:rowOff>180975</xdr:rowOff>
    </xdr:to>
    <xdr:pic>
      <xdr:nvPicPr>
        <xdr:cNvPr id="3" name="Imagen 2">
          <a:extLst>
            <a:ext uri="{FF2B5EF4-FFF2-40B4-BE49-F238E27FC236}">
              <a16:creationId xmlns:a16="http://schemas.microsoft.com/office/drawing/2014/main" id="{C26438EB-DE44-1D10-37E8-2751E58C62E8}"/>
            </a:ext>
          </a:extLst>
        </xdr:cNvPr>
        <xdr:cNvPicPr>
          <a:picLocks noChangeAspect="1"/>
        </xdr:cNvPicPr>
      </xdr:nvPicPr>
      <xdr:blipFill>
        <a:blip xmlns:r="http://schemas.openxmlformats.org/officeDocument/2006/relationships" r:embed="rId2"/>
        <a:stretch>
          <a:fillRect/>
        </a:stretch>
      </xdr:blipFill>
      <xdr:spPr>
        <a:xfrm>
          <a:off x="3124200" y="5191124"/>
          <a:ext cx="5743575" cy="2990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87313</xdr:colOff>
      <xdr:row>1</xdr:row>
      <xdr:rowOff>19050</xdr:rowOff>
    </xdr:from>
    <xdr:to>
      <xdr:col>7</xdr:col>
      <xdr:colOff>239713</xdr:colOff>
      <xdr:row>4</xdr:row>
      <xdr:rowOff>6908</xdr:rowOff>
    </xdr:to>
    <xdr:pic>
      <xdr:nvPicPr>
        <xdr:cNvPr id="2" name="Imagen 4">
          <a:extLst>
            <a:ext uri="{FF2B5EF4-FFF2-40B4-BE49-F238E27FC236}">
              <a16:creationId xmlns:a16="http://schemas.microsoft.com/office/drawing/2014/main" id="{C9EC256A-DB6F-4832-A5C7-920A72533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6313" y="22542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2</xdr:row>
      <xdr:rowOff>31750</xdr:rowOff>
    </xdr:from>
    <xdr:to>
      <xdr:col>2</xdr:col>
      <xdr:colOff>330200</xdr:colOff>
      <xdr:row>6</xdr:row>
      <xdr:rowOff>168275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AC2E177A-875D-4A57-A129-BCFB879CD9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76250" y="428625"/>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100013</xdr:colOff>
      <xdr:row>1</xdr:row>
      <xdr:rowOff>19050</xdr:rowOff>
    </xdr:from>
    <xdr:to>
      <xdr:col>6</xdr:col>
      <xdr:colOff>252413</xdr:colOff>
      <xdr:row>4</xdr:row>
      <xdr:rowOff>6908</xdr:rowOff>
    </xdr:to>
    <xdr:pic>
      <xdr:nvPicPr>
        <xdr:cNvPr id="2" name="Imagen 4">
          <a:extLst>
            <a:ext uri="{FF2B5EF4-FFF2-40B4-BE49-F238E27FC236}">
              <a16:creationId xmlns:a16="http://schemas.microsoft.com/office/drawing/2014/main" id="{7FBAA5E0-89AF-4E19-B8BD-77A8F16D9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7013" y="228600"/>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269875</xdr:colOff>
      <xdr:row>1</xdr:row>
      <xdr:rowOff>127000</xdr:rowOff>
    </xdr:from>
    <xdr:to>
      <xdr:col>1</xdr:col>
      <xdr:colOff>422275</xdr:colOff>
      <xdr:row>6</xdr:row>
      <xdr:rowOff>66675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B215EECA-2602-46E7-BD53-16D06B6CA5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69875" y="333375"/>
          <a:ext cx="914400" cy="908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95250</xdr:rowOff>
    </xdr:from>
    <xdr:to>
      <xdr:col>0</xdr:col>
      <xdr:colOff>676275</xdr:colOff>
      <xdr:row>5</xdr:row>
      <xdr:rowOff>66675</xdr:rowOff>
    </xdr:to>
    <xdr:grpSp>
      <xdr:nvGrpSpPr>
        <xdr:cNvPr id="3" name="Google Shape;6703;p64">
          <a:hlinkClick xmlns:r="http://schemas.openxmlformats.org/officeDocument/2006/relationships" r:id="rId1"/>
          <a:extLst>
            <a:ext uri="{FF2B5EF4-FFF2-40B4-BE49-F238E27FC236}">
              <a16:creationId xmlns:a16="http://schemas.microsoft.com/office/drawing/2014/main" id="{A9FAA5E6-A202-4E28-876A-E71E3D293F7D}"/>
            </a:ext>
          </a:extLst>
        </xdr:cNvPr>
        <xdr:cNvGrpSpPr/>
      </xdr:nvGrpSpPr>
      <xdr:grpSpPr>
        <a:xfrm>
          <a:off x="0" y="196850"/>
          <a:ext cx="676275" cy="746125"/>
          <a:chOff x="2508373" y="2779889"/>
          <a:chExt cx="337523" cy="337680"/>
        </a:xfrm>
      </xdr:grpSpPr>
      <xdr:sp macro="" textlink="">
        <xdr:nvSpPr>
          <xdr:cNvPr id="4" name="Google Shape;6704;p64">
            <a:extLst>
              <a:ext uri="{FF2B5EF4-FFF2-40B4-BE49-F238E27FC236}">
                <a16:creationId xmlns:a16="http://schemas.microsoft.com/office/drawing/2014/main" id="{38E993DD-8DD4-4BB8-BFD1-6897219496B3}"/>
              </a:ext>
            </a:extLst>
          </xdr:cNvPr>
          <xdr:cNvSpPr/>
        </xdr:nvSpPr>
        <xdr:spPr>
          <a:xfrm>
            <a:off x="2508373" y="2779889"/>
            <a:ext cx="256971" cy="256971"/>
          </a:xfrm>
          <a:custGeom>
            <a:avLst/>
            <a:gdLst/>
            <a:ahLst/>
            <a:cxnLst/>
            <a:rect l="l" t="t" r="r" b="b"/>
            <a:pathLst>
              <a:path w="9781" h="9781" extrusionOk="0">
                <a:moveTo>
                  <a:pt x="4585" y="0"/>
                </a:moveTo>
                <a:cubicBezTo>
                  <a:pt x="4377" y="0"/>
                  <a:pt x="4190" y="153"/>
                  <a:pt x="4155" y="354"/>
                </a:cubicBezTo>
                <a:lnTo>
                  <a:pt x="3933" y="1464"/>
                </a:lnTo>
                <a:cubicBezTo>
                  <a:pt x="3656" y="1540"/>
                  <a:pt x="3392" y="1651"/>
                  <a:pt x="3149" y="1790"/>
                </a:cubicBezTo>
                <a:lnTo>
                  <a:pt x="2213" y="1165"/>
                </a:lnTo>
                <a:cubicBezTo>
                  <a:pt x="2138" y="1116"/>
                  <a:pt x="2053" y="1092"/>
                  <a:pt x="1969" y="1092"/>
                </a:cubicBezTo>
                <a:cubicBezTo>
                  <a:pt x="1852" y="1092"/>
                  <a:pt x="1736" y="1139"/>
                  <a:pt x="1651" y="1228"/>
                </a:cubicBezTo>
                <a:lnTo>
                  <a:pt x="1221" y="1658"/>
                </a:lnTo>
                <a:cubicBezTo>
                  <a:pt x="1068" y="1803"/>
                  <a:pt x="1048" y="2039"/>
                  <a:pt x="1166" y="2220"/>
                </a:cubicBezTo>
                <a:lnTo>
                  <a:pt x="1790" y="3156"/>
                </a:lnTo>
                <a:cubicBezTo>
                  <a:pt x="1651" y="3399"/>
                  <a:pt x="1547" y="3662"/>
                  <a:pt x="1471" y="3940"/>
                </a:cubicBezTo>
                <a:lnTo>
                  <a:pt x="361" y="4162"/>
                </a:lnTo>
                <a:cubicBezTo>
                  <a:pt x="153" y="4196"/>
                  <a:pt x="7" y="4384"/>
                  <a:pt x="0" y="4592"/>
                </a:cubicBezTo>
                <a:lnTo>
                  <a:pt x="0" y="5202"/>
                </a:lnTo>
                <a:cubicBezTo>
                  <a:pt x="7" y="5410"/>
                  <a:pt x="153" y="5591"/>
                  <a:pt x="361" y="5632"/>
                </a:cubicBezTo>
                <a:lnTo>
                  <a:pt x="1471" y="5854"/>
                </a:lnTo>
                <a:cubicBezTo>
                  <a:pt x="1547" y="6125"/>
                  <a:pt x="1651" y="6388"/>
                  <a:pt x="1790" y="6638"/>
                </a:cubicBezTo>
                <a:lnTo>
                  <a:pt x="1166" y="7574"/>
                </a:lnTo>
                <a:cubicBezTo>
                  <a:pt x="1048" y="7748"/>
                  <a:pt x="1068" y="7984"/>
                  <a:pt x="1221" y="8136"/>
                </a:cubicBezTo>
                <a:lnTo>
                  <a:pt x="1651" y="8566"/>
                </a:lnTo>
                <a:cubicBezTo>
                  <a:pt x="1735" y="8650"/>
                  <a:pt x="1848" y="8692"/>
                  <a:pt x="1964" y="8692"/>
                </a:cubicBezTo>
                <a:cubicBezTo>
                  <a:pt x="2049" y="8692"/>
                  <a:pt x="2136" y="8669"/>
                  <a:pt x="2213" y="8622"/>
                </a:cubicBezTo>
                <a:lnTo>
                  <a:pt x="3156" y="7990"/>
                </a:lnTo>
                <a:cubicBezTo>
                  <a:pt x="3399" y="8129"/>
                  <a:pt x="3663" y="8233"/>
                  <a:pt x="3933" y="8310"/>
                </a:cubicBezTo>
                <a:lnTo>
                  <a:pt x="4155" y="9419"/>
                </a:lnTo>
                <a:cubicBezTo>
                  <a:pt x="4197" y="9627"/>
                  <a:pt x="4377" y="9773"/>
                  <a:pt x="4592" y="9780"/>
                </a:cubicBezTo>
                <a:lnTo>
                  <a:pt x="5195" y="9780"/>
                </a:lnTo>
                <a:cubicBezTo>
                  <a:pt x="5404" y="9773"/>
                  <a:pt x="5591" y="9627"/>
                  <a:pt x="5632" y="9419"/>
                </a:cubicBezTo>
                <a:lnTo>
                  <a:pt x="5854" y="8310"/>
                </a:lnTo>
                <a:cubicBezTo>
                  <a:pt x="6125" y="8233"/>
                  <a:pt x="6389" y="8129"/>
                  <a:pt x="6631" y="7990"/>
                </a:cubicBezTo>
                <a:lnTo>
                  <a:pt x="7568" y="8615"/>
                </a:lnTo>
                <a:cubicBezTo>
                  <a:pt x="7644" y="8664"/>
                  <a:pt x="7730" y="8688"/>
                  <a:pt x="7814" y="8688"/>
                </a:cubicBezTo>
                <a:cubicBezTo>
                  <a:pt x="7931" y="8688"/>
                  <a:pt x="8045" y="8643"/>
                  <a:pt x="8129" y="8559"/>
                </a:cubicBezTo>
                <a:lnTo>
                  <a:pt x="8560" y="8129"/>
                </a:lnTo>
                <a:cubicBezTo>
                  <a:pt x="8712" y="7984"/>
                  <a:pt x="8733" y="7748"/>
                  <a:pt x="8615" y="7567"/>
                </a:cubicBezTo>
                <a:lnTo>
                  <a:pt x="7991" y="6631"/>
                </a:lnTo>
                <a:cubicBezTo>
                  <a:pt x="8129" y="6381"/>
                  <a:pt x="8234" y="6118"/>
                  <a:pt x="8310" y="5847"/>
                </a:cubicBezTo>
                <a:lnTo>
                  <a:pt x="9420" y="5625"/>
                </a:lnTo>
                <a:cubicBezTo>
                  <a:pt x="9628" y="5584"/>
                  <a:pt x="9773" y="5403"/>
                  <a:pt x="9780" y="5195"/>
                </a:cubicBezTo>
                <a:lnTo>
                  <a:pt x="9780" y="4585"/>
                </a:lnTo>
                <a:cubicBezTo>
                  <a:pt x="9780" y="4377"/>
                  <a:pt x="9628" y="4189"/>
                  <a:pt x="9420" y="4148"/>
                </a:cubicBezTo>
                <a:lnTo>
                  <a:pt x="8310" y="3926"/>
                </a:lnTo>
                <a:cubicBezTo>
                  <a:pt x="8234" y="3655"/>
                  <a:pt x="8129" y="3392"/>
                  <a:pt x="7991" y="3149"/>
                </a:cubicBezTo>
                <a:lnTo>
                  <a:pt x="8615" y="2206"/>
                </a:lnTo>
                <a:cubicBezTo>
                  <a:pt x="8733" y="2032"/>
                  <a:pt x="8712" y="1796"/>
                  <a:pt x="8560" y="1644"/>
                </a:cubicBezTo>
                <a:lnTo>
                  <a:pt x="8129" y="1221"/>
                </a:lnTo>
                <a:cubicBezTo>
                  <a:pt x="8046" y="1134"/>
                  <a:pt x="7934" y="1090"/>
                  <a:pt x="7821" y="1090"/>
                </a:cubicBezTo>
                <a:cubicBezTo>
                  <a:pt x="7735" y="1090"/>
                  <a:pt x="7649" y="1115"/>
                  <a:pt x="7575" y="1165"/>
                </a:cubicBezTo>
                <a:lnTo>
                  <a:pt x="6631" y="1790"/>
                </a:lnTo>
                <a:cubicBezTo>
                  <a:pt x="6389" y="1651"/>
                  <a:pt x="6125" y="1540"/>
                  <a:pt x="5854" y="1464"/>
                </a:cubicBezTo>
                <a:lnTo>
                  <a:pt x="5626" y="354"/>
                </a:lnTo>
                <a:cubicBezTo>
                  <a:pt x="5584" y="153"/>
                  <a:pt x="5404" y="0"/>
                  <a:pt x="5195" y="0"/>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 name="Google Shape;6705;p64">
            <a:extLst>
              <a:ext uri="{FF2B5EF4-FFF2-40B4-BE49-F238E27FC236}">
                <a16:creationId xmlns:a16="http://schemas.microsoft.com/office/drawing/2014/main" id="{7CE847CD-5FCA-4405-BB52-E6893161F724}"/>
              </a:ext>
            </a:extLst>
          </xdr:cNvPr>
          <xdr:cNvSpPr/>
        </xdr:nvSpPr>
        <xdr:spPr>
          <a:xfrm>
            <a:off x="2561391" y="2852034"/>
            <a:ext cx="131783" cy="112814"/>
          </a:xfrm>
          <a:custGeom>
            <a:avLst/>
            <a:gdLst/>
            <a:ahLst/>
            <a:cxnLst/>
            <a:rect l="l" t="t" r="r" b="b"/>
            <a:pathLst>
              <a:path w="5016" h="4294" extrusionOk="0">
                <a:moveTo>
                  <a:pt x="2872" y="1"/>
                </a:moveTo>
                <a:cubicBezTo>
                  <a:pt x="958" y="1"/>
                  <a:pt x="1" y="2310"/>
                  <a:pt x="1353" y="3663"/>
                </a:cubicBezTo>
                <a:cubicBezTo>
                  <a:pt x="1791" y="4098"/>
                  <a:pt x="2328" y="4293"/>
                  <a:pt x="2855" y="4293"/>
                </a:cubicBezTo>
                <a:cubicBezTo>
                  <a:pt x="3958" y="4293"/>
                  <a:pt x="5016" y="3439"/>
                  <a:pt x="5016" y="2144"/>
                </a:cubicBezTo>
                <a:cubicBezTo>
                  <a:pt x="5016" y="958"/>
                  <a:pt x="4058" y="1"/>
                  <a:pt x="2872" y="1"/>
                </a:cubicBezTo>
                <a:close/>
              </a:path>
            </a:pathLst>
          </a:custGeom>
          <a:solidFill>
            <a:srgbClr val="DEE5EB"/>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 name="Google Shape;6706;p64">
            <a:extLst>
              <a:ext uri="{FF2B5EF4-FFF2-40B4-BE49-F238E27FC236}">
                <a16:creationId xmlns:a16="http://schemas.microsoft.com/office/drawing/2014/main" id="{1947E24B-2236-4B10-B0A4-19ABD26BF976}"/>
              </a:ext>
            </a:extLst>
          </xdr:cNvPr>
          <xdr:cNvSpPr/>
        </xdr:nvSpPr>
        <xdr:spPr>
          <a:xfrm>
            <a:off x="2599302" y="2880277"/>
            <a:ext cx="65629" cy="56223"/>
          </a:xfrm>
          <a:custGeom>
            <a:avLst/>
            <a:gdLst/>
            <a:ahLst/>
            <a:cxnLst/>
            <a:rect l="l" t="t" r="r" b="b"/>
            <a:pathLst>
              <a:path w="2498" h="2140" extrusionOk="0">
                <a:moveTo>
                  <a:pt x="1429" y="1"/>
                </a:moveTo>
                <a:cubicBezTo>
                  <a:pt x="479" y="1"/>
                  <a:pt x="0" y="1152"/>
                  <a:pt x="673" y="1825"/>
                </a:cubicBezTo>
                <a:cubicBezTo>
                  <a:pt x="891" y="2042"/>
                  <a:pt x="1158" y="2140"/>
                  <a:pt x="1420" y="2140"/>
                </a:cubicBezTo>
                <a:cubicBezTo>
                  <a:pt x="1970" y="2140"/>
                  <a:pt x="2497" y="1712"/>
                  <a:pt x="2497" y="1069"/>
                </a:cubicBezTo>
                <a:cubicBezTo>
                  <a:pt x="2497" y="479"/>
                  <a:pt x="2019" y="1"/>
                  <a:pt x="1429" y="1"/>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 name="Google Shape;6707;p64">
            <a:extLst>
              <a:ext uri="{FF2B5EF4-FFF2-40B4-BE49-F238E27FC236}">
                <a16:creationId xmlns:a16="http://schemas.microsoft.com/office/drawing/2014/main" id="{DD835CD5-BE0C-4FE1-976F-DD597D594F0C}"/>
              </a:ext>
            </a:extLst>
          </xdr:cNvPr>
          <xdr:cNvSpPr/>
        </xdr:nvSpPr>
        <xdr:spPr>
          <a:xfrm>
            <a:off x="2677121" y="2948611"/>
            <a:ext cx="168775" cy="168958"/>
          </a:xfrm>
          <a:custGeom>
            <a:avLst/>
            <a:gdLst/>
            <a:ahLst/>
            <a:cxnLst/>
            <a:rect l="l" t="t" r="r" b="b"/>
            <a:pathLst>
              <a:path w="6424" h="6431" extrusionOk="0">
                <a:moveTo>
                  <a:pt x="3017" y="1"/>
                </a:moveTo>
                <a:cubicBezTo>
                  <a:pt x="2879" y="1"/>
                  <a:pt x="2754" y="98"/>
                  <a:pt x="2733" y="237"/>
                </a:cubicBezTo>
                <a:lnTo>
                  <a:pt x="2587" y="965"/>
                </a:lnTo>
                <a:cubicBezTo>
                  <a:pt x="2407" y="1014"/>
                  <a:pt x="2234" y="1090"/>
                  <a:pt x="2067" y="1180"/>
                </a:cubicBezTo>
                <a:lnTo>
                  <a:pt x="1450" y="764"/>
                </a:lnTo>
                <a:cubicBezTo>
                  <a:pt x="1404" y="733"/>
                  <a:pt x="1350" y="718"/>
                  <a:pt x="1296" y="718"/>
                </a:cubicBezTo>
                <a:cubicBezTo>
                  <a:pt x="1218" y="718"/>
                  <a:pt x="1139" y="748"/>
                  <a:pt x="1082" y="805"/>
                </a:cubicBezTo>
                <a:lnTo>
                  <a:pt x="805" y="1083"/>
                </a:lnTo>
                <a:cubicBezTo>
                  <a:pt x="701" y="1180"/>
                  <a:pt x="687" y="1340"/>
                  <a:pt x="763" y="1451"/>
                </a:cubicBezTo>
                <a:lnTo>
                  <a:pt x="1179" y="2068"/>
                </a:lnTo>
                <a:cubicBezTo>
                  <a:pt x="1089" y="2234"/>
                  <a:pt x="1013" y="2408"/>
                  <a:pt x="964" y="2588"/>
                </a:cubicBezTo>
                <a:lnTo>
                  <a:pt x="236" y="2734"/>
                </a:lnTo>
                <a:cubicBezTo>
                  <a:pt x="97" y="2761"/>
                  <a:pt x="0" y="2879"/>
                  <a:pt x="0" y="3018"/>
                </a:cubicBezTo>
                <a:lnTo>
                  <a:pt x="0" y="3413"/>
                </a:lnTo>
                <a:cubicBezTo>
                  <a:pt x="0" y="3552"/>
                  <a:pt x="97" y="3670"/>
                  <a:pt x="236" y="3698"/>
                </a:cubicBezTo>
                <a:lnTo>
                  <a:pt x="964" y="3844"/>
                </a:lnTo>
                <a:cubicBezTo>
                  <a:pt x="1013" y="4024"/>
                  <a:pt x="1089" y="4197"/>
                  <a:pt x="1179" y="4364"/>
                </a:cubicBezTo>
                <a:lnTo>
                  <a:pt x="763" y="4981"/>
                </a:lnTo>
                <a:cubicBezTo>
                  <a:pt x="687" y="5092"/>
                  <a:pt x="701" y="5252"/>
                  <a:pt x="805" y="5349"/>
                </a:cubicBezTo>
                <a:lnTo>
                  <a:pt x="1082" y="5626"/>
                </a:lnTo>
                <a:cubicBezTo>
                  <a:pt x="1139" y="5683"/>
                  <a:pt x="1218" y="5714"/>
                  <a:pt x="1296" y="5714"/>
                </a:cubicBezTo>
                <a:cubicBezTo>
                  <a:pt x="1350" y="5714"/>
                  <a:pt x="1404" y="5699"/>
                  <a:pt x="1450" y="5668"/>
                </a:cubicBezTo>
                <a:lnTo>
                  <a:pt x="2067" y="5252"/>
                </a:lnTo>
                <a:cubicBezTo>
                  <a:pt x="2234" y="5342"/>
                  <a:pt x="2407" y="5418"/>
                  <a:pt x="2587" y="5467"/>
                </a:cubicBezTo>
                <a:lnTo>
                  <a:pt x="2733" y="6195"/>
                </a:lnTo>
                <a:cubicBezTo>
                  <a:pt x="2754" y="6334"/>
                  <a:pt x="2879" y="6431"/>
                  <a:pt x="3017" y="6431"/>
                </a:cubicBezTo>
                <a:lnTo>
                  <a:pt x="3413" y="6431"/>
                </a:lnTo>
                <a:cubicBezTo>
                  <a:pt x="3552" y="6431"/>
                  <a:pt x="3669" y="6334"/>
                  <a:pt x="3697" y="6195"/>
                </a:cubicBezTo>
                <a:lnTo>
                  <a:pt x="3843" y="5467"/>
                </a:lnTo>
                <a:cubicBezTo>
                  <a:pt x="4023" y="5418"/>
                  <a:pt x="4197" y="5342"/>
                  <a:pt x="4356" y="5252"/>
                </a:cubicBezTo>
                <a:lnTo>
                  <a:pt x="4980" y="5668"/>
                </a:lnTo>
                <a:cubicBezTo>
                  <a:pt x="5027" y="5697"/>
                  <a:pt x="5080" y="5711"/>
                  <a:pt x="5134" y="5711"/>
                </a:cubicBezTo>
                <a:cubicBezTo>
                  <a:pt x="5209" y="5711"/>
                  <a:pt x="5284" y="5683"/>
                  <a:pt x="5341" y="5626"/>
                </a:cubicBezTo>
                <a:lnTo>
                  <a:pt x="5625" y="5342"/>
                </a:lnTo>
                <a:cubicBezTo>
                  <a:pt x="5723" y="5245"/>
                  <a:pt x="5736" y="5092"/>
                  <a:pt x="5660" y="4974"/>
                </a:cubicBezTo>
                <a:lnTo>
                  <a:pt x="5251" y="4357"/>
                </a:lnTo>
                <a:cubicBezTo>
                  <a:pt x="5341" y="4190"/>
                  <a:pt x="5410" y="4024"/>
                  <a:pt x="5466" y="3844"/>
                </a:cubicBezTo>
                <a:lnTo>
                  <a:pt x="6194" y="3698"/>
                </a:lnTo>
                <a:cubicBezTo>
                  <a:pt x="6326" y="3670"/>
                  <a:pt x="6423" y="3552"/>
                  <a:pt x="6423" y="3413"/>
                </a:cubicBezTo>
                <a:lnTo>
                  <a:pt x="6423" y="3018"/>
                </a:lnTo>
                <a:cubicBezTo>
                  <a:pt x="6423" y="2879"/>
                  <a:pt x="6333" y="2761"/>
                  <a:pt x="6194" y="2734"/>
                </a:cubicBezTo>
                <a:lnTo>
                  <a:pt x="5466" y="2588"/>
                </a:lnTo>
                <a:cubicBezTo>
                  <a:pt x="5417" y="2408"/>
                  <a:pt x="5348" y="2234"/>
                  <a:pt x="5251" y="2068"/>
                </a:cubicBezTo>
                <a:lnTo>
                  <a:pt x="5667" y="1451"/>
                </a:lnTo>
                <a:cubicBezTo>
                  <a:pt x="5743" y="1340"/>
                  <a:pt x="5729" y="1180"/>
                  <a:pt x="5632" y="1083"/>
                </a:cubicBezTo>
                <a:lnTo>
                  <a:pt x="5348" y="805"/>
                </a:lnTo>
                <a:cubicBezTo>
                  <a:pt x="5291" y="748"/>
                  <a:pt x="5214" y="718"/>
                  <a:pt x="5137" y="718"/>
                </a:cubicBezTo>
                <a:cubicBezTo>
                  <a:pt x="5083" y="718"/>
                  <a:pt x="5029" y="733"/>
                  <a:pt x="4980" y="764"/>
                </a:cubicBezTo>
                <a:lnTo>
                  <a:pt x="4363" y="1180"/>
                </a:lnTo>
                <a:cubicBezTo>
                  <a:pt x="4197" y="1090"/>
                  <a:pt x="4030" y="1014"/>
                  <a:pt x="3850" y="965"/>
                </a:cubicBezTo>
                <a:lnTo>
                  <a:pt x="3704" y="237"/>
                </a:lnTo>
                <a:cubicBezTo>
                  <a:pt x="3676" y="98"/>
                  <a:pt x="3558" y="1"/>
                  <a:pt x="3420"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 name="Google Shape;6708;p64">
            <a:extLst>
              <a:ext uri="{FF2B5EF4-FFF2-40B4-BE49-F238E27FC236}">
                <a16:creationId xmlns:a16="http://schemas.microsoft.com/office/drawing/2014/main" id="{E6B00809-D949-41E4-9F22-19E36042DF88}"/>
              </a:ext>
            </a:extLst>
          </xdr:cNvPr>
          <xdr:cNvSpPr/>
        </xdr:nvSpPr>
        <xdr:spPr>
          <a:xfrm>
            <a:off x="2705180" y="2990910"/>
            <a:ext cx="98601" cy="84466"/>
          </a:xfrm>
          <a:custGeom>
            <a:avLst/>
            <a:gdLst/>
            <a:ahLst/>
            <a:cxnLst/>
            <a:rect l="l" t="t" r="r" b="b"/>
            <a:pathLst>
              <a:path w="3753" h="3215" extrusionOk="0">
                <a:moveTo>
                  <a:pt x="2144" y="0"/>
                </a:moveTo>
                <a:cubicBezTo>
                  <a:pt x="715" y="0"/>
                  <a:pt x="0" y="1727"/>
                  <a:pt x="1013" y="2740"/>
                </a:cubicBezTo>
                <a:cubicBezTo>
                  <a:pt x="1341" y="3068"/>
                  <a:pt x="1743" y="3215"/>
                  <a:pt x="2138" y="3215"/>
                </a:cubicBezTo>
                <a:cubicBezTo>
                  <a:pt x="2963" y="3215"/>
                  <a:pt x="3753" y="2573"/>
                  <a:pt x="3753" y="1602"/>
                </a:cubicBezTo>
                <a:cubicBezTo>
                  <a:pt x="3753" y="721"/>
                  <a:pt x="3031" y="0"/>
                  <a:pt x="2144" y="0"/>
                </a:cubicBezTo>
                <a:close/>
              </a:path>
            </a:pathLst>
          </a:custGeom>
          <a:solidFill>
            <a:srgbClr val="BAC2CA"/>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 name="Google Shape;6709;p64">
            <a:extLst>
              <a:ext uri="{FF2B5EF4-FFF2-40B4-BE49-F238E27FC236}">
                <a16:creationId xmlns:a16="http://schemas.microsoft.com/office/drawing/2014/main" id="{FE1B5E96-0894-4403-A969-355EA50B80B2}"/>
              </a:ext>
            </a:extLst>
          </xdr:cNvPr>
          <xdr:cNvSpPr/>
        </xdr:nvSpPr>
        <xdr:spPr>
          <a:xfrm>
            <a:off x="2727774" y="3007856"/>
            <a:ext cx="59061" cy="50601"/>
          </a:xfrm>
          <a:custGeom>
            <a:avLst/>
            <a:gdLst/>
            <a:ahLst/>
            <a:cxnLst/>
            <a:rect l="l" t="t" r="r" b="b"/>
            <a:pathLst>
              <a:path w="2248" h="1926" extrusionOk="0">
                <a:moveTo>
                  <a:pt x="1284" y="0"/>
                </a:moveTo>
                <a:cubicBezTo>
                  <a:pt x="430" y="0"/>
                  <a:pt x="0" y="1034"/>
                  <a:pt x="604" y="1644"/>
                </a:cubicBezTo>
                <a:cubicBezTo>
                  <a:pt x="801" y="1839"/>
                  <a:pt x="1041" y="1926"/>
                  <a:pt x="1277" y="1926"/>
                </a:cubicBezTo>
                <a:cubicBezTo>
                  <a:pt x="1773" y="1926"/>
                  <a:pt x="2248" y="1540"/>
                  <a:pt x="2248" y="957"/>
                </a:cubicBezTo>
                <a:cubicBezTo>
                  <a:pt x="2248" y="430"/>
                  <a:pt x="1818" y="0"/>
                  <a:pt x="1284" y="0"/>
                </a:cubicBezTo>
                <a:close/>
              </a:path>
            </a:pathLst>
          </a:custGeom>
          <a:solidFill>
            <a:schemeClr val="bg1">
              <a:lumMod val="50000"/>
            </a:schemeClr>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editAs="oneCell">
    <xdr:from>
      <xdr:col>1</xdr:col>
      <xdr:colOff>657225</xdr:colOff>
      <xdr:row>1</xdr:row>
      <xdr:rowOff>0</xdr:rowOff>
    </xdr:from>
    <xdr:to>
      <xdr:col>1</xdr:col>
      <xdr:colOff>1190625</xdr:colOff>
      <xdr:row>3</xdr:row>
      <xdr:rowOff>159308</xdr:rowOff>
    </xdr:to>
    <xdr:pic>
      <xdr:nvPicPr>
        <xdr:cNvPr id="2" name="Imagen 4">
          <a:extLst>
            <a:ext uri="{FF2B5EF4-FFF2-40B4-BE49-F238E27FC236}">
              <a16:creationId xmlns:a16="http://schemas.microsoft.com/office/drawing/2014/main" id="{A717D3CA-0607-4F20-B71A-3AE6DB9E2F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3025" y="95250"/>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866775</xdr:colOff>
      <xdr:row>0</xdr:row>
      <xdr:rowOff>66675</xdr:rowOff>
    </xdr:from>
    <xdr:to>
      <xdr:col>1</xdr:col>
      <xdr:colOff>1400175</xdr:colOff>
      <xdr:row>3</xdr:row>
      <xdr:rowOff>156133</xdr:rowOff>
    </xdr:to>
    <xdr:pic>
      <xdr:nvPicPr>
        <xdr:cNvPr id="2" name="Imagen 4">
          <a:extLst>
            <a:ext uri="{FF2B5EF4-FFF2-40B4-BE49-F238E27FC236}">
              <a16:creationId xmlns:a16="http://schemas.microsoft.com/office/drawing/2014/main" id="{D0C39065-34D1-428B-8040-82A4986F52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6667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lidad ETITC" id="{0CC1AFD7-F2B4-4C19-A5FE-A0839748E464}" userId="S::calidad@itc.edu.co::5f6678ce-6f95-4cba-9a3f-7a65f87216f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AF4852-25AA-4EC0-BA9A-D8EC1A651492}" name="Criterios" displayName="Criterios" ref="A1:B14" totalsRowShown="0">
  <autoFilter ref="A1:B14" xr:uid="{B2AF4852-25AA-4EC0-BA9A-D8EC1A651492}"/>
  <tableColumns count="2">
    <tableColumn id="1" xr3:uid="{DD89DC2E-2661-45C2-B689-DCF22974CBDC}" name="Criterios_Impacto"/>
    <tableColumn id="2" xr3:uid="{43AE9E82-3F6B-4945-A788-0E0C2F144D59}" name="Calificació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9" dataDxfId="38">
  <autoFilter ref="B209:C219" xr:uid="{00000000-0009-0000-0100-000001000000}"/>
  <tableColumns count="2">
    <tableColumn id="1" xr3:uid="{00000000-0010-0000-0000-000001000000}" name="Criterios" dataDxfId="37"/>
    <tableColumn id="2" xr3:uid="{00000000-0010-0000-0000-000002000000}" name="Subcriterios" dataDxfId="36"/>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3" dT="2026-05-05T18:23:33.08" personId="{0CC1AFD7-F2B4-4C19-A5FE-A0839748E464}" id="{31DE014E-1502-4058-AF14-D12B122223C2}">
    <text>Para el riesgo Fiscal, solo aplica IMPACTO ECONÓMICO</text>
  </threadedComment>
  <threadedComment ref="G13" dT="2026-05-05T16:05:30.86" personId="{0CC1AFD7-F2B4-4C19-A5FE-A0839748E464}" id="{7319F458-F751-4993-B913-0ED035E30CF3}">
    <text>Aplica para Riesgo FISCAL</text>
  </threadedComment>
  <threadedComment ref="AU13" dT="2026-05-04T15:28:03.86" personId="{0CC1AFD7-F2B4-4C19-A5FE-A0839748E464}" id="{1816B48D-01BB-448B-AFCC-2FEDB756BA42}">
    <text xml:space="preserve">Se realiza una descripción breve de lo ejecutado en el periodo. Así como las desviaciones presentadas en la aplicación del control. </text>
  </threadedComment>
  <threadedComment ref="AV13" dT="2026-05-04T15:29:01.83" personId="{0CC1AFD7-F2B4-4C19-A5FE-A0839748E464}" id="{8ADAA9EE-5890-4480-85AE-C33717331CF8}">
    <text>Se debe describir los soportes de la ejecución del control y punto de uso de la información. Ejemplo (enlaces de carpetas)</text>
  </threadedComment>
  <threadedComment ref="AW13" dT="2026-05-04T15:28:03.86" personId="{0CC1AFD7-F2B4-4C19-A5FE-A0839748E464}" id="{975DE72D-945A-4BAE-A64E-E42069A0D1CB}">
    <text>Se realiza una descripción breve de lo ejecutado en el periodo</text>
  </threadedComment>
  <threadedComment ref="AX13" dT="2026-05-04T15:29:01.83" personId="{0CC1AFD7-F2B4-4C19-A5FE-A0839748E464}" id="{837D0758-B511-4B9B-885F-44B15625A2B0}">
    <text>Se debe describir los soportes de la ejecución del control y punto de uso de la información. Ejemplo (enlaces de carpetas)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www.etitc.edu.co/archives/modelomediciongruposminciencias24.pdf" TargetMode="External"/><Relationship Id="rId7" Type="http://schemas.openxmlformats.org/officeDocument/2006/relationships/comments" Target="../comments1.xml"/><Relationship Id="rId2" Type="http://schemas.openxmlformats.org/officeDocument/2006/relationships/hyperlink" Target="https://www.etitc.edu.co/archives/modelomediciongruposminciencias24.pdf" TargetMode="External"/><Relationship Id="rId1" Type="http://schemas.openxmlformats.org/officeDocument/2006/relationships/hyperlink" Target="https://www.etitc.edu.co/archives/modelomediciongruposminciencias24.pdf" TargetMode="External"/><Relationship Id="rId6" Type="http://schemas.openxmlformats.org/officeDocument/2006/relationships/vmlDrawing" Target="../drawings/vmlDrawing1.vml"/><Relationship Id="rId5" Type="http://schemas.openxmlformats.org/officeDocument/2006/relationships/drawing" Target="../drawings/drawing3.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31"/>
  <sheetViews>
    <sheetView showGridLines="0" topLeftCell="A5" zoomScale="120" zoomScaleNormal="120" workbookViewId="0">
      <selection activeCell="G11" sqref="G11:K18"/>
    </sheetView>
  </sheetViews>
  <sheetFormatPr baseColWidth="10" defaultColWidth="11.5" defaultRowHeight="15"/>
  <cols>
    <col min="1" max="1" width="17.5" customWidth="1"/>
    <col min="2" max="2" width="9.6640625" customWidth="1"/>
    <col min="4" max="4" width="72.33203125" customWidth="1"/>
    <col min="5" max="6" width="11" customWidth="1"/>
    <col min="7" max="7" width="11.5" style="138"/>
    <col min="8" max="8" width="11.5" style="15"/>
  </cols>
  <sheetData>
    <row r="1" spans="1:8" ht="16" thickBot="1"/>
    <row r="2" spans="1:8" ht="19.5" customHeight="1">
      <c r="B2" s="282" t="s">
        <v>0</v>
      </c>
      <c r="C2" s="283"/>
      <c r="D2" s="270" t="s">
        <v>7</v>
      </c>
      <c r="E2" s="292" t="s">
        <v>8</v>
      </c>
      <c r="F2" s="293"/>
    </row>
    <row r="3" spans="1:8" ht="19.5" customHeight="1">
      <c r="B3" s="284"/>
      <c r="C3" s="285"/>
      <c r="D3" s="271"/>
      <c r="E3" s="294" t="s">
        <v>3</v>
      </c>
      <c r="F3" s="295"/>
    </row>
    <row r="4" spans="1:8" ht="19.5" customHeight="1">
      <c r="B4" s="284"/>
      <c r="C4" s="285"/>
      <c r="D4" s="271"/>
      <c r="E4" s="294" t="s">
        <v>4</v>
      </c>
      <c r="F4" s="295"/>
    </row>
    <row r="5" spans="1:8" ht="19.5" customHeight="1" thickBot="1">
      <c r="A5" t="s">
        <v>9</v>
      </c>
      <c r="B5" s="286"/>
      <c r="C5" s="287"/>
      <c r="D5" s="272"/>
      <c r="E5" s="296" t="s">
        <v>5</v>
      </c>
      <c r="F5" s="297"/>
    </row>
    <row r="6" spans="1:8" ht="16" thickBot="1"/>
    <row r="7" spans="1:8">
      <c r="B7" s="273" t="s">
        <v>10</v>
      </c>
      <c r="C7" s="276" t="s">
        <v>11</v>
      </c>
      <c r="D7" s="277"/>
      <c r="E7" s="288" t="s">
        <v>12</v>
      </c>
      <c r="F7" s="289"/>
    </row>
    <row r="8" spans="1:8" ht="16" thickBot="1">
      <c r="B8" s="274"/>
      <c r="C8" s="278"/>
      <c r="D8" s="279"/>
      <c r="E8" s="290"/>
      <c r="F8" s="291"/>
      <c r="H8" s="148"/>
    </row>
    <row r="9" spans="1:8" ht="16" thickBot="1">
      <c r="B9" s="275"/>
      <c r="C9" s="280" t="s">
        <v>13</v>
      </c>
      <c r="D9" s="281"/>
      <c r="E9" s="145" t="s">
        <v>14</v>
      </c>
      <c r="F9" s="145" t="s">
        <v>15</v>
      </c>
      <c r="H9" s="148"/>
    </row>
    <row r="10" spans="1:8" ht="16" thickBot="1">
      <c r="B10" s="144">
        <v>1</v>
      </c>
      <c r="C10" s="265" t="s">
        <v>16</v>
      </c>
      <c r="D10" s="266"/>
      <c r="E10" s="140" t="s">
        <v>277</v>
      </c>
      <c r="F10" s="141"/>
      <c r="H10" s="148"/>
    </row>
    <row r="11" spans="1:8" ht="16" thickBot="1">
      <c r="B11" s="144">
        <v>2</v>
      </c>
      <c r="C11" s="265" t="s">
        <v>17</v>
      </c>
      <c r="D11" s="266" t="s">
        <v>17</v>
      </c>
      <c r="E11" s="140" t="s">
        <v>277</v>
      </c>
      <c r="F11" s="141"/>
      <c r="H11" s="149"/>
    </row>
    <row r="12" spans="1:8" ht="16" thickBot="1">
      <c r="B12" s="144">
        <v>3</v>
      </c>
      <c r="C12" s="265" t="s">
        <v>18</v>
      </c>
      <c r="D12" s="266" t="s">
        <v>18</v>
      </c>
      <c r="E12" s="140" t="s">
        <v>277</v>
      </c>
      <c r="F12" s="141"/>
    </row>
    <row r="13" spans="1:8" ht="16" thickBot="1">
      <c r="B13" s="144">
        <v>4</v>
      </c>
      <c r="C13" s="265" t="s">
        <v>19</v>
      </c>
      <c r="D13" s="266" t="s">
        <v>20</v>
      </c>
      <c r="E13" s="140" t="s">
        <v>277</v>
      </c>
      <c r="F13" s="141"/>
    </row>
    <row r="14" spans="1:8" ht="16" thickBot="1">
      <c r="B14" s="144">
        <v>5</v>
      </c>
      <c r="C14" s="265" t="s">
        <v>21</v>
      </c>
      <c r="D14" s="266" t="s">
        <v>21</v>
      </c>
      <c r="E14" s="140" t="s">
        <v>277</v>
      </c>
      <c r="F14" s="141"/>
    </row>
    <row r="15" spans="1:8" ht="16" thickBot="1">
      <c r="B15" s="144">
        <v>6</v>
      </c>
      <c r="C15" s="265" t="s">
        <v>22</v>
      </c>
      <c r="D15" s="266" t="s">
        <v>22</v>
      </c>
      <c r="E15" s="140" t="s">
        <v>277</v>
      </c>
      <c r="F15" s="141"/>
    </row>
    <row r="16" spans="1:8" ht="16" thickBot="1">
      <c r="B16" s="144">
        <v>7</v>
      </c>
      <c r="C16" s="265" t="s">
        <v>23</v>
      </c>
      <c r="D16" s="266" t="s">
        <v>23</v>
      </c>
      <c r="E16" s="140"/>
      <c r="F16" s="141" t="s">
        <v>277</v>
      </c>
    </row>
    <row r="17" spans="1:7" ht="28.5" customHeight="1" thickBot="1">
      <c r="B17" s="144">
        <v>8</v>
      </c>
      <c r="C17" s="265" t="s">
        <v>24</v>
      </c>
      <c r="D17" s="266" t="s">
        <v>24</v>
      </c>
      <c r="E17" s="140"/>
      <c r="F17" s="141" t="s">
        <v>277</v>
      </c>
    </row>
    <row r="18" spans="1:7" ht="18.75" customHeight="1" thickBot="1">
      <c r="B18" s="144">
        <v>9</v>
      </c>
      <c r="C18" s="265" t="s">
        <v>25</v>
      </c>
      <c r="D18" s="266" t="s">
        <v>25</v>
      </c>
      <c r="E18" s="140"/>
      <c r="F18" s="141" t="s">
        <v>277</v>
      </c>
    </row>
    <row r="19" spans="1:7" ht="16" thickBot="1">
      <c r="B19" s="144">
        <v>10</v>
      </c>
      <c r="C19" s="265" t="s">
        <v>26</v>
      </c>
      <c r="D19" s="266" t="s">
        <v>26</v>
      </c>
      <c r="E19" s="140" t="s">
        <v>277</v>
      </c>
      <c r="F19" s="141"/>
    </row>
    <row r="20" spans="1:7" ht="16" thickBot="1">
      <c r="B20" s="144">
        <v>11</v>
      </c>
      <c r="C20" s="265" t="s">
        <v>27</v>
      </c>
      <c r="D20" s="266" t="s">
        <v>27</v>
      </c>
      <c r="E20" s="140" t="s">
        <v>277</v>
      </c>
      <c r="F20" s="141"/>
    </row>
    <row r="21" spans="1:7" ht="16" thickBot="1">
      <c r="B21" s="144">
        <v>12</v>
      </c>
      <c r="C21" s="265" t="s">
        <v>28</v>
      </c>
      <c r="D21" s="266" t="s">
        <v>28</v>
      </c>
      <c r="E21" s="140" t="s">
        <v>277</v>
      </c>
      <c r="F21" s="141"/>
    </row>
    <row r="22" spans="1:7" ht="16" thickBot="1">
      <c r="B22" s="144">
        <v>13</v>
      </c>
      <c r="C22" s="265" t="s">
        <v>29</v>
      </c>
      <c r="D22" s="266" t="s">
        <v>29</v>
      </c>
      <c r="E22" s="140" t="s">
        <v>277</v>
      </c>
      <c r="F22" s="141"/>
    </row>
    <row r="23" spans="1:7" ht="16" thickBot="1">
      <c r="B23" s="144">
        <v>14</v>
      </c>
      <c r="C23" s="265" t="s">
        <v>30</v>
      </c>
      <c r="D23" s="266" t="s">
        <v>30</v>
      </c>
      <c r="E23" s="140" t="s">
        <v>277</v>
      </c>
      <c r="F23" s="141"/>
    </row>
    <row r="24" spans="1:7" ht="16" thickBot="1">
      <c r="B24" s="144">
        <v>15</v>
      </c>
      <c r="C24" s="265" t="s">
        <v>31</v>
      </c>
      <c r="D24" s="266" t="s">
        <v>31</v>
      </c>
      <c r="E24" s="140" t="s">
        <v>277</v>
      </c>
      <c r="F24" s="141"/>
    </row>
    <row r="25" spans="1:7" ht="16" thickBot="1">
      <c r="B25" s="144">
        <v>16</v>
      </c>
      <c r="C25" s="265" t="s">
        <v>32</v>
      </c>
      <c r="D25" s="266" t="s">
        <v>32</v>
      </c>
      <c r="E25" s="140"/>
      <c r="F25" s="141" t="s">
        <v>277</v>
      </c>
    </row>
    <row r="26" spans="1:7" ht="16" thickBot="1">
      <c r="B26" s="144">
        <v>17</v>
      </c>
      <c r="C26" s="265" t="s">
        <v>33</v>
      </c>
      <c r="D26" s="266" t="s">
        <v>33</v>
      </c>
      <c r="E26" s="140"/>
      <c r="F26" s="141" t="s">
        <v>277</v>
      </c>
    </row>
    <row r="27" spans="1:7" ht="16" thickBot="1">
      <c r="B27" s="144">
        <v>18</v>
      </c>
      <c r="C27" s="265" t="s">
        <v>34</v>
      </c>
      <c r="D27" s="266" t="s">
        <v>34</v>
      </c>
      <c r="E27" s="140" t="s">
        <v>277</v>
      </c>
      <c r="F27" s="141"/>
    </row>
    <row r="28" spans="1:7" ht="16" thickBot="1">
      <c r="B28" s="144">
        <v>19</v>
      </c>
      <c r="C28" s="265" t="s">
        <v>35</v>
      </c>
      <c r="D28" s="266" t="s">
        <v>35</v>
      </c>
      <c r="E28" s="140"/>
      <c r="F28" s="141" t="s">
        <v>277</v>
      </c>
    </row>
    <row r="29" spans="1:7">
      <c r="C29" s="139"/>
      <c r="D29" s="139"/>
      <c r="E29" s="147">
        <f>COUNTIF(E10:E28,"x")</f>
        <v>13</v>
      </c>
      <c r="F29" s="147">
        <f>COUNTIF(F10:F28,"x")</f>
        <v>6</v>
      </c>
      <c r="G29" s="146" t="str">
        <f>IF(E29=0,"",IF(E29&lt;=5,"Moderado",IF(E29&lt;=11,"Mayor",IF(E29&lt;=19,"Catastrófico",""))))</f>
        <v>Catastrófico</v>
      </c>
    </row>
    <row r="30" spans="1:7">
      <c r="C30" s="137"/>
      <c r="D30" s="137"/>
      <c r="E30" s="137"/>
      <c r="F30" s="137"/>
    </row>
    <row r="31" spans="1:7" ht="66" customHeight="1">
      <c r="A31" s="267" t="s">
        <v>36</v>
      </c>
      <c r="B31" s="268"/>
      <c r="C31" s="268"/>
      <c r="D31" s="268"/>
      <c r="E31" s="268"/>
      <c r="F31" s="269"/>
    </row>
  </sheetData>
  <mergeCells count="30">
    <mergeCell ref="A31:F31"/>
    <mergeCell ref="C12:D12"/>
    <mergeCell ref="D2:D5"/>
    <mergeCell ref="B7:B9"/>
    <mergeCell ref="C7:D8"/>
    <mergeCell ref="C9:D9"/>
    <mergeCell ref="C11:D11"/>
    <mergeCell ref="B2:C5"/>
    <mergeCell ref="C10:D10"/>
    <mergeCell ref="E7:F8"/>
    <mergeCell ref="E2:F2"/>
    <mergeCell ref="E3:F3"/>
    <mergeCell ref="E4:F4"/>
    <mergeCell ref="E5:F5"/>
    <mergeCell ref="C16:D16"/>
    <mergeCell ref="C13:D13"/>
    <mergeCell ref="C14:D14"/>
    <mergeCell ref="C28:D28"/>
    <mergeCell ref="C17:D17"/>
    <mergeCell ref="C18:D18"/>
    <mergeCell ref="C19:D19"/>
    <mergeCell ref="C20:D20"/>
    <mergeCell ref="C21:D21"/>
    <mergeCell ref="C22:D22"/>
    <mergeCell ref="C23:D23"/>
    <mergeCell ref="C24:D24"/>
    <mergeCell ref="C25:D25"/>
    <mergeCell ref="C26:D26"/>
    <mergeCell ref="C27:D27"/>
    <mergeCell ref="C15:D15"/>
  </mergeCells>
  <conditionalFormatting sqref="G29">
    <cfRule type="cellIs" dxfId="35" priority="1" stopIfTrue="1" operator="equal">
      <formula>"Catastrófico"</formula>
    </cfRule>
    <cfRule type="cellIs" dxfId="34" priority="2" stopIfTrue="1" operator="equal">
      <formula>"Moderado"</formula>
    </cfRule>
    <cfRule type="cellIs" dxfId="33" priority="3" stopIfTrue="1" operator="equal">
      <formula>"Mayor"</formula>
    </cfRule>
  </conditionalFormatting>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Intructivo!$J$2</xm:f>
          </x14:formula1>
          <xm:sqref>E10:F28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26783C"/>
    <pageSetUpPr fitToPage="1"/>
  </sheetPr>
  <dimension ref="A1:F25"/>
  <sheetViews>
    <sheetView workbookViewId="0">
      <selection activeCell="G7" sqref="G7"/>
    </sheetView>
  </sheetViews>
  <sheetFormatPr baseColWidth="10" defaultColWidth="11.5" defaultRowHeight="15"/>
  <cols>
    <col min="1" max="1" width="10.33203125" style="116" customWidth="1"/>
    <col min="2" max="2" width="32.5" style="116" customWidth="1"/>
    <col min="3" max="3" width="77" style="116" customWidth="1"/>
    <col min="4" max="4" width="21" style="116" customWidth="1"/>
    <col min="5" max="5" width="23.6640625" style="116" customWidth="1"/>
    <col min="6" max="16384" width="11.5" style="116"/>
  </cols>
  <sheetData>
    <row r="1" spans="1:6" ht="8" customHeight="1"/>
    <row r="2" spans="1:6" ht="15.75" customHeight="1">
      <c r="B2" s="617" t="s">
        <v>267</v>
      </c>
      <c r="C2" s="620" t="s">
        <v>1</v>
      </c>
      <c r="D2" s="300"/>
      <c r="E2" s="194" t="s">
        <v>2</v>
      </c>
      <c r="F2" s="117"/>
    </row>
    <row r="3" spans="1:6" ht="15.75" customHeight="1">
      <c r="B3" s="618"/>
      <c r="C3" s="621"/>
      <c r="D3" s="303"/>
      <c r="E3" s="195" t="s">
        <v>3</v>
      </c>
      <c r="F3" s="117"/>
    </row>
    <row r="4" spans="1:6" ht="16.5" customHeight="1">
      <c r="B4" s="618"/>
      <c r="C4" s="621"/>
      <c r="D4" s="303"/>
      <c r="E4" s="195" t="s">
        <v>4</v>
      </c>
      <c r="F4" s="117"/>
    </row>
    <row r="5" spans="1:6" ht="15" customHeight="1">
      <c r="B5" s="619"/>
      <c r="C5" s="622"/>
      <c r="D5" s="306"/>
      <c r="E5" s="196" t="s">
        <v>5</v>
      </c>
      <c r="F5" s="117"/>
    </row>
    <row r="7" spans="1:6">
      <c r="A7" s="623" t="s">
        <v>9</v>
      </c>
      <c r="B7" s="134" t="s">
        <v>268</v>
      </c>
      <c r="C7" s="135" t="s">
        <v>269</v>
      </c>
      <c r="D7" s="135" t="s">
        <v>270</v>
      </c>
      <c r="E7" s="135" t="s">
        <v>271</v>
      </c>
    </row>
    <row r="8" spans="1:6" ht="30">
      <c r="A8" s="623"/>
      <c r="B8" s="118">
        <v>45687</v>
      </c>
      <c r="C8" s="191" t="s">
        <v>272</v>
      </c>
      <c r="D8" s="120" t="s">
        <v>273</v>
      </c>
      <c r="E8" s="120" t="s">
        <v>274</v>
      </c>
    </row>
    <row r="9" spans="1:6" ht="161.5" customHeight="1">
      <c r="A9" s="623"/>
      <c r="B9" s="118">
        <v>45777</v>
      </c>
      <c r="C9" s="191" t="s">
        <v>275</v>
      </c>
      <c r="D9" s="120" t="s">
        <v>273</v>
      </c>
      <c r="E9" s="120" t="s">
        <v>274</v>
      </c>
    </row>
    <row r="10" spans="1:6">
      <c r="A10" s="623"/>
      <c r="B10" s="118"/>
      <c r="C10" s="119"/>
      <c r="D10" s="120"/>
      <c r="E10" s="120"/>
    </row>
    <row r="11" spans="1:6">
      <c r="A11" s="623"/>
      <c r="B11" s="118"/>
      <c r="C11" s="119"/>
      <c r="D11" s="120"/>
      <c r="E11" s="120"/>
    </row>
    <row r="12" spans="1:6">
      <c r="A12" s="623"/>
      <c r="B12" s="118"/>
      <c r="C12" s="119"/>
      <c r="D12" s="120"/>
      <c r="E12" s="120"/>
    </row>
    <row r="13" spans="1:6">
      <c r="A13" s="136"/>
      <c r="B13" s="118"/>
      <c r="C13" s="119"/>
      <c r="D13" s="120"/>
      <c r="E13" s="120"/>
    </row>
    <row r="14" spans="1:6">
      <c r="A14" s="136"/>
      <c r="B14" s="118"/>
      <c r="C14" s="119"/>
      <c r="D14" s="120"/>
      <c r="E14" s="120"/>
    </row>
    <row r="15" spans="1:6">
      <c r="A15" s="136"/>
      <c r="B15" s="118"/>
      <c r="C15" s="119"/>
      <c r="D15" s="120"/>
      <c r="E15" s="120"/>
    </row>
    <row r="16" spans="1:6">
      <c r="A16" s="136"/>
      <c r="B16" s="118"/>
      <c r="C16" s="119"/>
      <c r="D16" s="120"/>
      <c r="E16" s="120"/>
    </row>
    <row r="17" spans="1:5">
      <c r="A17" s="136"/>
      <c r="B17" s="118"/>
      <c r="C17" s="119"/>
      <c r="D17" s="120"/>
      <c r="E17" s="120"/>
    </row>
    <row r="18" spans="1:5">
      <c r="A18" s="136"/>
      <c r="B18" s="118"/>
      <c r="C18" s="119"/>
      <c r="D18" s="120"/>
      <c r="E18" s="120"/>
    </row>
    <row r="19" spans="1:5">
      <c r="B19" s="118"/>
      <c r="C19" s="121"/>
      <c r="D19" s="120"/>
      <c r="E19" s="120"/>
    </row>
    <row r="20" spans="1:5">
      <c r="B20" s="118"/>
      <c r="C20" s="119"/>
      <c r="D20" s="120"/>
      <c r="E20" s="120"/>
    </row>
    <row r="25" spans="1:5">
      <c r="C25" s="122"/>
    </row>
  </sheetData>
  <mergeCells count="3">
    <mergeCell ref="B2:B5"/>
    <mergeCell ref="C2:D5"/>
    <mergeCell ref="A7:A12"/>
  </mergeCells>
  <pageMargins left="0.7" right="0.7" top="0.75" bottom="0.75" header="0.3" footer="0.3"/>
  <pageSetup scale="6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
  <sheetViews>
    <sheetView workbookViewId="0">
      <selection activeCell="C28" sqref="C28"/>
    </sheetView>
  </sheetViews>
  <sheetFormatPr baseColWidth="10" defaultColWidth="11.5"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J45"/>
  <sheetViews>
    <sheetView topLeftCell="A2" zoomScale="80" zoomScaleNormal="80" workbookViewId="0">
      <selection activeCell="G11" sqref="G11:K18"/>
    </sheetView>
  </sheetViews>
  <sheetFormatPr baseColWidth="10" defaultColWidth="11.5" defaultRowHeight="15"/>
  <cols>
    <col min="1" max="1" width="2.6640625" style="68" customWidth="1"/>
    <col min="2" max="3" width="24.6640625" style="68" customWidth="1"/>
    <col min="4" max="4" width="16" style="68" customWidth="1"/>
    <col min="5" max="5" width="24.6640625" style="68" customWidth="1"/>
    <col min="6" max="6" width="27.6640625" style="68" customWidth="1"/>
    <col min="7" max="8" width="24.6640625" style="68" customWidth="1"/>
    <col min="9" max="10" width="11.5" style="142"/>
    <col min="11" max="16384" width="11.5" style="68"/>
  </cols>
  <sheetData>
    <row r="1" spans="2:10" ht="16" thickBot="1"/>
    <row r="2" spans="2:10" ht="18" customHeight="1">
      <c r="B2" s="624" t="s">
        <v>276</v>
      </c>
      <c r="C2" s="625"/>
      <c r="D2" s="625"/>
      <c r="E2" s="625"/>
      <c r="F2" s="625"/>
      <c r="G2" s="625"/>
      <c r="H2" s="626"/>
      <c r="J2" s="143" t="s">
        <v>277</v>
      </c>
    </row>
    <row r="3" spans="2:10" ht="20">
      <c r="B3" s="69"/>
      <c r="C3" s="70"/>
      <c r="D3" s="70"/>
      <c r="E3" s="70"/>
      <c r="F3" s="70"/>
      <c r="G3" s="70"/>
      <c r="H3" s="71"/>
      <c r="J3" s="143"/>
    </row>
    <row r="4" spans="2:10" ht="63" customHeight="1">
      <c r="B4" s="627" t="s">
        <v>278</v>
      </c>
      <c r="C4" s="628"/>
      <c r="D4" s="628"/>
      <c r="E4" s="628"/>
      <c r="F4" s="628"/>
      <c r="G4" s="628"/>
      <c r="H4" s="629"/>
    </row>
    <row r="5" spans="2:10" ht="63" customHeight="1">
      <c r="B5" s="630"/>
      <c r="C5" s="631"/>
      <c r="D5" s="631"/>
      <c r="E5" s="631"/>
      <c r="F5" s="631"/>
      <c r="G5" s="631"/>
      <c r="H5" s="632"/>
    </row>
    <row r="6" spans="2:10">
      <c r="B6" s="633" t="s">
        <v>279</v>
      </c>
      <c r="C6" s="634"/>
      <c r="D6" s="634"/>
      <c r="E6" s="634"/>
      <c r="F6" s="634"/>
      <c r="G6" s="634"/>
      <c r="H6" s="635"/>
    </row>
    <row r="7" spans="2:10" ht="95.25" customHeight="1">
      <c r="B7" s="643" t="s">
        <v>280</v>
      </c>
      <c r="C7" s="644"/>
      <c r="D7" s="644"/>
      <c r="E7" s="644"/>
      <c r="F7" s="644"/>
      <c r="G7" s="644"/>
      <c r="H7" s="645"/>
    </row>
    <row r="8" spans="2:10">
      <c r="B8" s="101"/>
      <c r="C8" s="102"/>
      <c r="D8" s="102"/>
      <c r="E8" s="102"/>
      <c r="F8" s="102"/>
      <c r="G8" s="102"/>
      <c r="H8" s="103"/>
    </row>
    <row r="9" spans="2:10" ht="16.5" customHeight="1">
      <c r="B9" s="636" t="s">
        <v>281</v>
      </c>
      <c r="C9" s="637"/>
      <c r="D9" s="637"/>
      <c r="E9" s="637"/>
      <c r="F9" s="637"/>
      <c r="G9" s="637"/>
      <c r="H9" s="638"/>
    </row>
    <row r="10" spans="2:10" ht="44.25" customHeight="1">
      <c r="B10" s="636"/>
      <c r="C10" s="637"/>
      <c r="D10" s="637"/>
      <c r="E10" s="637"/>
      <c r="F10" s="637"/>
      <c r="G10" s="637"/>
      <c r="H10" s="638"/>
    </row>
    <row r="11" spans="2:10" ht="16" thickBot="1">
      <c r="B11" s="90"/>
      <c r="C11" s="93"/>
      <c r="D11" s="98"/>
      <c r="E11" s="99"/>
      <c r="F11" s="99"/>
      <c r="G11" s="100"/>
      <c r="H11" s="94"/>
    </row>
    <row r="12" spans="2:10" ht="16" thickTop="1">
      <c r="B12" s="90"/>
      <c r="C12" s="639" t="s">
        <v>282</v>
      </c>
      <c r="D12" s="640"/>
      <c r="E12" s="641" t="s">
        <v>283</v>
      </c>
      <c r="F12" s="642"/>
      <c r="G12" s="93"/>
      <c r="H12" s="94"/>
    </row>
    <row r="13" spans="2:10" ht="35.25" customHeight="1">
      <c r="B13" s="90"/>
      <c r="C13" s="646" t="s">
        <v>284</v>
      </c>
      <c r="D13" s="647"/>
      <c r="E13" s="648" t="s">
        <v>285</v>
      </c>
      <c r="F13" s="649"/>
      <c r="G13" s="93"/>
      <c r="H13" s="94"/>
    </row>
    <row r="14" spans="2:10" ht="17.25" customHeight="1">
      <c r="B14" s="90"/>
      <c r="C14" s="646" t="s">
        <v>286</v>
      </c>
      <c r="D14" s="647"/>
      <c r="E14" s="648" t="s">
        <v>287</v>
      </c>
      <c r="F14" s="649"/>
      <c r="G14" s="93"/>
      <c r="H14" s="94"/>
    </row>
    <row r="15" spans="2:10" ht="19.5" customHeight="1">
      <c r="B15" s="90"/>
      <c r="C15" s="646" t="s">
        <v>288</v>
      </c>
      <c r="D15" s="647"/>
      <c r="E15" s="648" t="s">
        <v>289</v>
      </c>
      <c r="F15" s="649"/>
      <c r="G15" s="93"/>
      <c r="H15" s="94"/>
    </row>
    <row r="16" spans="2:10" ht="69.75" customHeight="1">
      <c r="B16" s="90"/>
      <c r="C16" s="646" t="s">
        <v>290</v>
      </c>
      <c r="D16" s="647"/>
      <c r="E16" s="648" t="s">
        <v>291</v>
      </c>
      <c r="F16" s="649"/>
      <c r="G16" s="93"/>
      <c r="H16" s="94"/>
    </row>
    <row r="17" spans="2:8" ht="34.5" customHeight="1">
      <c r="B17" s="90"/>
      <c r="C17" s="650" t="s">
        <v>56</v>
      </c>
      <c r="D17" s="651"/>
      <c r="E17" s="652" t="s">
        <v>292</v>
      </c>
      <c r="F17" s="653"/>
      <c r="G17" s="93"/>
      <c r="H17" s="94"/>
    </row>
    <row r="18" spans="2:8" ht="27.75" customHeight="1">
      <c r="B18" s="90"/>
      <c r="C18" s="650" t="s">
        <v>293</v>
      </c>
      <c r="D18" s="651"/>
      <c r="E18" s="652" t="s">
        <v>294</v>
      </c>
      <c r="F18" s="653"/>
      <c r="G18" s="93"/>
      <c r="H18" s="94"/>
    </row>
    <row r="19" spans="2:8" ht="28.5" customHeight="1">
      <c r="B19" s="90"/>
      <c r="C19" s="650" t="s">
        <v>295</v>
      </c>
      <c r="D19" s="651"/>
      <c r="E19" s="652" t="s">
        <v>296</v>
      </c>
      <c r="F19" s="653"/>
      <c r="G19" s="93"/>
      <c r="H19" s="94"/>
    </row>
    <row r="20" spans="2:8" ht="72.75" customHeight="1">
      <c r="B20" s="90"/>
      <c r="C20" s="650" t="s">
        <v>297</v>
      </c>
      <c r="D20" s="651"/>
      <c r="E20" s="652" t="s">
        <v>298</v>
      </c>
      <c r="F20" s="653"/>
      <c r="G20" s="93"/>
      <c r="H20" s="94"/>
    </row>
    <row r="21" spans="2:8" ht="64.5" customHeight="1">
      <c r="B21" s="90"/>
      <c r="C21" s="650" t="s">
        <v>61</v>
      </c>
      <c r="D21" s="651"/>
      <c r="E21" s="652" t="s">
        <v>299</v>
      </c>
      <c r="F21" s="653"/>
      <c r="G21" s="93"/>
      <c r="H21" s="94"/>
    </row>
    <row r="22" spans="2:8" ht="71.25" customHeight="1">
      <c r="B22" s="90"/>
      <c r="C22" s="650" t="s">
        <v>300</v>
      </c>
      <c r="D22" s="651"/>
      <c r="E22" s="652" t="s">
        <v>301</v>
      </c>
      <c r="F22" s="653"/>
      <c r="G22" s="93"/>
      <c r="H22" s="94"/>
    </row>
    <row r="23" spans="2:8" ht="55.5" customHeight="1">
      <c r="B23" s="90"/>
      <c r="C23" s="657" t="s">
        <v>302</v>
      </c>
      <c r="D23" s="658"/>
      <c r="E23" s="652" t="s">
        <v>303</v>
      </c>
      <c r="F23" s="653"/>
      <c r="G23" s="93"/>
      <c r="H23" s="94"/>
    </row>
    <row r="24" spans="2:8" ht="42" customHeight="1">
      <c r="B24" s="90"/>
      <c r="C24" s="657" t="s">
        <v>68</v>
      </c>
      <c r="D24" s="658"/>
      <c r="E24" s="652" t="s">
        <v>304</v>
      </c>
      <c r="F24" s="653"/>
      <c r="G24" s="93"/>
      <c r="H24" s="94"/>
    </row>
    <row r="25" spans="2:8" ht="59.25" customHeight="1">
      <c r="B25" s="90"/>
      <c r="C25" s="657" t="s">
        <v>305</v>
      </c>
      <c r="D25" s="658"/>
      <c r="E25" s="652" t="s">
        <v>306</v>
      </c>
      <c r="F25" s="653"/>
      <c r="G25" s="93"/>
      <c r="H25" s="94"/>
    </row>
    <row r="26" spans="2:8" ht="23.25" customHeight="1">
      <c r="B26" s="90"/>
      <c r="C26" s="657" t="s">
        <v>72</v>
      </c>
      <c r="D26" s="658"/>
      <c r="E26" s="652" t="s">
        <v>307</v>
      </c>
      <c r="F26" s="653"/>
      <c r="G26" s="93"/>
      <c r="H26" s="94"/>
    </row>
    <row r="27" spans="2:8" ht="30.75" customHeight="1">
      <c r="B27" s="90"/>
      <c r="C27" s="657" t="s">
        <v>308</v>
      </c>
      <c r="D27" s="658"/>
      <c r="E27" s="652" t="s">
        <v>309</v>
      </c>
      <c r="F27" s="653"/>
      <c r="G27" s="93"/>
      <c r="H27" s="94"/>
    </row>
    <row r="28" spans="2:8" ht="35.25" customHeight="1">
      <c r="B28" s="90"/>
      <c r="C28" s="657" t="s">
        <v>310</v>
      </c>
      <c r="D28" s="658"/>
      <c r="E28" s="652" t="s">
        <v>311</v>
      </c>
      <c r="F28" s="653"/>
      <c r="G28" s="93"/>
      <c r="H28" s="94"/>
    </row>
    <row r="29" spans="2:8" ht="33" customHeight="1">
      <c r="B29" s="90"/>
      <c r="C29" s="657" t="s">
        <v>310</v>
      </c>
      <c r="D29" s="658"/>
      <c r="E29" s="652" t="s">
        <v>311</v>
      </c>
      <c r="F29" s="653"/>
      <c r="G29" s="93"/>
      <c r="H29" s="94"/>
    </row>
    <row r="30" spans="2:8" ht="30" customHeight="1">
      <c r="B30" s="90"/>
      <c r="C30" s="657" t="s">
        <v>312</v>
      </c>
      <c r="D30" s="658"/>
      <c r="E30" s="652" t="s">
        <v>313</v>
      </c>
      <c r="F30" s="653"/>
      <c r="G30" s="93"/>
      <c r="H30" s="94"/>
    </row>
    <row r="31" spans="2:8" ht="35.25" customHeight="1">
      <c r="B31" s="90"/>
      <c r="C31" s="657" t="s">
        <v>314</v>
      </c>
      <c r="D31" s="658"/>
      <c r="E31" s="652" t="s">
        <v>315</v>
      </c>
      <c r="F31" s="653"/>
      <c r="G31" s="93"/>
      <c r="H31" s="94"/>
    </row>
    <row r="32" spans="2:8" ht="31.5" customHeight="1">
      <c r="B32" s="90"/>
      <c r="C32" s="657" t="s">
        <v>316</v>
      </c>
      <c r="D32" s="658"/>
      <c r="E32" s="652" t="s">
        <v>317</v>
      </c>
      <c r="F32" s="653"/>
      <c r="G32" s="93"/>
      <c r="H32" s="94"/>
    </row>
    <row r="33" spans="2:8" ht="35.25" customHeight="1">
      <c r="B33" s="90"/>
      <c r="C33" s="657" t="s">
        <v>318</v>
      </c>
      <c r="D33" s="658"/>
      <c r="E33" s="652" t="s">
        <v>319</v>
      </c>
      <c r="F33" s="653"/>
      <c r="G33" s="93"/>
      <c r="H33" s="94"/>
    </row>
    <row r="34" spans="2:8" ht="59.25" customHeight="1">
      <c r="B34" s="90"/>
      <c r="C34" s="657" t="s">
        <v>320</v>
      </c>
      <c r="D34" s="658"/>
      <c r="E34" s="652" t="s">
        <v>321</v>
      </c>
      <c r="F34" s="653"/>
      <c r="G34" s="93"/>
      <c r="H34" s="94"/>
    </row>
    <row r="35" spans="2:8" ht="29.25" customHeight="1">
      <c r="B35" s="90"/>
      <c r="C35" s="657" t="s">
        <v>78</v>
      </c>
      <c r="D35" s="658"/>
      <c r="E35" s="652" t="s">
        <v>322</v>
      </c>
      <c r="F35" s="653"/>
      <c r="G35" s="93"/>
      <c r="H35" s="94"/>
    </row>
    <row r="36" spans="2:8" ht="82.5" customHeight="1">
      <c r="B36" s="90"/>
      <c r="C36" s="657" t="s">
        <v>323</v>
      </c>
      <c r="D36" s="658"/>
      <c r="E36" s="652" t="s">
        <v>324</v>
      </c>
      <c r="F36" s="653"/>
      <c r="G36" s="93"/>
      <c r="H36" s="94"/>
    </row>
    <row r="37" spans="2:8" ht="46.5" customHeight="1">
      <c r="B37" s="90"/>
      <c r="C37" s="657" t="s">
        <v>325</v>
      </c>
      <c r="D37" s="658"/>
      <c r="E37" s="652" t="s">
        <v>326</v>
      </c>
      <c r="F37" s="653"/>
      <c r="G37" s="93"/>
      <c r="H37" s="94"/>
    </row>
    <row r="38" spans="2:8" ht="6.75" customHeight="1" thickBot="1">
      <c r="B38" s="90"/>
      <c r="C38" s="659"/>
      <c r="D38" s="660"/>
      <c r="E38" s="661"/>
      <c r="F38" s="662"/>
      <c r="G38" s="93"/>
      <c r="H38" s="94"/>
    </row>
    <row r="39" spans="2:8" ht="16" thickTop="1">
      <c r="B39" s="90"/>
      <c r="C39" s="91"/>
      <c r="D39" s="91"/>
      <c r="E39" s="92"/>
      <c r="F39" s="92"/>
      <c r="G39" s="93"/>
      <c r="H39" s="94"/>
    </row>
    <row r="40" spans="2:8" ht="21" customHeight="1">
      <c r="B40" s="654" t="s">
        <v>327</v>
      </c>
      <c r="C40" s="655"/>
      <c r="D40" s="655"/>
      <c r="E40" s="655"/>
      <c r="F40" s="655"/>
      <c r="G40" s="655"/>
      <c r="H40" s="656"/>
    </row>
    <row r="41" spans="2:8" ht="20.25" customHeight="1">
      <c r="B41" s="654" t="s">
        <v>328</v>
      </c>
      <c r="C41" s="655"/>
      <c r="D41" s="655"/>
      <c r="E41" s="655"/>
      <c r="F41" s="655"/>
      <c r="G41" s="655"/>
      <c r="H41" s="656"/>
    </row>
    <row r="42" spans="2:8" ht="20.25" customHeight="1">
      <c r="B42" s="654" t="s">
        <v>329</v>
      </c>
      <c r="C42" s="655"/>
      <c r="D42" s="655"/>
      <c r="E42" s="655"/>
      <c r="F42" s="655"/>
      <c r="G42" s="655"/>
      <c r="H42" s="656"/>
    </row>
    <row r="43" spans="2:8" ht="20.25" customHeight="1">
      <c r="B43" s="654" t="s">
        <v>330</v>
      </c>
      <c r="C43" s="655"/>
      <c r="D43" s="655"/>
      <c r="E43" s="655"/>
      <c r="F43" s="655"/>
      <c r="G43" s="655"/>
      <c r="H43" s="656"/>
    </row>
    <row r="44" spans="2:8" ht="15" customHeight="1">
      <c r="B44" s="654" t="s">
        <v>331</v>
      </c>
      <c r="C44" s="655"/>
      <c r="D44" s="655"/>
      <c r="E44" s="655"/>
      <c r="F44" s="655"/>
      <c r="G44" s="655"/>
      <c r="H44" s="656"/>
    </row>
    <row r="45" spans="2:8" ht="16" thickBot="1">
      <c r="B45" s="95"/>
      <c r="C45" s="96"/>
      <c r="D45" s="96"/>
      <c r="E45" s="96"/>
      <c r="F45" s="96"/>
      <c r="G45" s="96"/>
      <c r="H45" s="97"/>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
  <sheetViews>
    <sheetView workbookViewId="0">
      <selection activeCell="A2" sqref="A2"/>
    </sheetView>
  </sheetViews>
  <sheetFormatPr baseColWidth="10" defaultColWidth="11.5" defaultRowHeight="1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D9"/>
  <sheetViews>
    <sheetView workbookViewId="0">
      <selection activeCell="K15" sqref="K15"/>
    </sheetView>
  </sheetViews>
  <sheetFormatPr baseColWidth="10" defaultColWidth="11.5" defaultRowHeight="15"/>
  <sheetData>
    <row r="1" spans="1:4">
      <c r="A1" t="s">
        <v>332</v>
      </c>
      <c r="B1" t="s">
        <v>58</v>
      </c>
      <c r="C1" t="s">
        <v>139</v>
      </c>
      <c r="D1" t="s">
        <v>140</v>
      </c>
    </row>
    <row r="2" spans="1:4">
      <c r="A2" t="s">
        <v>333</v>
      </c>
      <c r="B2" t="s">
        <v>146</v>
      </c>
      <c r="C2" t="s">
        <v>176</v>
      </c>
      <c r="D2" t="s">
        <v>149</v>
      </c>
    </row>
    <row r="3" spans="1:4">
      <c r="A3" t="s">
        <v>99</v>
      </c>
      <c r="B3" t="s">
        <v>160</v>
      </c>
      <c r="C3" t="s">
        <v>334</v>
      </c>
      <c r="D3" t="s">
        <v>163</v>
      </c>
    </row>
    <row r="4" spans="1:4">
      <c r="A4" t="s">
        <v>335</v>
      </c>
      <c r="B4" t="s">
        <v>174</v>
      </c>
      <c r="C4" t="s">
        <v>184</v>
      </c>
      <c r="D4" t="s">
        <v>177</v>
      </c>
    </row>
    <row r="5" spans="1:4">
      <c r="A5" t="s">
        <v>160</v>
      </c>
      <c r="B5" t="s">
        <v>182</v>
      </c>
      <c r="C5" t="s">
        <v>336</v>
      </c>
      <c r="D5" t="s">
        <v>102</v>
      </c>
    </row>
    <row r="6" spans="1:4">
      <c r="A6" t="s">
        <v>142</v>
      </c>
      <c r="B6" t="s">
        <v>187</v>
      </c>
      <c r="C6" t="s">
        <v>102</v>
      </c>
    </row>
    <row r="7" spans="1:4">
      <c r="A7" t="s">
        <v>337</v>
      </c>
      <c r="B7" t="s">
        <v>191</v>
      </c>
    </row>
    <row r="8" spans="1:4">
      <c r="A8" t="s">
        <v>338</v>
      </c>
    </row>
    <row r="9" spans="1:4">
      <c r="A9" t="s">
        <v>339</v>
      </c>
    </row>
  </sheetData>
  <sheetProtection algorithmName="SHA-512" hashValue="v7i/xahZG2C7t5BslLITKnVU2aeqZ2qUUc7D3ggQN7269OWOf4ZVULOvpishKqJW79vwiv5Gp2BFg470cY4dqQ==" saltValue="yCXLobWCYjK/kLc7JEpQf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
  <sheetViews>
    <sheetView workbookViewId="0"/>
  </sheetViews>
  <sheetFormatPr baseColWidth="10" defaultColWidth="11.5" defaultRowHeight="1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L27"/>
  <sheetViews>
    <sheetView showGridLines="0" view="pageBreakPreview" zoomScaleNormal="100" zoomScaleSheetLayoutView="100" workbookViewId="0">
      <selection activeCell="G11" sqref="G11:K18"/>
    </sheetView>
  </sheetViews>
  <sheetFormatPr baseColWidth="10" defaultColWidth="11.5" defaultRowHeight="15"/>
  <cols>
    <col min="1" max="1" width="2.5" style="68" customWidth="1"/>
    <col min="2" max="2" width="33.33203125" style="68" customWidth="1"/>
    <col min="3" max="4" width="11.5" style="68"/>
    <col min="5" max="5" width="5.6640625" style="68" customWidth="1"/>
    <col min="6" max="6" width="16.33203125" style="68" customWidth="1"/>
    <col min="7" max="7" width="11.5" style="68"/>
    <col min="8" max="8" width="13.6640625" style="68" customWidth="1"/>
    <col min="9" max="9" width="14.33203125" style="68" customWidth="1"/>
    <col min="10" max="10" width="14.6640625" style="68" customWidth="1"/>
    <col min="11" max="11" width="7.5" style="68" customWidth="1"/>
    <col min="12" max="12" width="2.33203125" style="68" customWidth="1"/>
    <col min="13" max="16384" width="11.5" style="68"/>
  </cols>
  <sheetData>
    <row r="1" spans="2:11" ht="6" customHeight="1" thickBot="1"/>
    <row r="2" spans="2:11" ht="15" customHeight="1">
      <c r="B2" s="663" t="s">
        <v>247</v>
      </c>
      <c r="C2" s="666" t="s">
        <v>1</v>
      </c>
      <c r="D2" s="667"/>
      <c r="E2" s="667"/>
      <c r="F2" s="667"/>
      <c r="G2" s="667"/>
      <c r="H2" s="667"/>
      <c r="I2" s="667"/>
      <c r="J2" s="292" t="s">
        <v>248</v>
      </c>
      <c r="K2" s="293"/>
    </row>
    <row r="3" spans="2:11" ht="15" customHeight="1">
      <c r="B3" s="664"/>
      <c r="C3" s="668"/>
      <c r="D3" s="669"/>
      <c r="E3" s="669"/>
      <c r="F3" s="669"/>
      <c r="G3" s="669"/>
      <c r="H3" s="669"/>
      <c r="I3" s="669"/>
      <c r="J3" s="294" t="s">
        <v>340</v>
      </c>
      <c r="K3" s="295"/>
    </row>
    <row r="4" spans="2:11" ht="15" customHeight="1">
      <c r="B4" s="664"/>
      <c r="C4" s="668"/>
      <c r="D4" s="669"/>
      <c r="E4" s="669"/>
      <c r="F4" s="669"/>
      <c r="G4" s="669"/>
      <c r="H4" s="669"/>
      <c r="I4" s="669"/>
      <c r="J4" s="294" t="s">
        <v>249</v>
      </c>
      <c r="K4" s="295" t="s">
        <v>249</v>
      </c>
    </row>
    <row r="5" spans="2:11" ht="15" customHeight="1" thickBot="1">
      <c r="B5" s="665"/>
      <c r="C5" s="670"/>
      <c r="D5" s="671"/>
      <c r="E5" s="671"/>
      <c r="F5" s="671"/>
      <c r="G5" s="671"/>
      <c r="H5" s="671"/>
      <c r="I5" s="671"/>
      <c r="J5" s="296" t="s">
        <v>5</v>
      </c>
      <c r="K5" s="297" t="s">
        <v>5</v>
      </c>
    </row>
    <row r="6" spans="2:11" ht="16" thickBot="1"/>
    <row r="7" spans="2:11" customFormat="1" ht="16" thickBot="1">
      <c r="B7" s="672" t="s">
        <v>268</v>
      </c>
      <c r="C7" s="673"/>
      <c r="D7" s="674" t="s">
        <v>341</v>
      </c>
      <c r="E7" s="675"/>
      <c r="F7" s="674" t="s">
        <v>342</v>
      </c>
      <c r="G7" s="676"/>
      <c r="H7" s="676"/>
      <c r="I7" s="676"/>
      <c r="J7" s="676"/>
      <c r="K7" s="677"/>
    </row>
    <row r="8" spans="2:11" customFormat="1" ht="18" customHeight="1" thickBot="1">
      <c r="B8" s="678"/>
      <c r="C8" s="679"/>
      <c r="D8" s="680">
        <v>1</v>
      </c>
      <c r="E8" s="681"/>
      <c r="F8" s="682"/>
      <c r="G8" s="682"/>
      <c r="H8" s="682"/>
      <c r="I8" s="682"/>
      <c r="J8" s="682"/>
      <c r="K8" s="683"/>
    </row>
    <row r="9" spans="2:11" customFormat="1" ht="18" customHeight="1" thickBot="1">
      <c r="B9" s="678"/>
      <c r="C9" s="679"/>
      <c r="D9" s="680">
        <v>2</v>
      </c>
      <c r="E9" s="681"/>
      <c r="F9" s="682"/>
      <c r="G9" s="682"/>
      <c r="H9" s="682"/>
      <c r="I9" s="682"/>
      <c r="J9" s="682"/>
      <c r="K9" s="683"/>
    </row>
    <row r="10" spans="2:11" customFormat="1" ht="18" customHeight="1" thickBot="1">
      <c r="B10" s="678"/>
      <c r="C10" s="679"/>
      <c r="D10" s="680">
        <v>3</v>
      </c>
      <c r="E10" s="681"/>
      <c r="F10" s="682"/>
      <c r="G10" s="682"/>
      <c r="H10" s="682"/>
      <c r="I10" s="682"/>
      <c r="J10" s="682"/>
      <c r="K10" s="683"/>
    </row>
    <row r="11" spans="2:11" customFormat="1" ht="18" customHeight="1" thickBot="1">
      <c r="B11" s="678"/>
      <c r="C11" s="679"/>
      <c r="D11" s="680">
        <v>4</v>
      </c>
      <c r="E11" s="681"/>
      <c r="F11" s="682"/>
      <c r="G11" s="682"/>
      <c r="H11" s="682"/>
      <c r="I11" s="682"/>
      <c r="J11" s="682"/>
      <c r="K11" s="683"/>
    </row>
    <row r="12" spans="2:11" customFormat="1" ht="18" customHeight="1" thickBot="1">
      <c r="B12" s="678"/>
      <c r="C12" s="679"/>
      <c r="D12" s="680">
        <v>5</v>
      </c>
      <c r="E12" s="681"/>
      <c r="F12" s="682"/>
      <c r="G12" s="682"/>
      <c r="H12" s="682"/>
      <c r="I12" s="682"/>
      <c r="J12" s="682"/>
      <c r="K12" s="683"/>
    </row>
    <row r="13" spans="2:11" customFormat="1" ht="18" customHeight="1" thickBot="1">
      <c r="B13" s="678"/>
      <c r="C13" s="679"/>
      <c r="D13" s="680">
        <v>6</v>
      </c>
      <c r="E13" s="681"/>
      <c r="F13" s="682"/>
      <c r="G13" s="682"/>
      <c r="H13" s="682"/>
      <c r="I13" s="682"/>
      <c r="J13" s="682"/>
      <c r="K13" s="683"/>
    </row>
    <row r="14" spans="2:11" customFormat="1" ht="18" customHeight="1" thickBot="1">
      <c r="B14" s="678"/>
      <c r="C14" s="679"/>
      <c r="D14" s="680">
        <v>7</v>
      </c>
      <c r="E14" s="681"/>
      <c r="F14" s="682"/>
      <c r="G14" s="682"/>
      <c r="H14" s="682"/>
      <c r="I14" s="682"/>
      <c r="J14" s="682"/>
      <c r="K14" s="683"/>
    </row>
    <row r="15" spans="2:11" customFormat="1" ht="18" customHeight="1">
      <c r="B15" s="678">
        <v>45352</v>
      </c>
      <c r="C15" s="679"/>
      <c r="D15" s="680">
        <v>8</v>
      </c>
      <c r="E15" s="681"/>
      <c r="F15" s="682" t="s">
        <v>343</v>
      </c>
      <c r="G15" s="682"/>
      <c r="H15" s="682"/>
      <c r="I15" s="682"/>
      <c r="J15" s="682"/>
      <c r="K15" s="683"/>
    </row>
    <row r="16" spans="2:11" customFormat="1" ht="150.75" customHeight="1">
      <c r="B16" s="678" t="s">
        <v>344</v>
      </c>
      <c r="C16" s="679"/>
      <c r="D16" s="680">
        <v>9</v>
      </c>
      <c r="E16" s="681"/>
      <c r="F16" s="682" t="s">
        <v>345</v>
      </c>
      <c r="G16" s="682"/>
      <c r="H16" s="682"/>
      <c r="I16" s="682"/>
      <c r="J16" s="682"/>
      <c r="K16" s="683"/>
    </row>
    <row r="17" spans="2:12" customFormat="1" ht="15.75" customHeight="1">
      <c r="B17" s="684"/>
      <c r="C17" s="684"/>
      <c r="D17" s="684"/>
      <c r="E17" s="684"/>
      <c r="F17" s="684"/>
      <c r="G17" s="684"/>
      <c r="H17" s="684"/>
      <c r="I17" s="684"/>
      <c r="J17" s="684"/>
      <c r="K17" s="684"/>
    </row>
    <row r="18" spans="2:12" customFormat="1" ht="15.75" customHeight="1" thickBot="1">
      <c r="B18" s="685" t="s">
        <v>346</v>
      </c>
      <c r="C18" s="686"/>
      <c r="D18" s="686"/>
      <c r="E18" s="687"/>
      <c r="F18" s="688" t="s">
        <v>347</v>
      </c>
      <c r="G18" s="689"/>
      <c r="H18" s="690"/>
      <c r="I18" s="691" t="s">
        <v>348</v>
      </c>
      <c r="J18" s="692"/>
      <c r="K18" s="687"/>
    </row>
    <row r="19" spans="2:12" customFormat="1" ht="27" customHeight="1">
      <c r="B19" s="693"/>
      <c r="C19" s="694"/>
      <c r="D19" s="694"/>
      <c r="E19" s="694"/>
      <c r="F19" s="694"/>
      <c r="G19" s="694"/>
      <c r="H19" s="694"/>
      <c r="I19" s="695"/>
      <c r="J19" s="695"/>
      <c r="K19" s="696"/>
    </row>
    <row r="20" spans="2:12" customFormat="1" ht="15" customHeight="1">
      <c r="B20" s="698" t="s">
        <v>349</v>
      </c>
      <c r="C20" s="699"/>
      <c r="D20" s="699"/>
      <c r="E20" s="699"/>
      <c r="F20" s="700" t="s">
        <v>350</v>
      </c>
      <c r="G20" s="700"/>
      <c r="H20" s="701"/>
      <c r="I20" s="700" t="s">
        <v>350</v>
      </c>
      <c r="J20" s="700"/>
      <c r="K20" s="701"/>
    </row>
    <row r="21" spans="2:12" customFormat="1" ht="22.5" customHeight="1" thickBot="1">
      <c r="B21" s="702" t="s">
        <v>351</v>
      </c>
      <c r="C21" s="703"/>
      <c r="D21" s="703"/>
      <c r="E21" s="703"/>
      <c r="F21" s="703" t="s">
        <v>352</v>
      </c>
      <c r="G21" s="703"/>
      <c r="H21" s="704"/>
      <c r="I21" s="703" t="s">
        <v>352</v>
      </c>
      <c r="J21" s="703"/>
      <c r="K21" s="704"/>
    </row>
    <row r="22" spans="2:12" customFormat="1" ht="9" customHeight="1" thickBot="1">
      <c r="B22" s="705"/>
      <c r="C22" s="705"/>
      <c r="D22" s="705"/>
      <c r="E22" s="705"/>
      <c r="F22" s="705"/>
      <c r="G22" s="705"/>
      <c r="H22" s="705"/>
      <c r="I22" s="705"/>
      <c r="J22" s="705"/>
      <c r="K22" s="705"/>
    </row>
    <row r="23" spans="2:12" customFormat="1" ht="16" thickBot="1">
      <c r="B23" s="706" t="s">
        <v>106</v>
      </c>
      <c r="C23" s="707"/>
      <c r="D23" s="708"/>
      <c r="E23" s="123" t="s">
        <v>107</v>
      </c>
      <c r="F23" s="706" t="s">
        <v>108</v>
      </c>
      <c r="G23" s="708"/>
      <c r="H23" s="124" t="s">
        <v>109</v>
      </c>
      <c r="I23" s="706" t="s">
        <v>110</v>
      </c>
      <c r="J23" s="708"/>
      <c r="K23" s="125">
        <v>1</v>
      </c>
    </row>
    <row r="24" spans="2:12" ht="8.25" customHeight="1"/>
    <row r="25" spans="2:12">
      <c r="B25" s="697" t="s">
        <v>353</v>
      </c>
      <c r="C25" s="697"/>
      <c r="D25" s="697"/>
      <c r="E25" s="697"/>
      <c r="F25" s="697"/>
      <c r="G25" s="697"/>
      <c r="H25" s="697"/>
      <c r="I25" s="697"/>
      <c r="J25" s="697"/>
      <c r="K25" s="697"/>
      <c r="L25" s="697"/>
    </row>
    <row r="26" spans="2:12">
      <c r="B26" s="697" t="s">
        <v>354</v>
      </c>
      <c r="C26" s="697"/>
      <c r="D26" s="697"/>
      <c r="E26" s="697"/>
      <c r="F26" s="697"/>
      <c r="G26" s="697"/>
      <c r="H26" s="697"/>
      <c r="I26" s="697"/>
      <c r="J26" s="697"/>
      <c r="K26" s="697"/>
      <c r="L26" s="697"/>
    </row>
    <row r="27" spans="2:12" ht="9" customHeight="1"/>
  </sheetData>
  <mergeCells count="55">
    <mergeCell ref="B16:C16"/>
    <mergeCell ref="D16:E16"/>
    <mergeCell ref="F16:K16"/>
    <mergeCell ref="F11:K11"/>
    <mergeCell ref="B12:C12"/>
    <mergeCell ref="D12:E12"/>
    <mergeCell ref="F12:K12"/>
    <mergeCell ref="B14:C14"/>
    <mergeCell ref="D14:E14"/>
    <mergeCell ref="F14:K14"/>
    <mergeCell ref="D13:E13"/>
    <mergeCell ref="F13:K13"/>
    <mergeCell ref="B11:C11"/>
    <mergeCell ref="D11:E11"/>
    <mergeCell ref="B26:L26"/>
    <mergeCell ref="B20:E20"/>
    <mergeCell ref="F20:H20"/>
    <mergeCell ref="I20:K20"/>
    <mergeCell ref="B21:E21"/>
    <mergeCell ref="F21:H21"/>
    <mergeCell ref="I21:K21"/>
    <mergeCell ref="B22:K22"/>
    <mergeCell ref="B23:D23"/>
    <mergeCell ref="F23:G23"/>
    <mergeCell ref="I23:J23"/>
    <mergeCell ref="B25:L25"/>
    <mergeCell ref="B17:K17"/>
    <mergeCell ref="B18:E18"/>
    <mergeCell ref="F18:H18"/>
    <mergeCell ref="I18:K18"/>
    <mergeCell ref="B19:E19"/>
    <mergeCell ref="F19:H19"/>
    <mergeCell ref="I19:K19"/>
    <mergeCell ref="B7:C7"/>
    <mergeCell ref="D7:E7"/>
    <mergeCell ref="F7:K7"/>
    <mergeCell ref="B15:C15"/>
    <mergeCell ref="D15:E15"/>
    <mergeCell ref="F15:K15"/>
    <mergeCell ref="B8:C8"/>
    <mergeCell ref="D8:E8"/>
    <mergeCell ref="F8:K8"/>
    <mergeCell ref="B13:C13"/>
    <mergeCell ref="B9:C9"/>
    <mergeCell ref="D9:E9"/>
    <mergeCell ref="F9:K9"/>
    <mergeCell ref="B10:C10"/>
    <mergeCell ref="D10:E10"/>
    <mergeCell ref="F10:K10"/>
    <mergeCell ref="B2:B5"/>
    <mergeCell ref="C2:I5"/>
    <mergeCell ref="J2:K2"/>
    <mergeCell ref="J3:K3"/>
    <mergeCell ref="J4:K4"/>
    <mergeCell ref="J5:K5"/>
  </mergeCells>
  <pageMargins left="0.7" right="0.7" top="0.75" bottom="0.75" header="0.3" footer="0.3"/>
  <pageSetup paperSize="9" scale="60"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B0F0"/>
  </sheetPr>
  <dimension ref="A1:AK55"/>
  <sheetViews>
    <sheetView zoomScale="90" zoomScaleNormal="90" workbookViewId="0">
      <selection activeCell="G11" sqref="G11:K18"/>
    </sheetView>
  </sheetViews>
  <sheetFormatPr baseColWidth="10" defaultColWidth="11.5" defaultRowHeight="15"/>
  <cols>
    <col min="2" max="2" width="24.33203125" customWidth="1"/>
    <col min="3" max="3" width="70.33203125" customWidth="1"/>
    <col min="4" max="4" width="29.6640625" customWidth="1"/>
  </cols>
  <sheetData>
    <row r="1" spans="1:37" ht="23">
      <c r="A1" s="68"/>
      <c r="B1" s="709" t="s">
        <v>355</v>
      </c>
      <c r="C1" s="709"/>
      <c r="D1" s="709"/>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6">
      <c r="A3" s="68"/>
      <c r="B3" s="3"/>
      <c r="C3" s="4" t="s">
        <v>356</v>
      </c>
      <c r="D3" s="4" t="s">
        <v>251</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52">
      <c r="A4" s="68"/>
      <c r="B4" s="5" t="s">
        <v>357</v>
      </c>
      <c r="C4" s="6" t="s">
        <v>358</v>
      </c>
      <c r="D4" s="7">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52">
      <c r="A5" s="68"/>
      <c r="B5" s="8" t="s">
        <v>359</v>
      </c>
      <c r="C5" s="9" t="s">
        <v>360</v>
      </c>
      <c r="D5" s="10">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52">
      <c r="A6" s="68"/>
      <c r="B6" s="11" t="s">
        <v>361</v>
      </c>
      <c r="C6" s="9" t="s">
        <v>362</v>
      </c>
      <c r="D6" s="10">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52">
      <c r="A7" s="68"/>
      <c r="B7" s="12" t="s">
        <v>363</v>
      </c>
      <c r="C7" s="9" t="s">
        <v>364</v>
      </c>
      <c r="D7" s="10">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52">
      <c r="A8" s="68"/>
      <c r="B8" s="13" t="s">
        <v>365</v>
      </c>
      <c r="C8" s="9" t="s">
        <v>366</v>
      </c>
      <c r="D8" s="10">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c r="A9" s="68"/>
      <c r="B9" s="88"/>
      <c r="C9" s="88"/>
      <c r="D9" s="8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c r="A10" s="68"/>
      <c r="B10" s="89"/>
      <c r="C10" s="88"/>
      <c r="D10" s="8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c r="A11" s="68"/>
      <c r="B11" s="88"/>
      <c r="C11" s="88"/>
      <c r="D11" s="8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c r="A12" s="68"/>
      <c r="B12" s="88"/>
      <c r="C12" s="88"/>
      <c r="D12" s="8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c r="A13" s="68"/>
      <c r="B13" s="88"/>
      <c r="C13" s="88"/>
      <c r="D13" s="8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c r="A14" s="68"/>
      <c r="B14" s="88"/>
      <c r="C14" s="88"/>
      <c r="D14" s="8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c r="A15" s="68"/>
      <c r="B15" s="88"/>
      <c r="C15" s="88"/>
      <c r="D15" s="8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c r="A16" s="68"/>
      <c r="B16" s="88"/>
      <c r="C16" s="88"/>
      <c r="D16" s="8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c r="A17" s="68"/>
      <c r="B17" s="88"/>
      <c r="C17" s="88"/>
      <c r="D17" s="8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c r="A18" s="68"/>
      <c r="B18" s="88"/>
      <c r="C18" s="88"/>
      <c r="D18" s="8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c r="A35" s="68"/>
    </row>
    <row r="36" spans="1:31">
      <c r="A36" s="68"/>
    </row>
    <row r="37" spans="1:31">
      <c r="A37" s="68"/>
    </row>
    <row r="38" spans="1:31">
      <c r="A38" s="68"/>
    </row>
    <row r="39" spans="1:31">
      <c r="A39" s="68"/>
    </row>
    <row r="40" spans="1:31">
      <c r="A40" s="68"/>
    </row>
    <row r="41" spans="1:31">
      <c r="A41" s="68"/>
    </row>
    <row r="42" spans="1:31">
      <c r="A42" s="68"/>
    </row>
    <row r="43" spans="1:31">
      <c r="A43" s="68"/>
    </row>
    <row r="44" spans="1:31">
      <c r="A44" s="68"/>
    </row>
    <row r="45" spans="1:31">
      <c r="A45" s="68"/>
    </row>
    <row r="46" spans="1:31">
      <c r="A46" s="68"/>
    </row>
    <row r="47" spans="1:31">
      <c r="A47" s="68"/>
    </row>
    <row r="48" spans="1:31">
      <c r="A48" s="68"/>
    </row>
    <row r="49" spans="1:1">
      <c r="A49" s="68"/>
    </row>
    <row r="50" spans="1:1">
      <c r="A50" s="68"/>
    </row>
    <row r="51" spans="1:1">
      <c r="A51" s="68"/>
    </row>
    <row r="52" spans="1:1">
      <c r="A52" s="68"/>
    </row>
    <row r="53" spans="1:1">
      <c r="A53" s="68"/>
    </row>
    <row r="54" spans="1:1">
      <c r="A54" s="68"/>
    </row>
    <row r="55" spans="1:1">
      <c r="A55" s="68"/>
    </row>
  </sheetData>
  <mergeCells count="1">
    <mergeCell ref="B1:D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6" tint="-0.249977111117893"/>
  </sheetPr>
  <dimension ref="A1:U232"/>
  <sheetViews>
    <sheetView zoomScale="55" zoomScaleNormal="55" workbookViewId="0">
      <selection activeCell="G11" sqref="G11:K18"/>
    </sheetView>
  </sheetViews>
  <sheetFormatPr baseColWidth="10" defaultColWidth="11.5" defaultRowHeight="15"/>
  <cols>
    <col min="2" max="2" width="40.5" customWidth="1"/>
    <col min="3" max="3" width="74.6640625" customWidth="1"/>
    <col min="4" max="4" width="135" bestFit="1" customWidth="1"/>
    <col min="5" max="5" width="144.6640625" bestFit="1" customWidth="1"/>
    <col min="6" max="6" width="136.5" bestFit="1" customWidth="1"/>
  </cols>
  <sheetData>
    <row r="1" spans="1:21" ht="33">
      <c r="A1" s="68"/>
      <c r="B1" s="710" t="s">
        <v>367</v>
      </c>
      <c r="C1" s="710"/>
      <c r="D1" s="710"/>
      <c r="E1" s="68"/>
      <c r="F1" s="68"/>
      <c r="G1" s="68"/>
      <c r="H1" s="68"/>
      <c r="I1" s="68"/>
      <c r="J1" s="68"/>
      <c r="K1" s="68"/>
      <c r="L1" s="68"/>
      <c r="M1" s="68"/>
      <c r="N1" s="68"/>
      <c r="O1" s="68"/>
      <c r="P1" s="68"/>
      <c r="Q1" s="68"/>
      <c r="R1" s="68"/>
      <c r="S1" s="68"/>
      <c r="T1" s="68"/>
      <c r="U1" s="68"/>
    </row>
    <row r="2" spans="1:21">
      <c r="A2" s="68"/>
      <c r="B2" s="68"/>
      <c r="C2" s="68"/>
      <c r="D2" s="68"/>
      <c r="E2" s="68"/>
      <c r="F2" s="68"/>
      <c r="G2" s="68"/>
      <c r="H2" s="68"/>
      <c r="I2" s="68"/>
      <c r="J2" s="68"/>
      <c r="K2" s="68"/>
      <c r="L2" s="68"/>
      <c r="M2" s="68"/>
      <c r="N2" s="68"/>
      <c r="O2" s="68"/>
      <c r="P2" s="68"/>
      <c r="Q2" s="68"/>
      <c r="R2" s="68"/>
      <c r="S2" s="68"/>
      <c r="T2" s="68"/>
      <c r="U2" s="68"/>
    </row>
    <row r="3" spans="1:21" ht="31">
      <c r="A3" s="68"/>
      <c r="B3" s="85"/>
      <c r="C3" s="22" t="s">
        <v>368</v>
      </c>
      <c r="D3" s="22" t="s">
        <v>369</v>
      </c>
      <c r="E3" s="68"/>
      <c r="F3" s="68"/>
      <c r="G3" s="68"/>
      <c r="H3" s="68"/>
      <c r="I3" s="68"/>
      <c r="J3" s="68"/>
      <c r="K3" s="68"/>
      <c r="L3" s="68"/>
      <c r="M3" s="68"/>
      <c r="N3" s="68"/>
      <c r="O3" s="68"/>
      <c r="P3" s="68"/>
      <c r="Q3" s="68"/>
      <c r="R3" s="68"/>
      <c r="S3" s="68"/>
      <c r="T3" s="68"/>
      <c r="U3" s="68"/>
    </row>
    <row r="4" spans="1:21" ht="34">
      <c r="A4" s="84" t="s">
        <v>370</v>
      </c>
      <c r="B4" s="25" t="s">
        <v>371</v>
      </c>
      <c r="C4" s="30" t="s">
        <v>372</v>
      </c>
      <c r="D4" s="23" t="s">
        <v>373</v>
      </c>
      <c r="E4" s="68"/>
      <c r="F4" s="68"/>
      <c r="G4" s="68"/>
      <c r="H4" s="68"/>
      <c r="I4" s="68"/>
      <c r="J4" s="68"/>
      <c r="K4" s="68"/>
      <c r="L4" s="68"/>
      <c r="M4" s="68"/>
      <c r="N4" s="68"/>
      <c r="O4" s="68"/>
      <c r="P4" s="68"/>
      <c r="Q4" s="68"/>
      <c r="R4" s="68"/>
      <c r="S4" s="68"/>
      <c r="T4" s="68"/>
      <c r="U4" s="68"/>
    </row>
    <row r="5" spans="1:21" ht="68">
      <c r="A5" s="84" t="s">
        <v>118</v>
      </c>
      <c r="B5" s="26" t="s">
        <v>374</v>
      </c>
      <c r="C5" s="31" t="s">
        <v>375</v>
      </c>
      <c r="D5" s="24" t="s">
        <v>376</v>
      </c>
      <c r="E5" s="68"/>
      <c r="F5" s="68"/>
      <c r="G5" s="68"/>
      <c r="H5" s="68"/>
      <c r="I5" s="68"/>
      <c r="J5" s="68"/>
      <c r="K5" s="68"/>
      <c r="L5" s="68"/>
      <c r="M5" s="68"/>
      <c r="N5" s="68"/>
      <c r="O5" s="68"/>
      <c r="P5" s="68"/>
      <c r="Q5" s="68"/>
      <c r="R5" s="68"/>
      <c r="S5" s="68"/>
      <c r="T5" s="68"/>
      <c r="U5" s="68"/>
    </row>
    <row r="6" spans="1:21" ht="68">
      <c r="A6" s="84" t="s">
        <v>120</v>
      </c>
      <c r="B6" s="27" t="s">
        <v>377</v>
      </c>
      <c r="C6" s="31" t="s">
        <v>378</v>
      </c>
      <c r="D6" s="24" t="s">
        <v>379</v>
      </c>
      <c r="E6" s="68"/>
      <c r="F6" s="68"/>
      <c r="G6" s="68"/>
      <c r="H6" s="68"/>
      <c r="I6" s="68"/>
      <c r="J6" s="68"/>
      <c r="K6" s="68"/>
      <c r="L6" s="68"/>
      <c r="M6" s="68"/>
      <c r="N6" s="68"/>
      <c r="O6" s="68"/>
      <c r="P6" s="68"/>
      <c r="Q6" s="68"/>
      <c r="R6" s="68"/>
      <c r="S6" s="68"/>
      <c r="T6" s="68"/>
      <c r="U6" s="68"/>
    </row>
    <row r="7" spans="1:21" ht="68">
      <c r="A7" s="84" t="s">
        <v>122</v>
      </c>
      <c r="B7" s="28" t="s">
        <v>380</v>
      </c>
      <c r="C7" s="31" t="s">
        <v>381</v>
      </c>
      <c r="D7" s="24" t="s">
        <v>382</v>
      </c>
      <c r="E7" s="68"/>
      <c r="F7" s="68"/>
      <c r="G7" s="68"/>
      <c r="H7" s="68"/>
      <c r="I7" s="68"/>
      <c r="J7" s="68"/>
      <c r="K7" s="68"/>
      <c r="L7" s="68"/>
      <c r="M7" s="68"/>
      <c r="N7" s="68"/>
      <c r="O7" s="68"/>
      <c r="P7" s="68"/>
      <c r="Q7" s="68"/>
      <c r="R7" s="68"/>
      <c r="S7" s="68"/>
      <c r="T7" s="68"/>
      <c r="U7" s="68"/>
    </row>
    <row r="8" spans="1:21" ht="68">
      <c r="A8" s="84" t="s">
        <v>124</v>
      </c>
      <c r="B8" s="29" t="s">
        <v>383</v>
      </c>
      <c r="C8" s="31" t="s">
        <v>384</v>
      </c>
      <c r="D8" s="24" t="s">
        <v>385</v>
      </c>
      <c r="E8" s="68"/>
      <c r="F8" s="68"/>
      <c r="G8" s="68"/>
      <c r="H8" s="68"/>
      <c r="I8" s="68"/>
      <c r="J8" s="68"/>
      <c r="K8" s="68"/>
      <c r="L8" s="68"/>
      <c r="M8" s="68"/>
      <c r="N8" s="68"/>
      <c r="O8" s="68"/>
      <c r="P8" s="68"/>
      <c r="Q8" s="68"/>
      <c r="R8" s="68"/>
      <c r="S8" s="68"/>
      <c r="T8" s="68"/>
      <c r="U8" s="68"/>
    </row>
    <row r="9" spans="1:21" ht="20">
      <c r="A9" s="84"/>
      <c r="B9" s="84"/>
      <c r="C9" s="86"/>
      <c r="D9" s="86"/>
      <c r="E9" s="68"/>
      <c r="F9" s="68"/>
      <c r="G9" s="68"/>
      <c r="H9" s="68"/>
      <c r="I9" s="68"/>
      <c r="J9" s="68"/>
      <c r="K9" s="68"/>
      <c r="L9" s="68"/>
      <c r="M9" s="68"/>
      <c r="N9" s="68"/>
      <c r="O9" s="68"/>
      <c r="P9" s="68"/>
      <c r="Q9" s="68"/>
      <c r="R9" s="68"/>
      <c r="S9" s="68"/>
      <c r="T9" s="68"/>
      <c r="U9" s="68"/>
    </row>
    <row r="10" spans="1:21">
      <c r="A10" s="84"/>
      <c r="B10" s="87"/>
      <c r="C10" s="87"/>
      <c r="D10" s="87"/>
      <c r="E10" s="68"/>
      <c r="F10" s="68"/>
      <c r="G10" s="68"/>
      <c r="H10" s="68"/>
      <c r="I10" s="68"/>
      <c r="J10" s="68"/>
      <c r="K10" s="68"/>
      <c r="L10" s="68"/>
      <c r="M10" s="68"/>
      <c r="N10" s="68"/>
      <c r="O10" s="68"/>
      <c r="P10" s="68"/>
      <c r="Q10" s="68"/>
      <c r="R10" s="68"/>
      <c r="S10" s="68"/>
      <c r="T10" s="68"/>
      <c r="U10" s="68"/>
    </row>
    <row r="11" spans="1:21">
      <c r="A11" s="84"/>
      <c r="B11" s="84" t="s">
        <v>386</v>
      </c>
      <c r="C11" s="84" t="s">
        <v>115</v>
      </c>
      <c r="D11" s="84" t="s">
        <v>125</v>
      </c>
      <c r="E11" s="68"/>
      <c r="F11" s="68"/>
      <c r="G11" s="68"/>
      <c r="H11" s="68"/>
      <c r="I11" s="68"/>
      <c r="J11" s="68"/>
      <c r="K11" s="68"/>
      <c r="L11" s="68"/>
      <c r="M11" s="68"/>
      <c r="N11" s="68"/>
      <c r="O11" s="68"/>
      <c r="P11" s="68"/>
      <c r="Q11" s="68"/>
      <c r="R11" s="68"/>
      <c r="S11" s="68"/>
      <c r="T11" s="68"/>
      <c r="U11" s="68"/>
    </row>
    <row r="12" spans="1:21">
      <c r="A12" s="84"/>
      <c r="B12" s="84" t="s">
        <v>387</v>
      </c>
      <c r="C12" s="84" t="s">
        <v>117</v>
      </c>
      <c r="D12" s="84" t="s">
        <v>126</v>
      </c>
      <c r="E12" s="68"/>
      <c r="F12" s="68"/>
      <c r="G12" s="68"/>
      <c r="H12" s="68"/>
      <c r="I12" s="68"/>
      <c r="J12" s="68"/>
      <c r="K12" s="68"/>
      <c r="L12" s="68"/>
      <c r="M12" s="68"/>
      <c r="N12" s="68"/>
      <c r="O12" s="68"/>
      <c r="P12" s="68"/>
      <c r="Q12" s="68"/>
      <c r="R12" s="68"/>
      <c r="S12" s="68"/>
      <c r="T12" s="68"/>
      <c r="U12" s="68"/>
    </row>
    <row r="13" spans="1:21" ht="18">
      <c r="A13" s="84"/>
      <c r="B13" s="214"/>
      <c r="C13" s="84" t="s">
        <v>119</v>
      </c>
      <c r="D13" s="84" t="s">
        <v>127</v>
      </c>
      <c r="E13" s="68"/>
      <c r="F13" s="68"/>
      <c r="G13" s="68"/>
      <c r="H13" s="68"/>
      <c r="I13" s="68"/>
      <c r="J13" s="68"/>
      <c r="K13" s="68"/>
      <c r="L13" s="68"/>
      <c r="M13" s="68"/>
      <c r="N13" s="68"/>
      <c r="O13" s="68"/>
      <c r="P13" s="68"/>
      <c r="Q13" s="68"/>
      <c r="R13" s="68"/>
      <c r="S13" s="68"/>
      <c r="T13" s="68"/>
      <c r="U13" s="68"/>
    </row>
    <row r="14" spans="1:21">
      <c r="A14" s="84"/>
      <c r="B14" s="84"/>
      <c r="C14" s="84" t="s">
        <v>121</v>
      </c>
      <c r="D14" s="84" t="s">
        <v>128</v>
      </c>
      <c r="E14" s="68"/>
      <c r="F14" s="68"/>
      <c r="G14" s="68"/>
      <c r="H14" s="68"/>
      <c r="I14" s="68"/>
      <c r="J14" s="68"/>
      <c r="K14" s="68"/>
      <c r="L14" s="68"/>
      <c r="M14" s="68"/>
      <c r="N14" s="68"/>
      <c r="O14" s="68"/>
      <c r="P14" s="68"/>
      <c r="Q14" s="68"/>
      <c r="R14" s="68"/>
      <c r="S14" s="68"/>
      <c r="T14" s="68"/>
      <c r="U14" s="68"/>
    </row>
    <row r="15" spans="1:21">
      <c r="A15" s="84"/>
      <c r="B15" s="84"/>
      <c r="C15" s="84" t="s">
        <v>123</v>
      </c>
      <c r="D15" s="84" t="s">
        <v>129</v>
      </c>
      <c r="E15" s="68"/>
      <c r="F15" s="68"/>
      <c r="G15" s="68"/>
      <c r="H15" s="68"/>
      <c r="I15" s="68"/>
      <c r="J15" s="68"/>
      <c r="K15" s="68"/>
      <c r="L15" s="68"/>
      <c r="M15" s="68"/>
      <c r="N15" s="68"/>
      <c r="O15" s="68"/>
      <c r="P15" s="68"/>
      <c r="Q15" s="68"/>
      <c r="R15" s="68"/>
      <c r="S15" s="68"/>
      <c r="T15" s="68"/>
      <c r="U15" s="68"/>
    </row>
    <row r="16" spans="1:21">
      <c r="A16" s="84"/>
      <c r="B16" s="84"/>
      <c r="C16" s="84"/>
      <c r="D16" s="84"/>
      <c r="E16" s="68"/>
      <c r="F16" s="68"/>
      <c r="G16" s="68"/>
      <c r="H16" s="68"/>
      <c r="I16" s="68"/>
      <c r="J16" s="68"/>
      <c r="K16" s="68"/>
      <c r="L16" s="68"/>
      <c r="M16" s="68"/>
      <c r="N16" s="68"/>
      <c r="O16" s="68"/>
    </row>
    <row r="17" spans="1:15">
      <c r="A17" s="84"/>
      <c r="B17" s="84"/>
      <c r="C17" s="84"/>
      <c r="D17" s="84"/>
      <c r="E17" s="68"/>
      <c r="F17" s="68"/>
      <c r="G17" s="68"/>
      <c r="H17" s="68"/>
      <c r="I17" s="68"/>
      <c r="J17" s="68"/>
      <c r="K17" s="68"/>
      <c r="L17" s="68"/>
      <c r="M17" s="68"/>
      <c r="N17" s="68"/>
      <c r="O17" s="68"/>
    </row>
    <row r="18" spans="1:15">
      <c r="A18" s="84"/>
      <c r="B18" s="88"/>
      <c r="C18" s="88"/>
      <c r="D18" s="88"/>
      <c r="E18" s="68"/>
      <c r="F18" s="68"/>
      <c r="G18" s="68"/>
      <c r="H18" s="68"/>
      <c r="I18" s="68"/>
      <c r="J18" s="68"/>
      <c r="K18" s="68"/>
      <c r="L18" s="68"/>
      <c r="M18" s="68"/>
      <c r="N18" s="68"/>
      <c r="O18" s="68"/>
    </row>
    <row r="19" spans="1:15">
      <c r="A19" s="84"/>
      <c r="B19" s="88"/>
      <c r="C19" s="88"/>
      <c r="D19" s="88"/>
      <c r="E19" s="68"/>
      <c r="F19" s="68"/>
      <c r="G19" s="68"/>
      <c r="H19" s="68"/>
      <c r="I19" s="68"/>
      <c r="J19" s="68"/>
      <c r="K19" s="68"/>
      <c r="L19" s="68"/>
      <c r="M19" s="68"/>
      <c r="N19" s="68"/>
      <c r="O19" s="68"/>
    </row>
    <row r="20" spans="1:15">
      <c r="A20" s="84"/>
      <c r="B20" s="88"/>
      <c r="C20" s="88"/>
      <c r="D20" s="88"/>
      <c r="E20" s="68"/>
      <c r="F20" s="68"/>
      <c r="G20" s="68"/>
      <c r="H20" s="68"/>
      <c r="I20" s="68"/>
      <c r="J20" s="68"/>
      <c r="K20" s="68"/>
      <c r="L20" s="68"/>
      <c r="M20" s="68"/>
      <c r="N20" s="68"/>
      <c r="O20" s="68"/>
    </row>
    <row r="21" spans="1:15">
      <c r="A21" s="84"/>
      <c r="B21" s="88"/>
      <c r="C21" s="88"/>
      <c r="D21" s="88"/>
      <c r="E21" s="68"/>
      <c r="F21" s="68"/>
      <c r="G21" s="68"/>
      <c r="H21" s="68"/>
      <c r="I21" s="68"/>
      <c r="J21" s="68"/>
      <c r="K21" s="68"/>
      <c r="L21" s="68"/>
      <c r="M21" s="68"/>
      <c r="N21" s="68"/>
      <c r="O21" s="68"/>
    </row>
    <row r="22" spans="1:15" ht="20">
      <c r="A22" s="84"/>
      <c r="B22" s="84"/>
      <c r="C22" s="86"/>
      <c r="D22" s="86"/>
      <c r="E22" s="68"/>
      <c r="F22" s="68"/>
      <c r="G22" s="68"/>
      <c r="H22" s="68"/>
      <c r="I22" s="68"/>
      <c r="J22" s="68"/>
      <c r="K22" s="68"/>
      <c r="L22" s="68"/>
      <c r="M22" s="68"/>
      <c r="N22" s="68"/>
      <c r="O22" s="68"/>
    </row>
    <row r="23" spans="1:15" ht="20">
      <c r="A23" s="84"/>
      <c r="B23" s="84"/>
      <c r="C23" s="86"/>
      <c r="D23" s="86"/>
      <c r="E23" s="68"/>
      <c r="F23" s="68"/>
      <c r="G23" s="68"/>
      <c r="H23" s="68"/>
      <c r="I23" s="68"/>
      <c r="J23" s="68"/>
      <c r="K23" s="68"/>
      <c r="L23" s="68"/>
      <c r="M23" s="68"/>
      <c r="N23" s="68"/>
      <c r="O23" s="68"/>
    </row>
    <row r="24" spans="1:15" ht="20">
      <c r="A24" s="84"/>
      <c r="B24" s="84"/>
      <c r="C24" s="86"/>
      <c r="D24" s="86"/>
      <c r="E24" s="68"/>
      <c r="F24" s="68"/>
      <c r="G24" s="68"/>
      <c r="H24" s="68"/>
      <c r="I24" s="68"/>
      <c r="J24" s="68"/>
      <c r="K24" s="68"/>
      <c r="L24" s="68"/>
      <c r="M24" s="68"/>
      <c r="N24" s="68"/>
      <c r="O24" s="68"/>
    </row>
    <row r="25" spans="1:15" ht="20">
      <c r="A25" s="84"/>
      <c r="B25" s="84"/>
      <c r="C25" s="86"/>
      <c r="D25" s="86"/>
      <c r="E25" s="68"/>
      <c r="F25" s="68"/>
      <c r="G25" s="68"/>
      <c r="H25" s="68"/>
      <c r="I25" s="68"/>
      <c r="J25" s="68"/>
      <c r="K25" s="68"/>
      <c r="L25" s="68"/>
      <c r="M25" s="68"/>
      <c r="N25" s="68"/>
      <c r="O25" s="68"/>
    </row>
    <row r="26" spans="1:15" ht="20">
      <c r="A26" s="84"/>
      <c r="B26" s="84"/>
      <c r="C26" s="86"/>
      <c r="D26" s="86"/>
      <c r="E26" s="68"/>
      <c r="F26" s="68"/>
      <c r="G26" s="68"/>
      <c r="H26" s="68"/>
      <c r="I26" s="68"/>
      <c r="J26" s="68"/>
      <c r="K26" s="68"/>
      <c r="L26" s="68"/>
      <c r="M26" s="68"/>
      <c r="N26" s="68"/>
      <c r="O26" s="68"/>
    </row>
    <row r="27" spans="1:15" ht="20">
      <c r="A27" s="84"/>
      <c r="B27" s="84"/>
      <c r="C27" s="86"/>
      <c r="D27" s="86"/>
      <c r="E27" s="68"/>
      <c r="F27" s="68"/>
      <c r="G27" s="68"/>
      <c r="H27" s="68"/>
      <c r="I27" s="68"/>
      <c r="J27" s="68"/>
      <c r="K27" s="68"/>
      <c r="L27" s="68"/>
      <c r="M27" s="68"/>
      <c r="N27" s="68"/>
      <c r="O27" s="68"/>
    </row>
    <row r="28" spans="1:15" ht="20">
      <c r="A28" s="84"/>
      <c r="B28" s="84"/>
      <c r="C28" s="86"/>
      <c r="D28" s="86"/>
      <c r="E28" s="68"/>
      <c r="F28" s="68"/>
      <c r="G28" s="68"/>
      <c r="H28" s="68"/>
      <c r="I28" s="68"/>
      <c r="J28" s="68"/>
      <c r="K28" s="68"/>
      <c r="L28" s="68"/>
      <c r="M28" s="68"/>
      <c r="N28" s="68"/>
      <c r="O28" s="68"/>
    </row>
    <row r="29" spans="1:15" ht="20">
      <c r="A29" s="84"/>
      <c r="B29" s="84"/>
      <c r="C29" s="86"/>
      <c r="D29" s="86"/>
      <c r="E29" s="68"/>
      <c r="F29" s="68"/>
      <c r="G29" s="68"/>
      <c r="H29" s="68"/>
      <c r="I29" s="68"/>
      <c r="J29" s="68"/>
      <c r="K29" s="68"/>
      <c r="L29" s="68"/>
      <c r="M29" s="68"/>
      <c r="N29" s="68"/>
      <c r="O29" s="68"/>
    </row>
    <row r="30" spans="1:15" ht="20">
      <c r="A30" s="84"/>
      <c r="B30" s="84"/>
      <c r="C30" s="86"/>
      <c r="D30" s="86"/>
      <c r="E30" s="68"/>
      <c r="F30" s="68"/>
      <c r="G30" s="68"/>
      <c r="H30" s="68"/>
      <c r="I30" s="68"/>
      <c r="J30" s="68"/>
      <c r="K30" s="68"/>
      <c r="L30" s="68"/>
      <c r="M30" s="68"/>
      <c r="N30" s="68"/>
      <c r="O30" s="68"/>
    </row>
    <row r="31" spans="1:15" ht="20">
      <c r="A31" s="84"/>
      <c r="B31" s="84"/>
      <c r="C31" s="86"/>
      <c r="D31" s="86"/>
      <c r="E31" s="68"/>
      <c r="F31" s="68"/>
      <c r="G31" s="68"/>
      <c r="H31" s="68"/>
      <c r="I31" s="68"/>
      <c r="J31" s="68"/>
      <c r="K31" s="68"/>
      <c r="L31" s="68"/>
      <c r="M31" s="68"/>
      <c r="N31" s="68"/>
      <c r="O31" s="68"/>
    </row>
    <row r="32" spans="1:15" ht="20">
      <c r="A32" s="84"/>
      <c r="B32" s="84"/>
      <c r="C32" s="86"/>
      <c r="D32" s="86"/>
      <c r="E32" s="68"/>
      <c r="F32" s="68"/>
      <c r="G32" s="68"/>
      <c r="H32" s="68"/>
      <c r="I32" s="68"/>
      <c r="J32" s="68"/>
      <c r="K32" s="68"/>
      <c r="L32" s="68"/>
      <c r="M32" s="68"/>
      <c r="N32" s="68"/>
      <c r="O32" s="68"/>
    </row>
    <row r="33" spans="1:15" ht="20">
      <c r="A33" s="84"/>
      <c r="B33" s="84"/>
      <c r="C33" s="86"/>
      <c r="D33" s="86"/>
      <c r="E33" s="68"/>
      <c r="F33" s="68"/>
      <c r="G33" s="68"/>
      <c r="H33" s="68"/>
      <c r="I33" s="68"/>
      <c r="J33" s="68"/>
      <c r="K33" s="68"/>
      <c r="L33" s="68"/>
      <c r="M33" s="68"/>
      <c r="N33" s="68"/>
      <c r="O33" s="68"/>
    </row>
    <row r="34" spans="1:15" ht="20">
      <c r="A34" s="84"/>
      <c r="B34" s="84"/>
      <c r="C34" s="86"/>
      <c r="D34" s="86"/>
      <c r="E34" s="68"/>
      <c r="F34" s="68"/>
      <c r="G34" s="68"/>
      <c r="H34" s="68"/>
      <c r="I34" s="68"/>
      <c r="J34" s="68"/>
      <c r="K34" s="68"/>
      <c r="L34" s="68"/>
      <c r="M34" s="68"/>
      <c r="N34" s="68"/>
      <c r="O34" s="68"/>
    </row>
    <row r="35" spans="1:15" ht="20">
      <c r="A35" s="84"/>
      <c r="B35" s="84"/>
      <c r="C35" s="86"/>
      <c r="D35" s="86"/>
      <c r="E35" s="68"/>
      <c r="F35" s="68"/>
      <c r="G35" s="68"/>
      <c r="H35" s="68"/>
      <c r="I35" s="68"/>
      <c r="J35" s="68"/>
      <c r="K35" s="68"/>
      <c r="L35" s="68"/>
      <c r="M35" s="68"/>
      <c r="N35" s="68"/>
      <c r="O35" s="68"/>
    </row>
    <row r="36" spans="1:15" ht="20">
      <c r="A36" s="84"/>
      <c r="B36" s="84"/>
      <c r="C36" s="86"/>
      <c r="D36" s="86"/>
      <c r="E36" s="68"/>
      <c r="F36" s="68"/>
      <c r="G36" s="68"/>
      <c r="H36" s="68"/>
      <c r="I36" s="68"/>
      <c r="J36" s="68"/>
      <c r="K36" s="68"/>
      <c r="L36" s="68"/>
      <c r="M36" s="68"/>
      <c r="N36" s="68"/>
      <c r="O36" s="68"/>
    </row>
    <row r="37" spans="1:15" ht="20">
      <c r="A37" s="84"/>
      <c r="B37" s="84"/>
      <c r="C37" s="86"/>
      <c r="D37" s="86"/>
      <c r="E37" s="68"/>
      <c r="F37" s="68"/>
      <c r="G37" s="68"/>
      <c r="H37" s="68"/>
      <c r="I37" s="68"/>
      <c r="J37" s="68"/>
      <c r="K37" s="68"/>
      <c r="L37" s="68"/>
      <c r="M37" s="68"/>
      <c r="N37" s="68"/>
      <c r="O37" s="68"/>
    </row>
    <row r="38" spans="1:15" ht="20">
      <c r="A38" s="84"/>
      <c r="B38" s="84"/>
      <c r="C38" s="86"/>
      <c r="D38" s="86"/>
      <c r="E38" s="68"/>
      <c r="F38" s="68"/>
      <c r="G38" s="68"/>
      <c r="H38" s="68"/>
      <c r="I38" s="68"/>
      <c r="J38" s="68"/>
      <c r="K38" s="68"/>
      <c r="L38" s="68"/>
      <c r="M38" s="68"/>
      <c r="N38" s="68"/>
      <c r="O38" s="68"/>
    </row>
    <row r="39" spans="1:15" ht="20">
      <c r="A39" s="84"/>
      <c r="B39" s="84"/>
      <c r="C39" s="86"/>
      <c r="D39" s="86"/>
      <c r="E39" s="68"/>
      <c r="F39" s="68"/>
      <c r="G39" s="68"/>
      <c r="H39" s="68"/>
      <c r="I39" s="68"/>
      <c r="J39" s="68"/>
      <c r="K39" s="68"/>
      <c r="L39" s="68"/>
      <c r="M39" s="68"/>
      <c r="N39" s="68"/>
      <c r="O39" s="68"/>
    </row>
    <row r="40" spans="1:15" ht="20">
      <c r="A40" s="84"/>
      <c r="B40" s="84"/>
      <c r="C40" s="86"/>
      <c r="D40" s="86"/>
      <c r="E40" s="68"/>
      <c r="F40" s="68"/>
      <c r="G40" s="68"/>
      <c r="H40" s="68"/>
      <c r="I40" s="68"/>
      <c r="J40" s="68"/>
      <c r="K40" s="68"/>
      <c r="L40" s="68"/>
      <c r="M40" s="68"/>
      <c r="N40" s="68"/>
      <c r="O40" s="68"/>
    </row>
    <row r="41" spans="1:15" ht="20">
      <c r="A41" s="84"/>
      <c r="B41" s="84"/>
      <c r="C41" s="86"/>
      <c r="D41" s="86"/>
      <c r="E41" s="68"/>
      <c r="F41" s="68"/>
      <c r="G41" s="68"/>
      <c r="H41" s="68"/>
      <c r="I41" s="68"/>
      <c r="J41" s="68"/>
      <c r="K41" s="68"/>
      <c r="L41" s="68"/>
      <c r="M41" s="68"/>
      <c r="N41" s="68"/>
      <c r="O41" s="68"/>
    </row>
    <row r="42" spans="1:15" ht="20">
      <c r="A42" s="84"/>
      <c r="B42" s="84"/>
      <c r="C42" s="86"/>
      <c r="D42" s="86"/>
      <c r="E42" s="68"/>
      <c r="F42" s="68"/>
      <c r="G42" s="68"/>
      <c r="H42" s="68"/>
      <c r="I42" s="68"/>
      <c r="J42" s="68"/>
      <c r="K42" s="68"/>
      <c r="L42" s="68"/>
      <c r="M42" s="68"/>
      <c r="N42" s="68"/>
      <c r="O42" s="68"/>
    </row>
    <row r="43" spans="1:15" ht="20">
      <c r="A43" s="84"/>
      <c r="B43" s="84"/>
      <c r="C43" s="86"/>
      <c r="D43" s="86"/>
      <c r="E43" s="68"/>
      <c r="F43" s="68"/>
      <c r="G43" s="68"/>
      <c r="H43" s="68"/>
      <c r="I43" s="68"/>
      <c r="J43" s="68"/>
      <c r="K43" s="68"/>
      <c r="L43" s="68"/>
      <c r="M43" s="68"/>
      <c r="N43" s="68"/>
      <c r="O43" s="68"/>
    </row>
    <row r="44" spans="1:15" ht="20">
      <c r="A44" s="84"/>
      <c r="B44" s="84"/>
      <c r="C44" s="86"/>
      <c r="D44" s="86"/>
      <c r="E44" s="68"/>
      <c r="F44" s="68"/>
      <c r="G44" s="68"/>
      <c r="H44" s="68"/>
      <c r="I44" s="68"/>
      <c r="J44" s="68"/>
      <c r="K44" s="68"/>
      <c r="L44" s="68"/>
      <c r="M44" s="68"/>
      <c r="N44" s="68"/>
      <c r="O44" s="68"/>
    </row>
    <row r="45" spans="1:15" ht="20">
      <c r="A45" s="84"/>
      <c r="B45" s="84"/>
      <c r="C45" s="86"/>
      <c r="D45" s="86"/>
      <c r="E45" s="68"/>
      <c r="F45" s="68"/>
      <c r="G45" s="68"/>
      <c r="H45" s="68"/>
      <c r="I45" s="68"/>
      <c r="J45" s="68"/>
      <c r="K45" s="68"/>
      <c r="L45" s="68"/>
      <c r="M45" s="68"/>
      <c r="N45" s="68"/>
      <c r="O45" s="68"/>
    </row>
    <row r="46" spans="1:15" ht="20">
      <c r="A46" s="84"/>
      <c r="B46" s="84"/>
      <c r="C46" s="86"/>
      <c r="D46" s="86"/>
      <c r="E46" s="68"/>
      <c r="F46" s="68"/>
      <c r="G46" s="68"/>
      <c r="H46" s="68"/>
      <c r="I46" s="68"/>
      <c r="J46" s="68"/>
      <c r="K46" s="68"/>
      <c r="L46" s="68"/>
      <c r="M46" s="68"/>
      <c r="N46" s="68"/>
      <c r="O46" s="68"/>
    </row>
    <row r="47" spans="1:15" ht="20">
      <c r="A47" s="84"/>
      <c r="B47" s="84"/>
      <c r="C47" s="86"/>
      <c r="D47" s="86"/>
      <c r="E47" s="68"/>
      <c r="F47" s="68"/>
      <c r="G47" s="68"/>
      <c r="H47" s="68"/>
      <c r="I47" s="68"/>
      <c r="J47" s="68"/>
      <c r="K47" s="68"/>
      <c r="L47" s="68"/>
      <c r="M47" s="68"/>
      <c r="N47" s="68"/>
      <c r="O47" s="68"/>
    </row>
    <row r="48" spans="1:15" ht="20">
      <c r="A48" s="84"/>
      <c r="B48" s="84"/>
      <c r="C48" s="86"/>
      <c r="D48" s="86"/>
      <c r="E48" s="68"/>
      <c r="F48" s="68"/>
      <c r="G48" s="68"/>
      <c r="H48" s="68"/>
      <c r="I48" s="68"/>
      <c r="J48" s="68"/>
      <c r="K48" s="68"/>
      <c r="L48" s="68"/>
      <c r="M48" s="68"/>
      <c r="N48" s="68"/>
      <c r="O48" s="68"/>
    </row>
    <row r="49" spans="1:15" ht="20">
      <c r="A49" s="84"/>
      <c r="B49" s="84"/>
      <c r="C49" s="86"/>
      <c r="D49" s="86"/>
      <c r="E49" s="68"/>
      <c r="F49" s="68"/>
      <c r="G49" s="68"/>
      <c r="H49" s="68"/>
      <c r="I49" s="68"/>
      <c r="J49" s="68"/>
      <c r="K49" s="68"/>
      <c r="L49" s="68"/>
      <c r="M49" s="68"/>
      <c r="N49" s="68"/>
      <c r="O49" s="68"/>
    </row>
    <row r="50" spans="1:15" ht="20">
      <c r="A50" s="84"/>
      <c r="B50" s="84"/>
      <c r="C50" s="86"/>
      <c r="D50" s="86"/>
      <c r="E50" s="68"/>
      <c r="F50" s="68"/>
      <c r="G50" s="68"/>
      <c r="H50" s="68"/>
      <c r="I50" s="68"/>
      <c r="J50" s="68"/>
      <c r="K50" s="68"/>
      <c r="L50" s="68"/>
      <c r="M50" s="68"/>
      <c r="N50" s="68"/>
      <c r="O50" s="68"/>
    </row>
    <row r="51" spans="1:15" ht="20">
      <c r="A51" s="84"/>
      <c r="B51" s="84"/>
      <c r="C51" s="86"/>
      <c r="D51" s="86"/>
      <c r="E51" s="68"/>
      <c r="F51" s="68"/>
      <c r="G51" s="68"/>
      <c r="H51" s="68"/>
      <c r="I51" s="68"/>
      <c r="J51" s="68"/>
      <c r="K51" s="68"/>
      <c r="L51" s="68"/>
      <c r="M51" s="68"/>
      <c r="N51" s="68"/>
      <c r="O51" s="68"/>
    </row>
    <row r="52" spans="1:15" ht="20">
      <c r="A52" s="84"/>
      <c r="B52" s="15"/>
      <c r="C52" s="20"/>
      <c r="D52" s="20"/>
    </row>
    <row r="53" spans="1:15" ht="20">
      <c r="A53" s="84"/>
      <c r="B53" s="15"/>
      <c r="C53" s="20"/>
      <c r="D53" s="20"/>
    </row>
    <row r="54" spans="1:15" ht="20">
      <c r="A54" s="84"/>
      <c r="B54" s="15"/>
      <c r="C54" s="20"/>
      <c r="D54" s="20"/>
    </row>
    <row r="55" spans="1:15" ht="20">
      <c r="A55" s="84"/>
      <c r="B55" s="15"/>
      <c r="C55" s="20"/>
      <c r="D55" s="20"/>
    </row>
    <row r="56" spans="1:15" ht="20">
      <c r="A56" s="84"/>
      <c r="B56" s="15"/>
      <c r="C56" s="20"/>
      <c r="D56" s="20"/>
    </row>
    <row r="57" spans="1:15" ht="20">
      <c r="A57" s="84"/>
      <c r="B57" s="15"/>
      <c r="C57" s="20"/>
      <c r="D57" s="20"/>
    </row>
    <row r="58" spans="1:15" ht="20">
      <c r="A58" s="84"/>
      <c r="B58" s="15"/>
      <c r="C58" s="20"/>
      <c r="D58" s="20"/>
    </row>
    <row r="59" spans="1:15" ht="20">
      <c r="A59" s="84"/>
      <c r="B59" s="15"/>
      <c r="C59" s="20"/>
      <c r="D59" s="20"/>
    </row>
    <row r="60" spans="1:15" ht="20">
      <c r="A60" s="84"/>
      <c r="B60" s="15"/>
      <c r="C60" s="20"/>
      <c r="D60" s="20"/>
    </row>
    <row r="61" spans="1:15" ht="20">
      <c r="A61" s="84"/>
      <c r="B61" s="15"/>
      <c r="C61" s="20"/>
      <c r="D61" s="20"/>
    </row>
    <row r="62" spans="1:15" ht="20">
      <c r="A62" s="84"/>
      <c r="B62" s="15"/>
      <c r="C62" s="20"/>
      <c r="D62" s="20"/>
    </row>
    <row r="63" spans="1:15" ht="20">
      <c r="A63" s="84"/>
      <c r="B63" s="15"/>
      <c r="C63" s="20"/>
      <c r="D63" s="20"/>
    </row>
    <row r="64" spans="1:15" ht="20">
      <c r="A64" s="84"/>
      <c r="B64" s="15"/>
      <c r="C64" s="20"/>
      <c r="D64" s="20"/>
    </row>
    <row r="65" spans="1:4" ht="20">
      <c r="A65" s="84"/>
      <c r="B65" s="15"/>
      <c r="C65" s="20"/>
      <c r="D65" s="20"/>
    </row>
    <row r="66" spans="1:4" ht="20">
      <c r="A66" s="84"/>
      <c r="B66" s="15"/>
      <c r="C66" s="20"/>
      <c r="D66" s="20"/>
    </row>
    <row r="67" spans="1:4" ht="20">
      <c r="A67" s="84"/>
      <c r="B67" s="15"/>
      <c r="C67" s="20"/>
      <c r="D67" s="20"/>
    </row>
    <row r="68" spans="1:4" ht="20">
      <c r="A68" s="84"/>
      <c r="B68" s="15"/>
      <c r="C68" s="20"/>
      <c r="D68" s="20"/>
    </row>
    <row r="69" spans="1:4" ht="20">
      <c r="A69" s="84"/>
      <c r="B69" s="15"/>
      <c r="C69" s="20"/>
      <c r="D69" s="20"/>
    </row>
    <row r="70" spans="1:4" ht="20">
      <c r="A70" s="84"/>
      <c r="B70" s="15"/>
      <c r="C70" s="20"/>
      <c r="D70" s="20"/>
    </row>
    <row r="71" spans="1:4" ht="20">
      <c r="A71" s="84"/>
      <c r="B71" s="15"/>
      <c r="C71" s="20"/>
      <c r="D71" s="20"/>
    </row>
    <row r="72" spans="1:4" ht="20">
      <c r="A72" s="84"/>
      <c r="B72" s="15"/>
      <c r="C72" s="20"/>
      <c r="D72" s="20"/>
    </row>
    <row r="73" spans="1:4" ht="20">
      <c r="A73" s="84"/>
      <c r="B73" s="15"/>
      <c r="C73" s="20"/>
      <c r="D73" s="20"/>
    </row>
    <row r="74" spans="1:4" ht="20">
      <c r="A74" s="84"/>
      <c r="B74" s="15"/>
      <c r="C74" s="20"/>
      <c r="D74" s="20"/>
    </row>
    <row r="75" spans="1:4" ht="20">
      <c r="A75" s="84"/>
      <c r="B75" s="15"/>
      <c r="C75" s="20"/>
      <c r="D75" s="20"/>
    </row>
    <row r="76" spans="1:4" ht="20">
      <c r="A76" s="84"/>
      <c r="B76" s="15"/>
      <c r="C76" s="20"/>
      <c r="D76" s="20"/>
    </row>
    <row r="77" spans="1:4" ht="20">
      <c r="A77" s="84"/>
      <c r="B77" s="15"/>
      <c r="C77" s="20"/>
      <c r="D77" s="20"/>
    </row>
    <row r="78" spans="1:4" ht="20">
      <c r="A78" s="84"/>
      <c r="B78" s="15"/>
      <c r="C78" s="20"/>
      <c r="D78" s="20"/>
    </row>
    <row r="79" spans="1:4" ht="20">
      <c r="A79" s="84"/>
      <c r="B79" s="15"/>
      <c r="C79" s="20"/>
      <c r="D79" s="20"/>
    </row>
    <row r="80" spans="1:4" ht="20">
      <c r="A80" s="84"/>
      <c r="B80" s="15"/>
      <c r="C80" s="20"/>
      <c r="D80" s="20"/>
    </row>
    <row r="81" spans="1:4" ht="20">
      <c r="A81" s="84"/>
      <c r="B81" s="15"/>
      <c r="C81" s="20"/>
      <c r="D81" s="20"/>
    </row>
    <row r="82" spans="1:4" ht="20">
      <c r="A82" s="84"/>
      <c r="B82" s="15"/>
      <c r="C82" s="20"/>
      <c r="D82" s="20"/>
    </row>
    <row r="83" spans="1:4" ht="20">
      <c r="A83" s="84"/>
      <c r="B83" s="15"/>
      <c r="C83" s="20"/>
      <c r="D83" s="20"/>
    </row>
    <row r="84" spans="1:4" ht="20">
      <c r="A84" s="84"/>
      <c r="B84" s="15"/>
      <c r="C84" s="20"/>
      <c r="D84" s="20"/>
    </row>
    <row r="85" spans="1:4" ht="20">
      <c r="A85" s="84"/>
      <c r="B85" s="15"/>
      <c r="C85" s="20"/>
      <c r="D85" s="20"/>
    </row>
    <row r="86" spans="1:4" ht="20">
      <c r="A86" s="84"/>
      <c r="B86" s="15"/>
      <c r="C86" s="20"/>
      <c r="D86" s="20"/>
    </row>
    <row r="87" spans="1:4" ht="20">
      <c r="A87" s="84"/>
      <c r="B87" s="15"/>
      <c r="C87" s="20"/>
      <c r="D87" s="20"/>
    </row>
    <row r="88" spans="1:4" ht="20">
      <c r="A88" s="84"/>
      <c r="B88" s="15"/>
      <c r="C88" s="20"/>
      <c r="D88" s="20"/>
    </row>
    <row r="89" spans="1:4" ht="20">
      <c r="A89" s="84"/>
      <c r="B89" s="15"/>
      <c r="C89" s="20"/>
      <c r="D89" s="20"/>
    </row>
    <row r="90" spans="1:4" ht="20">
      <c r="A90" s="84"/>
      <c r="B90" s="15"/>
      <c r="C90" s="20"/>
      <c r="D90" s="20"/>
    </row>
    <row r="91" spans="1:4" ht="20">
      <c r="A91" s="84"/>
      <c r="B91" s="15"/>
      <c r="C91" s="20"/>
      <c r="D91" s="20"/>
    </row>
    <row r="92" spans="1:4" ht="20">
      <c r="A92" s="84"/>
      <c r="B92" s="15"/>
      <c r="C92" s="20"/>
      <c r="D92" s="20"/>
    </row>
    <row r="93" spans="1:4" ht="20">
      <c r="A93" s="84"/>
      <c r="B93" s="15"/>
      <c r="C93" s="20"/>
      <c r="D93" s="20"/>
    </row>
    <row r="94" spans="1:4" ht="20">
      <c r="A94" s="84"/>
      <c r="B94" s="15"/>
      <c r="C94" s="20"/>
      <c r="D94" s="20"/>
    </row>
    <row r="95" spans="1:4" ht="20">
      <c r="A95" s="84"/>
      <c r="B95" s="15"/>
      <c r="C95" s="20"/>
      <c r="D95" s="20"/>
    </row>
    <row r="96" spans="1:4" ht="20">
      <c r="A96" s="84"/>
      <c r="B96" s="15"/>
      <c r="C96" s="20"/>
      <c r="D96" s="20"/>
    </row>
    <row r="97" spans="1:4" ht="20">
      <c r="A97" s="84"/>
      <c r="B97" s="15"/>
      <c r="C97" s="20"/>
      <c r="D97" s="20"/>
    </row>
    <row r="98" spans="1:4" ht="20">
      <c r="A98" s="84"/>
      <c r="B98" s="15"/>
      <c r="C98" s="20"/>
      <c r="D98" s="20"/>
    </row>
    <row r="99" spans="1:4" ht="20">
      <c r="A99" s="84"/>
      <c r="B99" s="15"/>
      <c r="C99" s="20"/>
      <c r="D99" s="20"/>
    </row>
    <row r="100" spans="1:4" ht="20">
      <c r="A100" s="84"/>
      <c r="B100" s="15"/>
      <c r="C100" s="20"/>
      <c r="D100" s="20"/>
    </row>
    <row r="101" spans="1:4" ht="20">
      <c r="A101" s="84"/>
      <c r="B101" s="15"/>
      <c r="C101" s="20"/>
      <c r="D101" s="20"/>
    </row>
    <row r="102" spans="1:4" ht="20">
      <c r="A102" s="84"/>
      <c r="B102" s="15"/>
      <c r="C102" s="20"/>
      <c r="D102" s="20"/>
    </row>
    <row r="103" spans="1:4" ht="20">
      <c r="A103" s="84"/>
      <c r="B103" s="15"/>
      <c r="C103" s="20"/>
      <c r="D103" s="20"/>
    </row>
    <row r="104" spans="1:4" ht="20">
      <c r="A104" s="84"/>
      <c r="B104" s="15"/>
      <c r="C104" s="20"/>
      <c r="D104" s="20"/>
    </row>
    <row r="105" spans="1:4" ht="20">
      <c r="A105" s="84"/>
      <c r="B105" s="15"/>
      <c r="C105" s="20"/>
      <c r="D105" s="20"/>
    </row>
    <row r="106" spans="1:4" ht="20">
      <c r="A106" s="84"/>
      <c r="B106" s="15"/>
      <c r="C106" s="20"/>
      <c r="D106" s="20"/>
    </row>
    <row r="107" spans="1:4" ht="20">
      <c r="A107" s="84"/>
      <c r="B107" s="15"/>
      <c r="C107" s="20"/>
      <c r="D107" s="20"/>
    </row>
    <row r="108" spans="1:4" ht="20">
      <c r="A108" s="84"/>
      <c r="B108" s="15"/>
      <c r="C108" s="20"/>
      <c r="D108" s="20"/>
    </row>
    <row r="109" spans="1:4" ht="20">
      <c r="A109" s="84"/>
      <c r="B109" s="15"/>
      <c r="C109" s="20"/>
      <c r="D109" s="20"/>
    </row>
    <row r="110" spans="1:4" ht="20">
      <c r="A110" s="84"/>
      <c r="B110" s="15"/>
      <c r="C110" s="20"/>
      <c r="D110" s="20"/>
    </row>
    <row r="111" spans="1:4" ht="20">
      <c r="A111" s="84"/>
      <c r="B111" s="15"/>
      <c r="C111" s="20"/>
      <c r="D111" s="20"/>
    </row>
    <row r="112" spans="1:4" ht="20">
      <c r="A112" s="84"/>
      <c r="B112" s="15"/>
      <c r="C112" s="20"/>
      <c r="D112" s="20"/>
    </row>
    <row r="113" spans="1:4" ht="20">
      <c r="A113" s="84"/>
      <c r="B113" s="15"/>
      <c r="C113" s="20"/>
      <c r="D113" s="20"/>
    </row>
    <row r="114" spans="1:4" ht="20">
      <c r="A114" s="84"/>
      <c r="B114" s="15"/>
      <c r="C114" s="20"/>
      <c r="D114" s="20"/>
    </row>
    <row r="115" spans="1:4" ht="20">
      <c r="A115" s="84"/>
      <c r="B115" s="15"/>
      <c r="C115" s="20"/>
      <c r="D115" s="20"/>
    </row>
    <row r="116" spans="1:4" ht="20">
      <c r="A116" s="84"/>
      <c r="B116" s="15"/>
      <c r="C116" s="20"/>
      <c r="D116" s="20"/>
    </row>
    <row r="117" spans="1:4" ht="20">
      <c r="A117" s="84"/>
      <c r="B117" s="15"/>
      <c r="C117" s="20"/>
      <c r="D117" s="20"/>
    </row>
    <row r="118" spans="1:4" ht="20">
      <c r="A118" s="84"/>
      <c r="B118" s="15"/>
      <c r="C118" s="20"/>
      <c r="D118" s="20"/>
    </row>
    <row r="119" spans="1:4" ht="20">
      <c r="A119" s="84"/>
      <c r="B119" s="15"/>
      <c r="C119" s="20"/>
      <c r="D119" s="20"/>
    </row>
    <row r="120" spans="1:4" ht="20">
      <c r="A120" s="84"/>
      <c r="B120" s="15"/>
      <c r="C120" s="20"/>
      <c r="D120" s="20"/>
    </row>
    <row r="121" spans="1:4" ht="20">
      <c r="A121" s="84"/>
      <c r="B121" s="15"/>
      <c r="C121" s="20"/>
      <c r="D121" s="20"/>
    </row>
    <row r="122" spans="1:4" ht="20">
      <c r="A122" s="84"/>
      <c r="B122" s="15"/>
      <c r="C122" s="20"/>
      <c r="D122" s="20"/>
    </row>
    <row r="123" spans="1:4" ht="20">
      <c r="A123" s="84"/>
      <c r="B123" s="15"/>
      <c r="C123" s="20"/>
      <c r="D123" s="20"/>
    </row>
    <row r="124" spans="1:4" ht="20">
      <c r="A124" s="84"/>
      <c r="B124" s="15"/>
      <c r="C124" s="20"/>
      <c r="D124" s="20"/>
    </row>
    <row r="125" spans="1:4" ht="20">
      <c r="A125" s="84"/>
      <c r="B125" s="15"/>
      <c r="C125" s="20"/>
      <c r="D125" s="20"/>
    </row>
    <row r="126" spans="1:4" ht="20">
      <c r="A126" s="84"/>
      <c r="B126" s="15"/>
      <c r="C126" s="20"/>
      <c r="D126" s="20"/>
    </row>
    <row r="127" spans="1:4" ht="20">
      <c r="A127" s="84"/>
      <c r="B127" s="15"/>
      <c r="C127" s="20"/>
      <c r="D127" s="20"/>
    </row>
    <row r="128" spans="1:4" ht="20">
      <c r="A128" s="84"/>
      <c r="B128" s="15"/>
      <c r="C128" s="20"/>
      <c r="D128" s="20"/>
    </row>
    <row r="129" spans="1:4" ht="20">
      <c r="A129" s="84"/>
      <c r="B129" s="15"/>
      <c r="C129" s="20"/>
      <c r="D129" s="20"/>
    </row>
    <row r="130" spans="1:4" ht="20">
      <c r="A130" s="84"/>
      <c r="B130" s="15"/>
      <c r="C130" s="20"/>
      <c r="D130" s="20"/>
    </row>
    <row r="131" spans="1:4" ht="20">
      <c r="A131" s="84"/>
      <c r="B131" s="15"/>
      <c r="C131" s="20"/>
      <c r="D131" s="20"/>
    </row>
    <row r="132" spans="1:4" ht="20">
      <c r="A132" s="84"/>
      <c r="B132" s="15"/>
      <c r="C132" s="20"/>
      <c r="D132" s="20"/>
    </row>
    <row r="133" spans="1:4" ht="20">
      <c r="A133" s="84"/>
      <c r="B133" s="15"/>
      <c r="C133" s="20"/>
      <c r="D133" s="20"/>
    </row>
    <row r="134" spans="1:4" ht="20">
      <c r="A134" s="84"/>
      <c r="B134" s="15"/>
      <c r="C134" s="20"/>
      <c r="D134" s="20"/>
    </row>
    <row r="135" spans="1:4" ht="20">
      <c r="A135" s="84"/>
      <c r="B135" s="15"/>
      <c r="C135" s="20"/>
      <c r="D135" s="20"/>
    </row>
    <row r="136" spans="1:4" ht="20">
      <c r="A136" s="84"/>
      <c r="B136" s="15"/>
      <c r="C136" s="20"/>
      <c r="D136" s="20"/>
    </row>
    <row r="137" spans="1:4" ht="20">
      <c r="A137" s="84"/>
      <c r="B137" s="15"/>
      <c r="C137" s="20"/>
      <c r="D137" s="20"/>
    </row>
    <row r="138" spans="1:4" ht="20">
      <c r="A138" s="84"/>
      <c r="B138" s="15"/>
      <c r="C138" s="20"/>
      <c r="D138" s="20"/>
    </row>
    <row r="139" spans="1:4" ht="20">
      <c r="A139" s="84"/>
      <c r="B139" s="15"/>
      <c r="C139" s="20"/>
      <c r="D139" s="20"/>
    </row>
    <row r="140" spans="1:4" ht="20">
      <c r="A140" s="84"/>
      <c r="B140" s="15"/>
      <c r="C140" s="20"/>
      <c r="D140" s="20"/>
    </row>
    <row r="141" spans="1:4" ht="20">
      <c r="A141" s="84"/>
      <c r="B141" s="15"/>
      <c r="C141" s="20"/>
      <c r="D141" s="20"/>
    </row>
    <row r="142" spans="1:4" ht="20">
      <c r="A142" s="84"/>
      <c r="B142" s="15"/>
      <c r="C142" s="20"/>
      <c r="D142" s="20"/>
    </row>
    <row r="143" spans="1:4" ht="20">
      <c r="A143" s="84"/>
      <c r="B143" s="15"/>
      <c r="C143" s="20"/>
      <c r="D143" s="20"/>
    </row>
    <row r="144" spans="1:4" ht="20">
      <c r="A144" s="84"/>
      <c r="B144" s="15"/>
      <c r="C144" s="20"/>
      <c r="D144" s="20"/>
    </row>
    <row r="145" spans="1:4" ht="20">
      <c r="A145" s="84"/>
      <c r="B145" s="15"/>
      <c r="C145" s="20"/>
      <c r="D145" s="20"/>
    </row>
    <row r="146" spans="1:4" ht="20">
      <c r="A146" s="84"/>
      <c r="B146" s="15"/>
      <c r="C146" s="20"/>
      <c r="D146" s="20"/>
    </row>
    <row r="147" spans="1:4" ht="20">
      <c r="A147" s="84"/>
      <c r="B147" s="15"/>
      <c r="C147" s="20"/>
      <c r="D147" s="20"/>
    </row>
    <row r="148" spans="1:4" ht="20">
      <c r="A148" s="84"/>
      <c r="B148" s="15"/>
      <c r="C148" s="20"/>
      <c r="D148" s="20"/>
    </row>
    <row r="149" spans="1:4" ht="20">
      <c r="A149" s="84"/>
      <c r="B149" s="15"/>
      <c r="C149" s="20"/>
      <c r="D149" s="20"/>
    </row>
    <row r="150" spans="1:4" ht="20">
      <c r="A150" s="84"/>
      <c r="B150" s="15"/>
      <c r="C150" s="20"/>
      <c r="D150" s="20"/>
    </row>
    <row r="151" spans="1:4" ht="20">
      <c r="A151" s="84"/>
      <c r="B151" s="15"/>
      <c r="C151" s="20"/>
      <c r="D151" s="20"/>
    </row>
    <row r="152" spans="1:4" ht="20">
      <c r="A152" s="84"/>
      <c r="B152" s="15"/>
      <c r="C152" s="20"/>
      <c r="D152" s="20"/>
    </row>
    <row r="153" spans="1:4" ht="20">
      <c r="A153" s="84"/>
      <c r="B153" s="15"/>
      <c r="C153" s="20"/>
      <c r="D153" s="20"/>
    </row>
    <row r="154" spans="1:4" ht="20">
      <c r="A154" s="84"/>
      <c r="B154" s="15"/>
      <c r="C154" s="20"/>
      <c r="D154" s="20"/>
    </row>
    <row r="155" spans="1:4" ht="20">
      <c r="A155" s="84"/>
      <c r="B155" s="15"/>
      <c r="C155" s="20"/>
      <c r="D155" s="20"/>
    </row>
    <row r="156" spans="1:4" ht="20">
      <c r="A156" s="84"/>
      <c r="B156" s="15"/>
      <c r="C156" s="20"/>
      <c r="D156" s="20"/>
    </row>
    <row r="157" spans="1:4" ht="20">
      <c r="A157" s="84"/>
      <c r="B157" s="15"/>
      <c r="C157" s="20"/>
      <c r="D157" s="20"/>
    </row>
    <row r="158" spans="1:4" ht="20">
      <c r="A158" s="84"/>
      <c r="B158" s="15"/>
      <c r="C158" s="20"/>
      <c r="D158" s="20"/>
    </row>
    <row r="159" spans="1:4" ht="20">
      <c r="A159" s="84"/>
      <c r="B159" s="15"/>
      <c r="C159" s="20"/>
      <c r="D159" s="20"/>
    </row>
    <row r="160" spans="1:4" ht="20">
      <c r="A160" s="84"/>
      <c r="B160" s="15"/>
      <c r="C160" s="20"/>
      <c r="D160" s="20"/>
    </row>
    <row r="161" spans="1:4" ht="20">
      <c r="A161" s="84"/>
      <c r="B161" s="15"/>
      <c r="C161" s="20"/>
      <c r="D161" s="20"/>
    </row>
    <row r="162" spans="1:4" ht="20">
      <c r="A162" s="84"/>
      <c r="B162" s="15"/>
      <c r="C162" s="20"/>
      <c r="D162" s="20"/>
    </row>
    <row r="163" spans="1:4" ht="20">
      <c r="A163" s="84"/>
      <c r="B163" s="15"/>
      <c r="C163" s="20"/>
      <c r="D163" s="20"/>
    </row>
    <row r="164" spans="1:4" ht="20">
      <c r="A164" s="84"/>
      <c r="B164" s="15"/>
      <c r="C164" s="20"/>
      <c r="D164" s="20"/>
    </row>
    <row r="165" spans="1:4" ht="20">
      <c r="A165" s="84"/>
      <c r="B165" s="15"/>
      <c r="C165" s="20"/>
      <c r="D165" s="20"/>
    </row>
    <row r="166" spans="1:4" ht="20">
      <c r="A166" s="84"/>
      <c r="B166" s="15"/>
      <c r="C166" s="20"/>
      <c r="D166" s="20"/>
    </row>
    <row r="167" spans="1:4" ht="20">
      <c r="A167" s="84"/>
      <c r="B167" s="15"/>
      <c r="C167" s="20"/>
      <c r="D167" s="20"/>
    </row>
    <row r="168" spans="1:4" ht="20">
      <c r="A168" s="84"/>
      <c r="B168" s="15"/>
      <c r="C168" s="20"/>
      <c r="D168" s="20"/>
    </row>
    <row r="169" spans="1:4" ht="20">
      <c r="A169" s="84"/>
      <c r="B169" s="15"/>
      <c r="C169" s="20"/>
      <c r="D169" s="20"/>
    </row>
    <row r="170" spans="1:4" ht="20">
      <c r="A170" s="84"/>
      <c r="B170" s="15"/>
      <c r="C170" s="20"/>
      <c r="D170" s="20"/>
    </row>
    <row r="171" spans="1:4" ht="20">
      <c r="A171" s="84"/>
      <c r="B171" s="15"/>
      <c r="C171" s="20"/>
      <c r="D171" s="20"/>
    </row>
    <row r="172" spans="1:4" ht="20">
      <c r="A172" s="84"/>
      <c r="B172" s="15"/>
      <c r="C172" s="20"/>
      <c r="D172" s="20"/>
    </row>
    <row r="173" spans="1:4" ht="20">
      <c r="A173" s="84"/>
      <c r="B173" s="15"/>
      <c r="C173" s="20"/>
      <c r="D173" s="20"/>
    </row>
    <row r="174" spans="1:4" ht="20">
      <c r="A174" s="84"/>
      <c r="B174" s="15"/>
      <c r="C174" s="20"/>
      <c r="D174" s="20"/>
    </row>
    <row r="175" spans="1:4" ht="20">
      <c r="A175" s="84"/>
      <c r="B175" s="15"/>
      <c r="C175" s="20"/>
      <c r="D175" s="20"/>
    </row>
    <row r="176" spans="1:4" ht="20">
      <c r="A176" s="84"/>
      <c r="B176" s="15"/>
      <c r="C176" s="20"/>
      <c r="D176" s="20"/>
    </row>
    <row r="177" spans="1:4" ht="20">
      <c r="A177" s="84"/>
      <c r="B177" s="15"/>
      <c r="C177" s="20"/>
      <c r="D177" s="20"/>
    </row>
    <row r="178" spans="1:4" ht="20">
      <c r="A178" s="84"/>
      <c r="B178" s="15"/>
      <c r="C178" s="20"/>
      <c r="D178" s="20"/>
    </row>
    <row r="179" spans="1:4" ht="20">
      <c r="A179" s="84"/>
      <c r="B179" s="15"/>
      <c r="C179" s="20"/>
      <c r="D179" s="20"/>
    </row>
    <row r="180" spans="1:4" ht="20">
      <c r="A180" s="84"/>
      <c r="B180" s="15"/>
      <c r="C180" s="20"/>
      <c r="D180" s="20"/>
    </row>
    <row r="181" spans="1:4" ht="20">
      <c r="A181" s="84"/>
      <c r="B181" s="15"/>
      <c r="C181" s="20"/>
      <c r="D181" s="20"/>
    </row>
    <row r="182" spans="1:4" ht="20">
      <c r="A182" s="84"/>
      <c r="B182" s="15"/>
      <c r="C182" s="20"/>
      <c r="D182" s="20"/>
    </row>
    <row r="183" spans="1:4" ht="20">
      <c r="A183" s="84"/>
      <c r="B183" s="15"/>
      <c r="C183" s="20"/>
      <c r="D183" s="20"/>
    </row>
    <row r="184" spans="1:4" ht="20">
      <c r="A184" s="84"/>
      <c r="B184" s="15"/>
      <c r="C184" s="20"/>
      <c r="D184" s="20"/>
    </row>
    <row r="185" spans="1:4" ht="20">
      <c r="A185" s="84"/>
      <c r="B185" s="15"/>
      <c r="C185" s="20"/>
      <c r="D185" s="20"/>
    </row>
    <row r="186" spans="1:4" ht="20">
      <c r="A186" s="84"/>
      <c r="B186" s="15"/>
      <c r="C186" s="20"/>
      <c r="D186" s="20"/>
    </row>
    <row r="187" spans="1:4" ht="20">
      <c r="A187" s="84"/>
      <c r="B187" s="15"/>
      <c r="C187" s="20"/>
      <c r="D187" s="20"/>
    </row>
    <row r="188" spans="1:4" ht="20">
      <c r="A188" s="84"/>
      <c r="B188" s="15"/>
      <c r="C188" s="20"/>
      <c r="D188" s="20"/>
    </row>
    <row r="189" spans="1:4" ht="20">
      <c r="A189" s="84"/>
      <c r="B189" s="15"/>
      <c r="C189" s="20"/>
      <c r="D189" s="20"/>
    </row>
    <row r="190" spans="1:4" ht="20">
      <c r="A190" s="84"/>
      <c r="B190" s="15"/>
      <c r="C190" s="20"/>
      <c r="D190" s="20"/>
    </row>
    <row r="191" spans="1:4" ht="20">
      <c r="A191" s="84"/>
      <c r="B191" s="15"/>
      <c r="C191" s="20"/>
      <c r="D191" s="20"/>
    </row>
    <row r="192" spans="1:4" ht="20">
      <c r="A192" s="84"/>
      <c r="B192" s="15"/>
      <c r="C192" s="20"/>
      <c r="D192" s="20"/>
    </row>
    <row r="193" spans="1:4" ht="20">
      <c r="A193" s="84"/>
      <c r="B193" s="15"/>
      <c r="C193" s="20"/>
      <c r="D193" s="20"/>
    </row>
    <row r="194" spans="1:4" ht="20">
      <c r="A194" s="84"/>
      <c r="B194" s="15"/>
      <c r="C194" s="20"/>
      <c r="D194" s="20"/>
    </row>
    <row r="195" spans="1:4" ht="20">
      <c r="A195" s="84"/>
      <c r="B195" s="15"/>
      <c r="C195" s="20"/>
      <c r="D195" s="20"/>
    </row>
    <row r="196" spans="1:4" ht="20">
      <c r="A196" s="84"/>
      <c r="B196" s="15"/>
      <c r="C196" s="20"/>
      <c r="D196" s="20"/>
    </row>
    <row r="197" spans="1:4" ht="20">
      <c r="A197" s="84"/>
      <c r="B197" s="15"/>
      <c r="C197" s="20"/>
      <c r="D197" s="20"/>
    </row>
    <row r="198" spans="1:4" ht="20">
      <c r="A198" s="84"/>
      <c r="B198" s="15"/>
      <c r="C198" s="20"/>
      <c r="D198" s="20"/>
    </row>
    <row r="199" spans="1:4" ht="20">
      <c r="A199" s="84"/>
      <c r="B199" s="15"/>
      <c r="C199" s="20"/>
      <c r="D199" s="20"/>
    </row>
    <row r="200" spans="1:4" ht="20">
      <c r="A200" s="84"/>
      <c r="B200" s="15"/>
      <c r="C200" s="20"/>
      <c r="D200" s="20"/>
    </row>
    <row r="201" spans="1:4" ht="20">
      <c r="A201" s="84"/>
      <c r="B201" s="15"/>
      <c r="C201" s="20"/>
      <c r="D201" s="20"/>
    </row>
    <row r="202" spans="1:4" ht="20">
      <c r="A202" s="84"/>
      <c r="B202" s="15"/>
      <c r="C202" s="20"/>
      <c r="D202" s="20"/>
    </row>
    <row r="203" spans="1:4" ht="20">
      <c r="A203" s="84"/>
      <c r="B203" s="15"/>
      <c r="C203" s="20"/>
      <c r="D203" s="20"/>
    </row>
    <row r="204" spans="1:4" ht="20">
      <c r="A204" s="84"/>
      <c r="B204" s="15"/>
      <c r="C204" s="20"/>
      <c r="D204" s="20"/>
    </row>
    <row r="205" spans="1:4" ht="20">
      <c r="A205" s="84"/>
      <c r="B205" s="15"/>
      <c r="C205" s="20"/>
      <c r="D205" s="20"/>
    </row>
    <row r="206" spans="1:4" ht="20">
      <c r="A206" s="84"/>
      <c r="B206" s="15"/>
      <c r="C206" s="20"/>
      <c r="D206" s="20"/>
    </row>
    <row r="207" spans="1:4" ht="20">
      <c r="A207" s="84"/>
      <c r="B207" s="15"/>
      <c r="C207" s="20"/>
      <c r="D207" s="20"/>
    </row>
    <row r="208" spans="1:4">
      <c r="A208" s="68"/>
      <c r="B208" s="15"/>
      <c r="C208" s="15"/>
      <c r="D208" s="15"/>
    </row>
    <row r="209" spans="1:8" ht="20">
      <c r="A209" s="68"/>
      <c r="B209" s="16" t="s">
        <v>388</v>
      </c>
      <c r="C209" s="16" t="s">
        <v>389</v>
      </c>
      <c r="D209" s="19" t="s">
        <v>388</v>
      </c>
      <c r="E209" s="19" t="s">
        <v>389</v>
      </c>
    </row>
    <row r="210" spans="1:8" ht="21">
      <c r="A210" s="68"/>
      <c r="B210" s="17" t="s">
        <v>390</v>
      </c>
      <c r="C210" s="17" t="s">
        <v>391</v>
      </c>
      <c r="D210" t="s">
        <v>390</v>
      </c>
      <c r="F210" t="str">
        <f>IF(NOT(ISBLANK(D210)),D210,IF(NOT(ISBLANK(E210)),"     "&amp;E210,FALSE))</f>
        <v>Afectación Económica o presupuestal</v>
      </c>
      <c r="G210" t="s">
        <v>390</v>
      </c>
      <c r="H210" t="str">
        <f>IF(NOT(ISERROR(MATCH(G210,_xlfn.ANCHORARRAY(B221),0))),F223&amp;"Por favor no seleccionar los criterios de impacto",G210)</f>
        <v>❌Por favor no seleccionar los criterios de impacto</v>
      </c>
    </row>
    <row r="211" spans="1:8" ht="21">
      <c r="A211" s="68"/>
      <c r="B211" s="17" t="s">
        <v>390</v>
      </c>
      <c r="C211" s="17" t="s">
        <v>375</v>
      </c>
      <c r="E211" t="s">
        <v>391</v>
      </c>
      <c r="F211" t="str">
        <f t="shared" ref="F211:F221" si="0">IF(NOT(ISBLANK(D211)),D211,IF(NOT(ISBLANK(E211)),"     "&amp;E211,FALSE))</f>
        <v xml:space="preserve">     Afectación menor a 10 SMLMV .</v>
      </c>
    </row>
    <row r="212" spans="1:8" ht="21">
      <c r="A212" s="68"/>
      <c r="B212" s="17" t="s">
        <v>390</v>
      </c>
      <c r="C212" s="17" t="s">
        <v>378</v>
      </c>
      <c r="E212" t="s">
        <v>375</v>
      </c>
      <c r="F212" t="str">
        <f t="shared" si="0"/>
        <v xml:space="preserve">     Entre 10 y 50 SMLMV </v>
      </c>
    </row>
    <row r="213" spans="1:8" ht="21">
      <c r="A213" s="68"/>
      <c r="B213" s="17" t="s">
        <v>390</v>
      </c>
      <c r="C213" s="17" t="s">
        <v>381</v>
      </c>
      <c r="E213" t="s">
        <v>378</v>
      </c>
      <c r="F213" t="str">
        <f t="shared" si="0"/>
        <v xml:space="preserve">     Entre 50 y 100 SMLMV </v>
      </c>
    </row>
    <row r="214" spans="1:8" ht="21">
      <c r="A214" s="68"/>
      <c r="B214" s="17" t="s">
        <v>390</v>
      </c>
      <c r="C214" s="17" t="s">
        <v>384</v>
      </c>
      <c r="E214" t="s">
        <v>381</v>
      </c>
      <c r="F214" t="str">
        <f t="shared" si="0"/>
        <v xml:space="preserve">     Entre 100 y 500 SMLMV </v>
      </c>
    </row>
    <row r="215" spans="1:8" ht="21">
      <c r="A215" s="68"/>
      <c r="B215" s="17" t="s">
        <v>369</v>
      </c>
      <c r="C215" s="17" t="s">
        <v>373</v>
      </c>
      <c r="E215" t="s">
        <v>384</v>
      </c>
      <c r="F215" t="str">
        <f t="shared" si="0"/>
        <v xml:space="preserve">     Mayor a 500 SMLMV </v>
      </c>
    </row>
    <row r="216" spans="1:8" ht="21">
      <c r="A216" s="68"/>
      <c r="B216" s="17" t="s">
        <v>369</v>
      </c>
      <c r="C216" s="17" t="s">
        <v>376</v>
      </c>
      <c r="D216" t="s">
        <v>369</v>
      </c>
      <c r="F216" t="str">
        <f t="shared" si="0"/>
        <v>Pérdida Reputacional</v>
      </c>
    </row>
    <row r="217" spans="1:8" ht="21">
      <c r="A217" s="68"/>
      <c r="B217" s="17" t="s">
        <v>369</v>
      </c>
      <c r="C217" s="17" t="s">
        <v>379</v>
      </c>
      <c r="E217" t="s">
        <v>373</v>
      </c>
      <c r="F217" t="str">
        <f t="shared" si="0"/>
        <v xml:space="preserve">     El riesgo afecta la imagen de alguna área de la organización</v>
      </c>
    </row>
    <row r="218" spans="1:8" ht="21">
      <c r="A218" s="68"/>
      <c r="B218" s="17" t="s">
        <v>369</v>
      </c>
      <c r="C218" s="17" t="s">
        <v>392</v>
      </c>
      <c r="E218" t="s">
        <v>376</v>
      </c>
      <c r="F218" t="str">
        <f t="shared" si="0"/>
        <v xml:space="preserve">     El riesgo afecta la imagen de la entidad internamente, de conocimiento general, nivel interno, de junta dircetiva y accionistas y/o de provedores</v>
      </c>
    </row>
    <row r="219" spans="1:8" ht="21">
      <c r="A219" s="68"/>
      <c r="B219" s="17" t="s">
        <v>369</v>
      </c>
      <c r="C219" s="17" t="s">
        <v>385</v>
      </c>
      <c r="E219" t="s">
        <v>379</v>
      </c>
      <c r="F219" t="str">
        <f t="shared" si="0"/>
        <v xml:space="preserve">     El riesgo afecta la imagen de la entidad con algunos usuarios de relevancia frente al logro de los objetivos</v>
      </c>
    </row>
    <row r="220" spans="1:8">
      <c r="A220" s="68"/>
      <c r="B220" s="18"/>
      <c r="C220" s="18"/>
      <c r="E220" t="s">
        <v>392</v>
      </c>
      <c r="F220" t="str">
        <f t="shared" si="0"/>
        <v xml:space="preserve">     El riesgo afecta la imagen de de la entidad con efecto publicitario sostenido a nivel de sector administrativo, nivel departamental o municipal</v>
      </c>
    </row>
    <row r="221" spans="1:8">
      <c r="A221" s="68"/>
      <c r="B221" s="18" t="str">
        <f t="array" ref="B221:B223">_xlfn.UNIQUE(Tabla1[[#All],[Criterios]])</f>
        <v>Criterios</v>
      </c>
      <c r="C221" s="18"/>
      <c r="E221" t="s">
        <v>385</v>
      </c>
      <c r="F221" t="str">
        <f t="shared" si="0"/>
        <v xml:space="preserve">     El riesgo afecta la imagen de la entidad a nivel nacional, con efecto publicitarios sostenible a nivel país</v>
      </c>
    </row>
    <row r="222" spans="1:8">
      <c r="A222" s="68"/>
      <c r="B222" s="18" t="str">
        <v>Afectación Económica o presupuestal</v>
      </c>
      <c r="C222" s="18"/>
    </row>
    <row r="223" spans="1:8">
      <c r="B223" s="18" t="str">
        <v>Pérdida Reputacional</v>
      </c>
      <c r="C223" s="18"/>
      <c r="F223" s="21" t="s">
        <v>393</v>
      </c>
    </row>
    <row r="224" spans="1:8">
      <c r="B224" s="14"/>
      <c r="C224" s="14"/>
      <c r="F224" s="21" t="s">
        <v>394</v>
      </c>
    </row>
    <row r="225" spans="2:4">
      <c r="B225" s="14"/>
      <c r="C225" s="14"/>
    </row>
    <row r="226" spans="2:4">
      <c r="B226" s="14"/>
      <c r="C226" s="14"/>
    </row>
    <row r="227" spans="2:4">
      <c r="B227" s="14"/>
      <c r="C227" s="14"/>
      <c r="D227" s="14"/>
    </row>
    <row r="228" spans="2:4">
      <c r="B228" s="14"/>
      <c r="C228" s="14"/>
      <c r="D228" s="14"/>
    </row>
    <row r="229" spans="2:4">
      <c r="B229" s="14"/>
      <c r="C229" s="14"/>
      <c r="D229" s="14"/>
    </row>
    <row r="230" spans="2:4">
      <c r="B230" s="14"/>
      <c r="C230" s="14"/>
      <c r="D230" s="14"/>
    </row>
    <row r="231" spans="2:4">
      <c r="B231" s="14"/>
      <c r="C231" s="14"/>
      <c r="D231" s="14"/>
    </row>
    <row r="232" spans="2:4">
      <c r="B232" s="14"/>
      <c r="C232" s="14"/>
      <c r="D232" s="14"/>
    </row>
  </sheetData>
  <mergeCells count="1">
    <mergeCell ref="B1:D1"/>
  </mergeCells>
  <dataValidations count="1">
    <dataValidation type="list" allowBlank="1" showInputMessage="1" showErrorMessage="1" sqref="G210" xr:uid="{00000000-0002-0000-1000-000000000000}">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7" tint="-0.249977111117893"/>
  </sheetPr>
  <dimension ref="B1:F16"/>
  <sheetViews>
    <sheetView workbookViewId="0">
      <selection activeCell="G11" sqref="G11:K18"/>
    </sheetView>
  </sheetViews>
  <sheetFormatPr baseColWidth="10" defaultColWidth="14.33203125" defaultRowHeight="14"/>
  <cols>
    <col min="1" max="2" width="14.33203125" style="73"/>
    <col min="3" max="3" width="17" style="73" customWidth="1"/>
    <col min="4" max="4" width="14.33203125" style="73"/>
    <col min="5" max="5" width="46" style="73" customWidth="1"/>
    <col min="6" max="16384" width="14.33203125" style="73"/>
  </cols>
  <sheetData>
    <row r="1" spans="2:6" ht="24" customHeight="1" thickBot="1">
      <c r="B1" s="711" t="s">
        <v>395</v>
      </c>
      <c r="C1" s="712"/>
      <c r="D1" s="712"/>
      <c r="E1" s="712"/>
      <c r="F1" s="713"/>
    </row>
    <row r="2" spans="2:6" ht="17" thickBot="1">
      <c r="B2" s="74"/>
      <c r="C2" s="74"/>
      <c r="D2" s="74"/>
      <c r="E2" s="74"/>
      <c r="F2" s="74"/>
    </row>
    <row r="3" spans="2:6" ht="18" thickBot="1">
      <c r="B3" s="715" t="s">
        <v>396</v>
      </c>
      <c r="C3" s="716"/>
      <c r="D3" s="716"/>
      <c r="E3" s="198" t="s">
        <v>397</v>
      </c>
      <c r="F3" s="83" t="s">
        <v>398</v>
      </c>
    </row>
    <row r="4" spans="2:6" ht="34">
      <c r="B4" s="717" t="s">
        <v>399</v>
      </c>
      <c r="C4" s="719" t="s">
        <v>94</v>
      </c>
      <c r="D4" s="199" t="s">
        <v>150</v>
      </c>
      <c r="E4" s="75" t="s">
        <v>400</v>
      </c>
      <c r="F4" s="76">
        <v>0.25</v>
      </c>
    </row>
    <row r="5" spans="2:6" ht="51">
      <c r="B5" s="718"/>
      <c r="C5" s="720"/>
      <c r="D5" s="200" t="s">
        <v>100</v>
      </c>
      <c r="E5" s="77" t="s">
        <v>401</v>
      </c>
      <c r="F5" s="78">
        <v>0.15</v>
      </c>
    </row>
    <row r="6" spans="2:6" ht="34">
      <c r="B6" s="718"/>
      <c r="C6" s="720"/>
      <c r="D6" s="200" t="s">
        <v>178</v>
      </c>
      <c r="E6" s="77" t="s">
        <v>402</v>
      </c>
      <c r="F6" s="78">
        <v>0.1</v>
      </c>
    </row>
    <row r="7" spans="2:6" ht="51">
      <c r="B7" s="718"/>
      <c r="C7" s="720" t="s">
        <v>95</v>
      </c>
      <c r="D7" s="200" t="s">
        <v>151</v>
      </c>
      <c r="E7" s="77" t="s">
        <v>403</v>
      </c>
      <c r="F7" s="78">
        <v>0.25</v>
      </c>
    </row>
    <row r="8" spans="2:6" ht="34">
      <c r="B8" s="718"/>
      <c r="C8" s="720"/>
      <c r="D8" s="200" t="s">
        <v>164</v>
      </c>
      <c r="E8" s="77" t="s">
        <v>404</v>
      </c>
      <c r="F8" s="78">
        <v>0.15</v>
      </c>
    </row>
    <row r="9" spans="2:6" ht="51">
      <c r="B9" s="718" t="s">
        <v>405</v>
      </c>
      <c r="C9" s="720" t="s">
        <v>51</v>
      </c>
      <c r="D9" s="200" t="s">
        <v>152</v>
      </c>
      <c r="E9" s="77" t="s">
        <v>406</v>
      </c>
      <c r="F9" s="79" t="s">
        <v>407</v>
      </c>
    </row>
    <row r="10" spans="2:6" ht="51">
      <c r="B10" s="718"/>
      <c r="C10" s="720"/>
      <c r="D10" s="200" t="s">
        <v>165</v>
      </c>
      <c r="E10" s="77" t="s">
        <v>408</v>
      </c>
      <c r="F10" s="79" t="s">
        <v>407</v>
      </c>
    </row>
    <row r="11" spans="2:6" ht="34">
      <c r="B11" s="718"/>
      <c r="C11" s="720" t="s">
        <v>97</v>
      </c>
      <c r="D11" s="200" t="s">
        <v>153</v>
      </c>
      <c r="E11" s="77" t="s">
        <v>409</v>
      </c>
      <c r="F11" s="79" t="s">
        <v>407</v>
      </c>
    </row>
    <row r="12" spans="2:6" ht="34">
      <c r="B12" s="718"/>
      <c r="C12" s="720"/>
      <c r="D12" s="200" t="s">
        <v>166</v>
      </c>
      <c r="E12" s="77" t="s">
        <v>410</v>
      </c>
      <c r="F12" s="79" t="s">
        <v>407</v>
      </c>
    </row>
    <row r="13" spans="2:6" ht="34">
      <c r="B13" s="718"/>
      <c r="C13" s="720" t="s">
        <v>98</v>
      </c>
      <c r="D13" s="200" t="s">
        <v>411</v>
      </c>
      <c r="E13" s="77" t="s">
        <v>412</v>
      </c>
      <c r="F13" s="79" t="s">
        <v>407</v>
      </c>
    </row>
    <row r="14" spans="2:6" ht="18" thickBot="1">
      <c r="B14" s="721"/>
      <c r="C14" s="722"/>
      <c r="D14" s="201" t="s">
        <v>413</v>
      </c>
      <c r="E14" s="80" t="s">
        <v>414</v>
      </c>
      <c r="F14" s="81" t="s">
        <v>407</v>
      </c>
    </row>
    <row r="15" spans="2:6" ht="49.5" customHeight="1">
      <c r="B15" s="714" t="s">
        <v>415</v>
      </c>
      <c r="C15" s="714"/>
      <c r="D15" s="714"/>
      <c r="E15" s="714"/>
      <c r="F15" s="714"/>
    </row>
    <row r="16" spans="2:6" ht="27" customHeight="1">
      <c r="B16" s="82"/>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N38"/>
  <sheetViews>
    <sheetView showGridLines="0" topLeftCell="A15" zoomScale="95" zoomScaleNormal="95" workbookViewId="0">
      <selection activeCell="G11" sqref="G11:K18"/>
    </sheetView>
  </sheetViews>
  <sheetFormatPr baseColWidth="10" defaultColWidth="11.5" defaultRowHeight="15"/>
  <cols>
    <col min="1" max="1" width="3.6640625" style="68" customWidth="1"/>
    <col min="2" max="2" width="16.6640625" customWidth="1"/>
    <col min="3" max="3" width="25" customWidth="1"/>
    <col min="4" max="12" width="10.6640625" customWidth="1"/>
    <col min="13" max="13" width="13.33203125" customWidth="1"/>
    <col min="14" max="14" width="15.5" customWidth="1"/>
    <col min="15" max="16384" width="11.5" style="68"/>
  </cols>
  <sheetData>
    <row r="1" spans="2:14" ht="12.75" customHeight="1" thickBot="1">
      <c r="B1" s="68"/>
      <c r="C1" s="68"/>
      <c r="D1" s="68"/>
      <c r="E1" s="68"/>
      <c r="F1" s="68"/>
      <c r="G1" s="68"/>
      <c r="H1" s="68"/>
      <c r="I1" s="68"/>
      <c r="J1" s="68"/>
      <c r="K1" s="68"/>
      <c r="L1" s="68"/>
      <c r="M1" s="68"/>
      <c r="N1" s="68"/>
    </row>
    <row r="2" spans="2:14" ht="18.75" customHeight="1">
      <c r="B2" s="282" t="s">
        <v>0</v>
      </c>
      <c r="C2" s="283"/>
      <c r="D2" s="299" t="s">
        <v>1</v>
      </c>
      <c r="E2" s="300"/>
      <c r="F2" s="300"/>
      <c r="G2" s="300"/>
      <c r="H2" s="300"/>
      <c r="I2" s="300"/>
      <c r="J2" s="300"/>
      <c r="K2" s="300"/>
      <c r="L2" s="301"/>
      <c r="M2" s="308" t="s">
        <v>2</v>
      </c>
      <c r="N2" s="293"/>
    </row>
    <row r="3" spans="2:14" ht="15.75" customHeight="1">
      <c r="B3" s="284"/>
      <c r="C3" s="285"/>
      <c r="D3" s="302"/>
      <c r="E3" s="303"/>
      <c r="F3" s="303"/>
      <c r="G3" s="303"/>
      <c r="H3" s="303"/>
      <c r="I3" s="303"/>
      <c r="J3" s="303"/>
      <c r="K3" s="303"/>
      <c r="L3" s="304"/>
      <c r="M3" s="309" t="s">
        <v>3</v>
      </c>
      <c r="N3" s="295"/>
    </row>
    <row r="4" spans="2:14" ht="18.75" customHeight="1">
      <c r="B4" s="284"/>
      <c r="C4" s="285"/>
      <c r="D4" s="302"/>
      <c r="E4" s="303"/>
      <c r="F4" s="303"/>
      <c r="G4" s="303"/>
      <c r="H4" s="303"/>
      <c r="I4" s="303"/>
      <c r="J4" s="303"/>
      <c r="K4" s="303"/>
      <c r="L4" s="304"/>
      <c r="M4" s="309" t="s">
        <v>4</v>
      </c>
      <c r="N4" s="295"/>
    </row>
    <row r="5" spans="2:14" ht="29.25" customHeight="1" thickBot="1">
      <c r="B5" s="286"/>
      <c r="C5" s="287"/>
      <c r="D5" s="305"/>
      <c r="E5" s="306"/>
      <c r="F5" s="306"/>
      <c r="G5" s="306"/>
      <c r="H5" s="306"/>
      <c r="I5" s="306"/>
      <c r="J5" s="306"/>
      <c r="K5" s="306"/>
      <c r="L5" s="307"/>
      <c r="M5" s="310" t="s">
        <v>5</v>
      </c>
      <c r="N5" s="297"/>
    </row>
    <row r="6" spans="2:14" ht="7.5" customHeight="1" thickBot="1"/>
    <row r="7" spans="2:14">
      <c r="B7" s="126"/>
      <c r="C7" s="127"/>
      <c r="D7" s="127"/>
      <c r="E7" s="127"/>
      <c r="F7" s="127"/>
      <c r="G7" s="127"/>
      <c r="H7" s="127"/>
      <c r="I7" s="127"/>
      <c r="J7" s="127"/>
      <c r="K7" s="127"/>
      <c r="L7" s="127"/>
      <c r="M7" s="127"/>
      <c r="N7" s="128"/>
    </row>
    <row r="8" spans="2:14">
      <c r="B8" s="129"/>
      <c r="N8" s="130"/>
    </row>
    <row r="9" spans="2:14">
      <c r="B9" s="129"/>
      <c r="N9" s="130"/>
    </row>
    <row r="10" spans="2:14">
      <c r="B10" s="129"/>
      <c r="N10" s="130"/>
    </row>
    <row r="11" spans="2:14">
      <c r="B11" s="129"/>
      <c r="N11" s="130"/>
    </row>
    <row r="12" spans="2:14">
      <c r="B12" s="129"/>
      <c r="N12" s="130"/>
    </row>
    <row r="13" spans="2:14">
      <c r="B13" s="129"/>
      <c r="N13" s="130"/>
    </row>
    <row r="14" spans="2:14">
      <c r="B14" s="129"/>
      <c r="N14" s="130"/>
    </row>
    <row r="15" spans="2:14">
      <c r="B15" s="129"/>
      <c r="N15" s="130"/>
    </row>
    <row r="16" spans="2:14" ht="21" customHeight="1">
      <c r="B16" s="129"/>
      <c r="N16" s="130"/>
    </row>
    <row r="17" spans="2:14" ht="18.75" customHeight="1">
      <c r="B17" s="129"/>
      <c r="N17" s="130"/>
    </row>
    <row r="18" spans="2:14" ht="17.25" customHeight="1">
      <c r="B18" s="129"/>
      <c r="N18" s="130"/>
    </row>
    <row r="19" spans="2:14" ht="18.75" customHeight="1">
      <c r="B19" s="129"/>
      <c r="N19" s="130"/>
    </row>
    <row r="20" spans="2:14" ht="21" customHeight="1">
      <c r="B20" s="129"/>
      <c r="N20" s="130"/>
    </row>
    <row r="21" spans="2:14">
      <c r="B21" s="129"/>
      <c r="N21" s="130"/>
    </row>
    <row r="22" spans="2:14">
      <c r="B22" s="129"/>
      <c r="N22" s="130"/>
    </row>
    <row r="23" spans="2:14">
      <c r="B23" s="129"/>
      <c r="N23" s="130"/>
    </row>
    <row r="24" spans="2:14">
      <c r="B24" s="129"/>
      <c r="N24" s="130"/>
    </row>
    <row r="25" spans="2:14">
      <c r="B25" s="129"/>
      <c r="N25" s="130"/>
    </row>
    <row r="26" spans="2:14">
      <c r="B26" s="129"/>
      <c r="N26" s="130"/>
    </row>
    <row r="27" spans="2:14">
      <c r="B27" s="129"/>
      <c r="N27" s="130"/>
    </row>
    <row r="28" spans="2:14">
      <c r="B28" s="129"/>
      <c r="N28" s="130"/>
    </row>
    <row r="29" spans="2:14">
      <c r="B29" s="129"/>
      <c r="N29" s="130"/>
    </row>
    <row r="30" spans="2:14">
      <c r="B30" s="129"/>
      <c r="N30" s="130"/>
    </row>
    <row r="31" spans="2:14">
      <c r="B31" s="129"/>
      <c r="D31" s="298" t="s">
        <v>6</v>
      </c>
      <c r="E31" s="298"/>
      <c r="N31" s="130"/>
    </row>
    <row r="32" spans="2:14">
      <c r="B32" s="129"/>
      <c r="D32" s="298"/>
      <c r="E32" s="298"/>
      <c r="N32" s="130"/>
    </row>
    <row r="33" spans="2:14">
      <c r="B33" s="129"/>
      <c r="N33" s="130"/>
    </row>
    <row r="34" spans="2:14">
      <c r="B34" s="129"/>
      <c r="N34" s="130"/>
    </row>
    <row r="35" spans="2:14">
      <c r="B35" s="129"/>
      <c r="N35" s="130"/>
    </row>
    <row r="36" spans="2:14">
      <c r="B36" s="129"/>
      <c r="N36" s="130"/>
    </row>
    <row r="37" spans="2:14">
      <c r="B37" s="129"/>
      <c r="N37" s="130"/>
    </row>
    <row r="38" spans="2:14" ht="16" thickBot="1">
      <c r="B38" s="131"/>
      <c r="C38" s="132"/>
      <c r="D38" s="132"/>
      <c r="E38" s="132"/>
      <c r="F38" s="132"/>
      <c r="G38" s="132"/>
      <c r="H38" s="132"/>
      <c r="I38" s="132"/>
      <c r="J38" s="132"/>
      <c r="K38" s="132"/>
      <c r="L38" s="132"/>
      <c r="M38" s="132"/>
      <c r="N38" s="133"/>
    </row>
  </sheetData>
  <mergeCells count="7">
    <mergeCell ref="D31:E32"/>
    <mergeCell ref="D2:L5"/>
    <mergeCell ref="B2:C5"/>
    <mergeCell ref="M2:N2"/>
    <mergeCell ref="M3:N3"/>
    <mergeCell ref="M4:N4"/>
    <mergeCell ref="M5:N5"/>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5E6C-1BAB-42A6-9F77-3D9DA9FB7F99}">
  <dimension ref="A1"/>
  <sheetViews>
    <sheetView workbookViewId="0">
      <selection activeCell="G11" sqref="G11:K18"/>
    </sheetView>
  </sheetViews>
  <sheetFormatPr baseColWidth="10" defaultColWidth="8.83203125"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240F-939E-4DF6-BA8B-1D095F22F1E8}">
  <dimension ref="A1"/>
  <sheetViews>
    <sheetView workbookViewId="0"/>
  </sheetViews>
  <sheetFormatPr baseColWidth="10" defaultColWidth="8.83203125"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2:E19"/>
  <sheetViews>
    <sheetView workbookViewId="0">
      <selection activeCell="E2" sqref="E2:E4"/>
    </sheetView>
  </sheetViews>
  <sheetFormatPr baseColWidth="10" defaultColWidth="11.5" defaultRowHeight="15"/>
  <sheetData>
    <row r="2" spans="2:5">
      <c r="B2" t="s">
        <v>155</v>
      </c>
      <c r="E2" t="s">
        <v>144</v>
      </c>
    </row>
    <row r="3" spans="2:5">
      <c r="B3" t="s">
        <v>168</v>
      </c>
      <c r="E3" t="s">
        <v>158</v>
      </c>
    </row>
    <row r="4" spans="2:5">
      <c r="B4" t="s">
        <v>190</v>
      </c>
      <c r="E4" t="s">
        <v>172</v>
      </c>
    </row>
    <row r="5" spans="2:5">
      <c r="B5" t="s">
        <v>101</v>
      </c>
    </row>
    <row r="8" spans="2:5">
      <c r="B8" t="s">
        <v>141</v>
      </c>
    </row>
    <row r="9" spans="2:5">
      <c r="B9" t="s">
        <v>156</v>
      </c>
    </row>
    <row r="10" spans="2:5">
      <c r="B10" t="s">
        <v>169</v>
      </c>
    </row>
    <row r="13" spans="2:5">
      <c r="B13" t="s">
        <v>147</v>
      </c>
    </row>
    <row r="14" spans="2:5">
      <c r="B14" t="s">
        <v>161</v>
      </c>
    </row>
    <row r="15" spans="2:5">
      <c r="B15" t="s">
        <v>175</v>
      </c>
    </row>
    <row r="16" spans="2:5">
      <c r="B16" t="s">
        <v>183</v>
      </c>
    </row>
    <row r="17" spans="2:2">
      <c r="B17" t="s">
        <v>188</v>
      </c>
    </row>
    <row r="18" spans="2:2">
      <c r="B18" t="s">
        <v>192</v>
      </c>
    </row>
    <row r="19" spans="2:2">
      <c r="B19" t="s">
        <v>194</v>
      </c>
    </row>
  </sheetData>
  <sortState xmlns:xlrd2="http://schemas.microsoft.com/office/spreadsheetml/2017/richdata2"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3:A21"/>
  <sheetViews>
    <sheetView workbookViewId="0">
      <selection activeCell="H29" sqref="H29"/>
    </sheetView>
  </sheetViews>
  <sheetFormatPr baseColWidth="10" defaultColWidth="11.5" defaultRowHeight="14"/>
  <cols>
    <col min="1" max="1" width="32.6640625" style="1" customWidth="1"/>
    <col min="2" max="16384" width="11.5" style="1"/>
  </cols>
  <sheetData>
    <row r="3" spans="1:1">
      <c r="A3" s="2" t="s">
        <v>150</v>
      </c>
    </row>
    <row r="4" spans="1:1">
      <c r="A4" s="2" t="s">
        <v>100</v>
      </c>
    </row>
    <row r="5" spans="1:1">
      <c r="A5" s="2" t="s">
        <v>178</v>
      </c>
    </row>
    <row r="6" spans="1:1">
      <c r="A6" s="2" t="s">
        <v>151</v>
      </c>
    </row>
    <row r="7" spans="1:1">
      <c r="A7" s="2" t="s">
        <v>164</v>
      </c>
    </row>
    <row r="8" spans="1:1">
      <c r="A8" s="2" t="s">
        <v>152</v>
      </c>
    </row>
    <row r="9" spans="1:1">
      <c r="A9" s="2" t="s">
        <v>165</v>
      </c>
    </row>
    <row r="10" spans="1:1">
      <c r="A10" s="2" t="s">
        <v>153</v>
      </c>
    </row>
    <row r="11" spans="1:1">
      <c r="A11" s="2" t="s">
        <v>166</v>
      </c>
    </row>
    <row r="12" spans="1:1">
      <c r="A12" s="2" t="s">
        <v>154</v>
      </c>
    </row>
    <row r="13" spans="1:1">
      <c r="A13" s="2" t="s">
        <v>167</v>
      </c>
    </row>
    <row r="14" spans="1:1">
      <c r="A14" s="2" t="s">
        <v>179</v>
      </c>
    </row>
    <row r="16" spans="1:1">
      <c r="A16" s="2" t="s">
        <v>180</v>
      </c>
    </row>
    <row r="17" spans="1:1">
      <c r="A17" s="2" t="s">
        <v>155</v>
      </c>
    </row>
    <row r="18" spans="1:1">
      <c r="A18" s="2" t="s">
        <v>168</v>
      </c>
    </row>
    <row r="20" spans="1:1">
      <c r="A20" s="2" t="s">
        <v>156</v>
      </c>
    </row>
    <row r="21" spans="1:1">
      <c r="A21" s="2" t="s">
        <v>169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287840"/>
  </sheetPr>
  <dimension ref="A1:CD30"/>
  <sheetViews>
    <sheetView tabSelected="1" topLeftCell="B1" zoomScale="50" zoomScaleNormal="50" workbookViewId="0">
      <selection activeCell="J42" sqref="J42"/>
    </sheetView>
  </sheetViews>
  <sheetFormatPr baseColWidth="10" defaultColWidth="11.5" defaultRowHeight="14"/>
  <cols>
    <col min="1" max="1" width="0" style="169" hidden="1" customWidth="1"/>
    <col min="2" max="2" width="4.5" style="169" customWidth="1"/>
    <col min="3" max="3" width="6.33203125" style="169" customWidth="1"/>
    <col min="4" max="4" width="4.6640625" style="170" customWidth="1"/>
    <col min="5" max="5" width="21" style="170" customWidth="1"/>
    <col min="6" max="7" width="20.6640625" style="170" customWidth="1"/>
    <col min="8" max="8" width="18.33203125" style="170" customWidth="1"/>
    <col min="9" max="9" width="31" style="170" customWidth="1"/>
    <col min="10" max="10" width="32" style="170" customWidth="1"/>
    <col min="11" max="11" width="58.33203125" style="169" customWidth="1"/>
    <col min="12" max="12" width="25.5" style="171" customWidth="1"/>
    <col min="13" max="13" width="31.83203125" style="171" customWidth="1"/>
    <col min="14" max="14" width="23.83203125" style="171" customWidth="1"/>
    <col min="15" max="15" width="14.33203125" style="169" customWidth="1"/>
    <col min="16" max="16" width="16.5" style="169" customWidth="1"/>
    <col min="17" max="17" width="8.83203125" style="169" customWidth="1"/>
    <col min="18" max="18" width="21.33203125" style="169" customWidth="1"/>
    <col min="19" max="19" width="17.5" style="169" customWidth="1"/>
    <col min="20" max="20" width="10.5" style="169" customWidth="1"/>
    <col min="21" max="21" width="16" style="169" customWidth="1"/>
    <col min="22" max="22" width="5.6640625" style="169" customWidth="1"/>
    <col min="23" max="23" width="63.5" style="169" customWidth="1"/>
    <col min="24" max="24" width="44.83203125" style="169" customWidth="1"/>
    <col min="25" max="25" width="15.33203125" style="169" customWidth="1"/>
    <col min="26" max="26" width="6.6640625" style="169" customWidth="1"/>
    <col min="27" max="27" width="5" style="169" customWidth="1"/>
    <col min="28" max="28" width="5.5" style="169" customWidth="1"/>
    <col min="29" max="29" width="7.33203125" style="169" customWidth="1"/>
    <col min="30" max="30" width="6.6640625" style="169" customWidth="1"/>
    <col min="31" max="31" width="8.33203125" style="169" customWidth="1"/>
    <col min="32" max="32" width="18.1640625" style="169" customWidth="1"/>
    <col min="33" max="33" width="13.6640625" style="169" customWidth="1"/>
    <col min="34" max="34" width="16.1640625" style="169" customWidth="1"/>
    <col min="35" max="35" width="6.1640625" style="169" customWidth="1"/>
    <col min="36" max="36" width="16.1640625" style="169" customWidth="1"/>
    <col min="37" max="37" width="6" style="169" customWidth="1"/>
    <col min="38" max="38" width="16.1640625" style="169" customWidth="1"/>
    <col min="39" max="40" width="7.33203125" style="169" customWidth="1"/>
    <col min="41" max="41" width="46.5" style="169" customWidth="1"/>
    <col min="42" max="42" width="24.33203125" style="169" customWidth="1"/>
    <col min="43" max="43" width="23.1640625" style="169" customWidth="1"/>
    <col min="44" max="46" width="19.6640625" style="169" customWidth="1"/>
    <col min="47" max="47" width="35.5" style="169" customWidth="1"/>
    <col min="48" max="50" width="34.6640625" style="169" customWidth="1"/>
    <col min="51" max="51" width="29" style="169" customWidth="1"/>
    <col min="52" max="52" width="23.33203125" style="169" customWidth="1"/>
    <col min="53" max="53" width="68.5" style="169" customWidth="1"/>
    <col min="54" max="54" width="31.5" style="169" customWidth="1"/>
    <col min="55" max="55" width="30.5" style="169" customWidth="1"/>
    <col min="56" max="56" width="53" style="169" customWidth="1"/>
    <col min="57" max="59" width="0" style="169" hidden="1" customWidth="1"/>
    <col min="60" max="61" width="11.5" style="169" hidden="1" customWidth="1"/>
    <col min="62" max="63" width="0" style="169" hidden="1" customWidth="1"/>
    <col min="64" max="16384" width="11.5" style="169"/>
  </cols>
  <sheetData>
    <row r="1" spans="1:82" ht="15" thickBot="1"/>
    <row r="2" spans="1:82" ht="27.75" customHeight="1">
      <c r="D2" s="422" t="s">
        <v>37</v>
      </c>
      <c r="E2" s="423"/>
      <c r="F2" s="423"/>
      <c r="G2" s="423"/>
      <c r="H2" s="424"/>
      <c r="I2" s="431" t="s">
        <v>38</v>
      </c>
      <c r="J2" s="431"/>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431"/>
      <c r="AN2" s="431"/>
      <c r="AO2" s="431"/>
      <c r="AP2" s="431"/>
      <c r="AQ2" s="431"/>
      <c r="AR2" s="431"/>
      <c r="AS2" s="431"/>
      <c r="AT2" s="431"/>
      <c r="AU2" s="431"/>
      <c r="AV2" s="431"/>
      <c r="AW2" s="431"/>
      <c r="AX2" s="431"/>
      <c r="AY2" s="431"/>
      <c r="AZ2" s="431"/>
      <c r="BA2" s="431"/>
      <c r="BB2" s="431"/>
      <c r="BC2" s="431"/>
      <c r="BD2" s="204" t="s">
        <v>8</v>
      </c>
    </row>
    <row r="3" spans="1:82" ht="27.75" customHeight="1">
      <c r="D3" s="425"/>
      <c r="E3" s="426"/>
      <c r="F3" s="426"/>
      <c r="G3" s="426"/>
      <c r="H3" s="427"/>
      <c r="I3" s="431"/>
      <c r="J3" s="431"/>
      <c r="K3" s="431"/>
      <c r="L3" s="431"/>
      <c r="M3" s="431"/>
      <c r="N3" s="431"/>
      <c r="O3" s="431"/>
      <c r="P3" s="431"/>
      <c r="Q3" s="431"/>
      <c r="R3" s="431"/>
      <c r="S3" s="431"/>
      <c r="T3" s="431"/>
      <c r="U3" s="431"/>
      <c r="V3" s="431"/>
      <c r="W3" s="431"/>
      <c r="X3" s="431"/>
      <c r="Y3" s="431"/>
      <c r="Z3" s="431"/>
      <c r="AA3" s="431"/>
      <c r="AB3" s="431"/>
      <c r="AC3" s="431"/>
      <c r="AD3" s="431"/>
      <c r="AE3" s="431"/>
      <c r="AF3" s="431"/>
      <c r="AG3" s="431"/>
      <c r="AH3" s="431"/>
      <c r="AI3" s="431"/>
      <c r="AJ3" s="431"/>
      <c r="AK3" s="431"/>
      <c r="AL3" s="431"/>
      <c r="AM3" s="431"/>
      <c r="AN3" s="431"/>
      <c r="AO3" s="431"/>
      <c r="AP3" s="431"/>
      <c r="AQ3" s="431"/>
      <c r="AR3" s="431"/>
      <c r="AS3" s="431"/>
      <c r="AT3" s="431"/>
      <c r="AU3" s="431"/>
      <c r="AV3" s="431"/>
      <c r="AW3" s="431"/>
      <c r="AX3" s="431"/>
      <c r="AY3" s="431"/>
      <c r="AZ3" s="431"/>
      <c r="BA3" s="431"/>
      <c r="BB3" s="431"/>
      <c r="BC3" s="431"/>
      <c r="BD3" s="210" t="s">
        <v>39</v>
      </c>
    </row>
    <row r="4" spans="1:82" ht="27.75" customHeight="1">
      <c r="D4" s="425"/>
      <c r="E4" s="426"/>
      <c r="F4" s="426"/>
      <c r="G4" s="426"/>
      <c r="H4" s="427"/>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B4" s="431"/>
      <c r="BC4" s="431"/>
      <c r="BD4" s="205" t="s">
        <v>4</v>
      </c>
    </row>
    <row r="5" spans="1:82" ht="27.75" customHeight="1" thickBot="1">
      <c r="D5" s="428"/>
      <c r="E5" s="429"/>
      <c r="F5" s="429"/>
      <c r="G5" s="429"/>
      <c r="H5" s="430"/>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c r="BD5" s="205" t="s">
        <v>40</v>
      </c>
    </row>
    <row r="6" spans="1:82" ht="14" customHeight="1">
      <c r="D6" s="113"/>
      <c r="E6" s="114"/>
      <c r="F6" s="114"/>
      <c r="G6" s="114"/>
      <c r="H6" s="114"/>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15"/>
    </row>
    <row r="7" spans="1:82" ht="26.25" customHeight="1">
      <c r="D7" s="435" t="s">
        <v>41</v>
      </c>
      <c r="E7" s="436"/>
      <c r="F7" s="436"/>
      <c r="G7" s="437"/>
      <c r="H7" s="432" t="s">
        <v>421</v>
      </c>
      <c r="I7" s="433"/>
      <c r="J7" s="433"/>
      <c r="K7" s="433"/>
      <c r="L7" s="433"/>
      <c r="M7" s="433"/>
      <c r="N7" s="433"/>
      <c r="O7" s="433"/>
      <c r="P7" s="433"/>
      <c r="Q7" s="433"/>
      <c r="R7" s="433"/>
      <c r="S7" s="433"/>
      <c r="T7" s="433"/>
      <c r="U7" s="433"/>
      <c r="V7" s="433"/>
      <c r="W7" s="433"/>
      <c r="X7" s="433"/>
      <c r="Y7" s="433"/>
      <c r="Z7" s="433"/>
      <c r="AA7" s="433"/>
      <c r="AB7" s="433"/>
      <c r="AC7" s="433"/>
      <c r="AD7" s="433"/>
      <c r="AE7" s="433"/>
      <c r="AF7" s="433"/>
      <c r="AG7" s="433"/>
      <c r="AH7" s="433"/>
      <c r="AI7" s="433"/>
      <c r="AJ7" s="433"/>
      <c r="AK7" s="433"/>
      <c r="AL7" s="433"/>
      <c r="AM7" s="433"/>
      <c r="AN7" s="433"/>
      <c r="AO7" s="433"/>
      <c r="AP7" s="433"/>
      <c r="AQ7" s="433"/>
      <c r="AR7" s="433"/>
      <c r="AS7" s="433"/>
      <c r="AT7" s="433"/>
      <c r="AU7" s="433"/>
      <c r="AV7" s="433"/>
      <c r="AW7" s="433"/>
      <c r="AX7" s="433"/>
      <c r="AY7" s="433"/>
      <c r="AZ7" s="433"/>
      <c r="BA7" s="433"/>
      <c r="BB7" s="433"/>
      <c r="BC7" s="433"/>
      <c r="BD7" s="43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row>
    <row r="8" spans="1:82" ht="30" customHeight="1">
      <c r="D8" s="435" t="s">
        <v>42</v>
      </c>
      <c r="E8" s="436"/>
      <c r="F8" s="436"/>
      <c r="G8" s="437"/>
      <c r="H8" s="432" t="s">
        <v>422</v>
      </c>
      <c r="I8" s="433"/>
      <c r="J8" s="433"/>
      <c r="K8" s="433"/>
      <c r="L8" s="433"/>
      <c r="M8" s="433"/>
      <c r="N8" s="433"/>
      <c r="O8" s="433"/>
      <c r="P8" s="433"/>
      <c r="Q8" s="433"/>
      <c r="R8" s="433"/>
      <c r="S8" s="433"/>
      <c r="T8" s="433"/>
      <c r="U8" s="433"/>
      <c r="V8" s="433"/>
      <c r="W8" s="433"/>
      <c r="X8" s="433"/>
      <c r="Y8" s="433"/>
      <c r="Z8" s="433"/>
      <c r="AA8" s="433"/>
      <c r="AB8" s="433"/>
      <c r="AC8" s="433"/>
      <c r="AD8" s="433"/>
      <c r="AE8" s="433"/>
      <c r="AF8" s="433"/>
      <c r="AG8" s="433"/>
      <c r="AH8" s="433"/>
      <c r="AI8" s="433"/>
      <c r="AJ8" s="433"/>
      <c r="AK8" s="433"/>
      <c r="AL8" s="433"/>
      <c r="AM8" s="433"/>
      <c r="AN8" s="433"/>
      <c r="AO8" s="433"/>
      <c r="AP8" s="433"/>
      <c r="AQ8" s="433"/>
      <c r="AR8" s="433"/>
      <c r="AS8" s="433"/>
      <c r="AT8" s="433"/>
      <c r="AU8" s="433"/>
      <c r="AV8" s="433"/>
      <c r="AW8" s="433"/>
      <c r="AX8" s="433"/>
      <c r="AY8" s="433"/>
      <c r="AZ8" s="433"/>
      <c r="BA8" s="433"/>
      <c r="BB8" s="433"/>
      <c r="BC8" s="433"/>
      <c r="BD8" s="43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row>
    <row r="9" spans="1:82" ht="24" customHeight="1">
      <c r="D9" s="435" t="s">
        <v>43</v>
      </c>
      <c r="E9" s="436"/>
      <c r="F9" s="436"/>
      <c r="G9" s="437"/>
      <c r="H9" s="432" t="s">
        <v>423</v>
      </c>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3"/>
      <c r="AJ9" s="433"/>
      <c r="AK9" s="433"/>
      <c r="AL9" s="433"/>
      <c r="AM9" s="433"/>
      <c r="AN9" s="433"/>
      <c r="AO9" s="433"/>
      <c r="AP9" s="433"/>
      <c r="AQ9" s="433"/>
      <c r="AR9" s="433"/>
      <c r="AS9" s="433"/>
      <c r="AT9" s="433"/>
      <c r="AU9" s="433"/>
      <c r="AV9" s="433"/>
      <c r="AW9" s="433"/>
      <c r="AX9" s="433"/>
      <c r="AY9" s="433"/>
      <c r="AZ9" s="433"/>
      <c r="BA9" s="433"/>
      <c r="BB9" s="433"/>
      <c r="BC9" s="433"/>
      <c r="BD9" s="43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row>
    <row r="10" spans="1:82" s="174" customFormat="1" ht="24" customHeight="1">
      <c r="D10" s="175"/>
      <c r="E10" s="176"/>
      <c r="F10" s="177"/>
      <c r="G10" s="177"/>
      <c r="H10" s="175"/>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206"/>
      <c r="AT10" s="206"/>
      <c r="AU10" s="206"/>
      <c r="AV10" s="206"/>
      <c r="AW10" s="206"/>
      <c r="AX10" s="206"/>
      <c r="AY10" s="206"/>
      <c r="AZ10" s="179"/>
      <c r="BA10" s="179"/>
      <c r="BB10" s="179"/>
      <c r="BC10" s="179"/>
      <c r="BD10" s="179"/>
    </row>
    <row r="11" spans="1:82" s="174" customFormat="1" ht="25.5" customHeight="1">
      <c r="A11" s="358" t="s">
        <v>9</v>
      </c>
      <c r="B11" s="358"/>
      <c r="C11" s="359"/>
      <c r="D11" s="397" t="s">
        <v>44</v>
      </c>
      <c r="E11" s="398"/>
      <c r="F11" s="398"/>
      <c r="G11" s="398"/>
      <c r="H11" s="398"/>
      <c r="I11" s="398"/>
      <c r="J11" s="398"/>
      <c r="K11" s="398"/>
      <c r="L11" s="398"/>
      <c r="M11" s="398"/>
      <c r="N11" s="398"/>
      <c r="O11" s="398"/>
      <c r="P11" s="398"/>
      <c r="Q11" s="398"/>
      <c r="R11" s="398"/>
      <c r="S11" s="398"/>
      <c r="T11" s="398"/>
      <c r="U11" s="398"/>
      <c r="V11" s="398"/>
      <c r="W11" s="398"/>
      <c r="X11" s="398"/>
      <c r="Y11" s="398"/>
      <c r="Z11" s="398"/>
      <c r="AA11" s="398"/>
      <c r="AB11" s="398"/>
      <c r="AC11" s="398"/>
      <c r="AD11" s="398"/>
      <c r="AE11" s="398"/>
      <c r="AF11" s="398"/>
      <c r="AG11" s="398"/>
      <c r="AH11" s="398"/>
      <c r="AI11" s="398"/>
      <c r="AJ11" s="398"/>
      <c r="AK11" s="398"/>
      <c r="AL11" s="398"/>
      <c r="AM11" s="398"/>
      <c r="AN11" s="398"/>
      <c r="AO11" s="398"/>
      <c r="AP11" s="398"/>
      <c r="AQ11" s="398"/>
      <c r="AR11" s="419"/>
      <c r="AS11" s="386" t="s">
        <v>45</v>
      </c>
      <c r="AT11" s="386"/>
      <c r="AU11" s="386"/>
      <c r="AV11" s="386"/>
      <c r="AW11" s="386"/>
      <c r="AX11" s="386"/>
      <c r="AY11" s="386"/>
      <c r="AZ11" s="411" t="s">
        <v>46</v>
      </c>
      <c r="BA11" s="412"/>
      <c r="BB11" s="412"/>
      <c r="BC11" s="413" t="s">
        <v>47</v>
      </c>
      <c r="BD11" s="414"/>
    </row>
    <row r="12" spans="1:82" ht="27" customHeight="1">
      <c r="D12" s="367" t="s">
        <v>48</v>
      </c>
      <c r="E12" s="367"/>
      <c r="F12" s="367"/>
      <c r="G12" s="367"/>
      <c r="H12" s="367"/>
      <c r="I12" s="434"/>
      <c r="J12" s="434"/>
      <c r="K12" s="434"/>
      <c r="L12" s="434"/>
      <c r="M12" s="434"/>
      <c r="N12" s="434"/>
      <c r="O12" s="434"/>
      <c r="P12" s="434" t="s">
        <v>49</v>
      </c>
      <c r="Q12" s="434"/>
      <c r="R12" s="434"/>
      <c r="S12" s="434"/>
      <c r="T12" s="434"/>
      <c r="U12" s="434"/>
      <c r="V12" s="434" t="s">
        <v>50</v>
      </c>
      <c r="W12" s="434"/>
      <c r="X12" s="434"/>
      <c r="Y12" s="434"/>
      <c r="Z12" s="434"/>
      <c r="AA12" s="434"/>
      <c r="AB12" s="434"/>
      <c r="AC12" s="434"/>
      <c r="AD12" s="434"/>
      <c r="AE12" s="434"/>
      <c r="AF12" s="356" t="s">
        <v>51</v>
      </c>
      <c r="AG12" s="434" t="s">
        <v>52</v>
      </c>
      <c r="AH12" s="434"/>
      <c r="AI12" s="434"/>
      <c r="AJ12" s="434"/>
      <c r="AK12" s="434"/>
      <c r="AL12" s="434"/>
      <c r="AM12" s="434"/>
      <c r="AN12" s="207"/>
      <c r="AO12" s="397" t="s">
        <v>53</v>
      </c>
      <c r="AP12" s="398"/>
      <c r="AQ12" s="398"/>
      <c r="AR12" s="398"/>
      <c r="AS12" s="386"/>
      <c r="AT12" s="386"/>
      <c r="AU12" s="386"/>
      <c r="AV12" s="386"/>
      <c r="AW12" s="386"/>
      <c r="AX12" s="386"/>
      <c r="AY12" s="386"/>
      <c r="AZ12" s="411"/>
      <c r="BA12" s="412"/>
      <c r="BB12" s="412"/>
      <c r="BC12" s="415"/>
      <c r="BD12" s="416"/>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row>
    <row r="13" spans="1:82" ht="29" customHeight="1">
      <c r="D13" s="438" t="s">
        <v>54</v>
      </c>
      <c r="E13" s="366" t="s">
        <v>55</v>
      </c>
      <c r="F13" s="360" t="s">
        <v>56</v>
      </c>
      <c r="G13" s="362" t="s">
        <v>57</v>
      </c>
      <c r="H13" s="367" t="s">
        <v>58</v>
      </c>
      <c r="I13" s="366" t="s">
        <v>59</v>
      </c>
      <c r="J13" s="366" t="s">
        <v>60</v>
      </c>
      <c r="K13" s="366" t="s">
        <v>419</v>
      </c>
      <c r="L13" s="362" t="s">
        <v>61</v>
      </c>
      <c r="M13" s="354" t="s">
        <v>62</v>
      </c>
      <c r="N13" s="355"/>
      <c r="O13" s="366" t="s">
        <v>63</v>
      </c>
      <c r="P13" s="366" t="s">
        <v>64</v>
      </c>
      <c r="Q13" s="367" t="s">
        <v>65</v>
      </c>
      <c r="R13" s="366" t="s">
        <v>66</v>
      </c>
      <c r="S13" s="366" t="s">
        <v>67</v>
      </c>
      <c r="T13" s="367" t="s">
        <v>65</v>
      </c>
      <c r="U13" s="366" t="s">
        <v>68</v>
      </c>
      <c r="V13" s="364" t="s">
        <v>69</v>
      </c>
      <c r="W13" s="366" t="s">
        <v>70</v>
      </c>
      <c r="X13" s="366" t="s">
        <v>71</v>
      </c>
      <c r="Y13" s="366" t="s">
        <v>72</v>
      </c>
      <c r="Z13" s="366" t="s">
        <v>73</v>
      </c>
      <c r="AA13" s="366"/>
      <c r="AB13" s="366"/>
      <c r="AC13" s="366"/>
      <c r="AD13" s="366"/>
      <c r="AE13" s="366"/>
      <c r="AF13" s="357"/>
      <c r="AG13" s="364" t="s">
        <v>74</v>
      </c>
      <c r="AH13" s="364" t="s">
        <v>75</v>
      </c>
      <c r="AI13" s="365" t="s">
        <v>65</v>
      </c>
      <c r="AJ13" s="364" t="s">
        <v>76</v>
      </c>
      <c r="AK13" s="364" t="s">
        <v>65</v>
      </c>
      <c r="AL13" s="364" t="s">
        <v>77</v>
      </c>
      <c r="AM13" s="364" t="s">
        <v>78</v>
      </c>
      <c r="AN13" s="364" t="s">
        <v>79</v>
      </c>
      <c r="AO13" s="366" t="s">
        <v>80</v>
      </c>
      <c r="AP13" s="366" t="s">
        <v>81</v>
      </c>
      <c r="AQ13" s="366" t="s">
        <v>82</v>
      </c>
      <c r="AR13" s="362" t="s">
        <v>83</v>
      </c>
      <c r="AS13" s="417" t="s">
        <v>84</v>
      </c>
      <c r="AT13" s="417" t="s">
        <v>85</v>
      </c>
      <c r="AU13" s="420" t="s">
        <v>417</v>
      </c>
      <c r="AV13" s="420" t="s">
        <v>86</v>
      </c>
      <c r="AW13" s="417" t="s">
        <v>418</v>
      </c>
      <c r="AX13" s="417" t="s">
        <v>87</v>
      </c>
      <c r="AY13" s="417" t="s">
        <v>88</v>
      </c>
      <c r="AZ13" s="366" t="s">
        <v>89</v>
      </c>
      <c r="BA13" s="366" t="s">
        <v>416</v>
      </c>
      <c r="BB13" s="366" t="s">
        <v>90</v>
      </c>
      <c r="BC13" s="417" t="s">
        <v>89</v>
      </c>
      <c r="BD13" s="417" t="s">
        <v>91</v>
      </c>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row>
    <row r="14" spans="1:82" s="182" customFormat="1" ht="81" customHeight="1" thickBot="1">
      <c r="A14" s="180"/>
      <c r="B14" s="180"/>
      <c r="C14" s="180"/>
      <c r="D14" s="356"/>
      <c r="E14" s="362"/>
      <c r="F14" s="361"/>
      <c r="G14" s="363"/>
      <c r="H14" s="360"/>
      <c r="I14" s="362"/>
      <c r="J14" s="362"/>
      <c r="K14" s="360"/>
      <c r="L14" s="363"/>
      <c r="M14" s="212" t="s">
        <v>92</v>
      </c>
      <c r="N14" s="212" t="s">
        <v>93</v>
      </c>
      <c r="O14" s="362"/>
      <c r="P14" s="362"/>
      <c r="Q14" s="360"/>
      <c r="R14" s="362"/>
      <c r="S14" s="360"/>
      <c r="T14" s="360"/>
      <c r="U14" s="362"/>
      <c r="V14" s="365"/>
      <c r="W14" s="362"/>
      <c r="X14" s="362"/>
      <c r="Y14" s="362"/>
      <c r="Z14" s="211" t="s">
        <v>94</v>
      </c>
      <c r="AA14" s="211" t="s">
        <v>95</v>
      </c>
      <c r="AB14" s="211" t="s">
        <v>96</v>
      </c>
      <c r="AC14" s="211" t="s">
        <v>51</v>
      </c>
      <c r="AD14" s="211" t="s">
        <v>97</v>
      </c>
      <c r="AE14" s="211" t="s">
        <v>98</v>
      </c>
      <c r="AF14" s="357"/>
      <c r="AG14" s="365"/>
      <c r="AH14" s="365"/>
      <c r="AI14" s="393"/>
      <c r="AJ14" s="365"/>
      <c r="AK14" s="365"/>
      <c r="AL14" s="365"/>
      <c r="AM14" s="365"/>
      <c r="AN14" s="365"/>
      <c r="AO14" s="362"/>
      <c r="AP14" s="362"/>
      <c r="AQ14" s="362"/>
      <c r="AR14" s="363"/>
      <c r="AS14" s="418"/>
      <c r="AT14" s="418"/>
      <c r="AU14" s="421"/>
      <c r="AV14" s="421"/>
      <c r="AW14" s="418"/>
      <c r="AX14" s="418"/>
      <c r="AY14" s="418"/>
      <c r="AZ14" s="362"/>
      <c r="BA14" s="362"/>
      <c r="BB14" s="362"/>
      <c r="BC14" s="418"/>
      <c r="BD14" s="418"/>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row>
    <row r="15" spans="1:82" s="188" customFormat="1" ht="113" customHeight="1" thickBot="1">
      <c r="D15" s="372">
        <v>1</v>
      </c>
      <c r="E15" s="373" t="s">
        <v>170</v>
      </c>
      <c r="F15" s="373" t="s">
        <v>144</v>
      </c>
      <c r="G15" s="373" t="s">
        <v>145</v>
      </c>
      <c r="H15" s="373" t="s">
        <v>187</v>
      </c>
      <c r="I15" s="442" t="s">
        <v>431</v>
      </c>
      <c r="J15" s="442" t="s">
        <v>432</v>
      </c>
      <c r="K15" s="445" t="s">
        <v>430</v>
      </c>
      <c r="L15" s="368" t="s">
        <v>161</v>
      </c>
      <c r="M15" s="369"/>
      <c r="N15" s="369"/>
      <c r="O15" s="449">
        <v>35</v>
      </c>
      <c r="P15" s="394" t="str">
        <f>IF(O15&lt;=0,"",IF(O15&lt;=2,"Muy Baja",IF(O15&lt;=24,"Baja",IF(O15&lt;=500,"Media",IF(O15&lt;=5000,"Alta","Muy Alta")))))</f>
        <v>Media</v>
      </c>
      <c r="Q15" s="319">
        <f t="shared" ref="Q15" si="0">IF(P15="","",IF(P15="Muy Baja",0.2,IF(P15="Baja",0.4,IF(P15="Media",0.6,IF(P15="Alta",0.8,IF(P15="Muy Alta",1,))))))</f>
        <v>0.6</v>
      </c>
      <c r="R15" s="446" t="s">
        <v>119</v>
      </c>
      <c r="S15" s="374" t="str">
        <f>IFERROR(VLOOKUP(R15,Criterios[],2,FALSE),"")</f>
        <v>Moderado</v>
      </c>
      <c r="T15" s="391">
        <f t="shared" ref="T15" si="1">IF(S15="","",IF(S15="Leve",0.2,IF(S15="Menor",0.4,IF(S15="Moderado",0.6,IF(S15="Mayor",0.8,IF(S15="Catastrófico",1,))))))</f>
        <v>0.6</v>
      </c>
      <c r="U15" s="374"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Moderado</v>
      </c>
      <c r="V15" s="228">
        <v>1</v>
      </c>
      <c r="W15" s="238" t="s">
        <v>459</v>
      </c>
      <c r="X15" s="239" t="s">
        <v>433</v>
      </c>
      <c r="Y15" s="240" t="str">
        <f>IF(OR(Z15="Preventivo",Z15="Detectivo"),"Probabilidad",IF(Z15="Correctivo","Impacto",""))</f>
        <v>Probabilidad</v>
      </c>
      <c r="Z15" s="232" t="s">
        <v>150</v>
      </c>
      <c r="AA15" s="232" t="s">
        <v>164</v>
      </c>
      <c r="AB15" s="229" t="str">
        <f t="shared" ref="AB15:AB16" si="2">IF(AND(Z15="Preventivo",AA15="Automático"),"50%",IF(AND(Z15="Preventivo",AA15="Manual"),"40%",IF(AND(Z15="Detectivo",AA15="Automático"),"40%",IF(AND(Z15="Detectivo",AA15="Manual"),"30%",IF(AND(Z15="Correctivo",AA15="Automático"),"35%",IF(AND(Z15="Correctivo",AA15="Manual"),"25%",""))))))</f>
        <v>40%</v>
      </c>
      <c r="AC15" s="232" t="s">
        <v>152</v>
      </c>
      <c r="AD15" s="232" t="s">
        <v>153</v>
      </c>
      <c r="AE15" s="232" t="s">
        <v>411</v>
      </c>
      <c r="AF15" s="244" t="s">
        <v>441</v>
      </c>
      <c r="AG15" s="376">
        <f>IFERROR(IF(Y15="Probabilidad",Q15-(Q15*((AB15+AB17)/2)),IF(Y15="Impacto",Q15,"")),"")</f>
        <v>0.36</v>
      </c>
      <c r="AH15" s="379" t="str">
        <f>IFERROR(IF(AG15="","",IF(AG15&lt;=0.2,"Muy Baja",IF(AG15&lt;=0.4,"Baja",IF(AG15&lt;=0.6,"Media",IF(AG15&lt;=0.8,"Alta","Muy Alta"))))),"")</f>
        <v>Baja</v>
      </c>
      <c r="AI15" s="391">
        <f>+AG15</f>
        <v>0.36</v>
      </c>
      <c r="AJ15" s="379" t="str">
        <f>IFERROR(IF(AK15="","",IF(AK15&lt;=0.2,"Leve",IF(AK15&lt;=0.4,"Menor",IF(AK15&lt;=0.6,"Moderado",IF(AK15&lt;=0.8,"Mayor","Catastrófico"))))),"")</f>
        <v>Moderado</v>
      </c>
      <c r="AK15" s="391">
        <f>IFERROR(IF(Y15="Impacto",(T15-(T15*((AB15+#REF!)/2))),IF(Y15="Probabilidad",T15,"")),"")</f>
        <v>0.6</v>
      </c>
      <c r="AL15" s="379" t="str">
        <f>IFERROR(IF(OR(AND(AH15="Muy Baja",AJ15="Leve"),AND(AH15="Muy Baja",AJ15="Menor"),
AND(AH15="Baja",AJ15="Leve")
),"Bajo",IF(OR(AND(AH15="Muy Baja",AJ15="Moderado"),AND(AH15="Baja",AJ15="Menor"),
AND(AH15="Baja",AJ15="Moderado"),AND(AH15="Media",AJ15="Leve"),
AND(AH15="Media",AJ15="Menor"),
AND(AH15="Media",AJ15="Moderado"),AND(AH15="Alta",AJ15="Leve"),
AND(AH15="Alta",AJ15="Menor")
),
"Moderado",
IF(
OR(
AND(AH15="Muy Baja",AJ15="Mayor"),
AND(AH15="Alta",AJ15="Moderado"),AND(AH15="Alta",AJ15="Mayor"),
AND(AH15="Muy Alta",AJ15="Leve"),AND(AH15="Muy Alta",AJ15="Menor"),
AND(AH15="Muy Alta",AJ15="Moderado"),
AND(AH15="Muy Alta",AJ15="Mayor"),
AND(AH15="Baja",AJ15="Mayor"),
AND(AH15="Media",AJ15="Mayor")
),"Alto",
IF(
AJ15="Catastrófico",
"Extremo",""
)
)
)
),
"")</f>
        <v>Moderado</v>
      </c>
      <c r="AM15" s="388" t="s">
        <v>101</v>
      </c>
      <c r="AN15" s="230">
        <v>1</v>
      </c>
      <c r="AO15" s="242" t="s">
        <v>475</v>
      </c>
      <c r="AP15" s="243" t="s">
        <v>462</v>
      </c>
      <c r="AQ15" s="243" t="s">
        <v>463</v>
      </c>
      <c r="AR15" s="243" t="s">
        <v>434</v>
      </c>
      <c r="AS15" s="326"/>
      <c r="AT15" s="320"/>
      <c r="AU15" s="725"/>
      <c r="AV15" s="251"/>
      <c r="AW15" s="725"/>
      <c r="AX15" s="251"/>
      <c r="AY15" s="251"/>
      <c r="AZ15" s="439"/>
      <c r="BA15" s="217"/>
      <c r="BB15" s="218"/>
      <c r="BC15" s="225"/>
      <c r="BD15" s="219"/>
      <c r="BE15" s="202"/>
      <c r="BF15" s="189"/>
      <c r="BG15" s="189"/>
      <c r="BH15" s="189"/>
      <c r="BI15" s="189"/>
      <c r="BJ15" s="189"/>
      <c r="BK15" s="189"/>
      <c r="BL15" s="189"/>
      <c r="BM15" s="189"/>
      <c r="BN15" s="189"/>
      <c r="BO15" s="189"/>
      <c r="BP15" s="189"/>
      <c r="BQ15" s="189"/>
      <c r="BR15" s="189"/>
      <c r="BS15" s="189"/>
      <c r="BT15" s="189"/>
      <c r="BU15" s="189"/>
      <c r="BV15" s="189"/>
      <c r="BW15" s="189"/>
      <c r="BX15" s="189"/>
      <c r="BY15" s="189"/>
      <c r="BZ15" s="189"/>
      <c r="CA15" s="189"/>
      <c r="CB15" s="189"/>
      <c r="CC15" s="189"/>
      <c r="CD15" s="189"/>
    </row>
    <row r="16" spans="1:82" s="188" customFormat="1" ht="189" customHeight="1" thickBot="1">
      <c r="D16" s="331"/>
      <c r="E16" s="334"/>
      <c r="F16" s="334"/>
      <c r="G16" s="334"/>
      <c r="H16" s="334"/>
      <c r="I16" s="443"/>
      <c r="J16" s="443"/>
      <c r="K16" s="339"/>
      <c r="L16" s="349"/>
      <c r="M16" s="370"/>
      <c r="N16" s="370"/>
      <c r="O16" s="400"/>
      <c r="P16" s="395"/>
      <c r="Q16" s="319"/>
      <c r="R16" s="313"/>
      <c r="S16" s="316"/>
      <c r="T16" s="319"/>
      <c r="U16" s="316"/>
      <c r="V16" s="190">
        <v>2</v>
      </c>
      <c r="W16" s="238" t="s">
        <v>461</v>
      </c>
      <c r="X16" s="239" t="s">
        <v>460</v>
      </c>
      <c r="Y16" s="240" t="str">
        <f t="shared" ref="Y16" si="3">IF(OR(Z16="Preventivo",Z16="Detectivo"),"Probabilidad",IF(Z16="Correctivo","Impacto",""))</f>
        <v>Probabilidad</v>
      </c>
      <c r="Z16" s="234" t="s">
        <v>150</v>
      </c>
      <c r="AA16" s="234" t="s">
        <v>164</v>
      </c>
      <c r="AB16" s="229" t="str">
        <f t="shared" si="2"/>
        <v>40%</v>
      </c>
      <c r="AC16" s="234" t="s">
        <v>152</v>
      </c>
      <c r="AD16" s="234" t="s">
        <v>153</v>
      </c>
      <c r="AE16" s="234" t="s">
        <v>411</v>
      </c>
      <c r="AF16" s="244" t="s">
        <v>441</v>
      </c>
      <c r="AG16" s="377"/>
      <c r="AH16" s="325"/>
      <c r="AI16" s="319"/>
      <c r="AJ16" s="325"/>
      <c r="AK16" s="319"/>
      <c r="AL16" s="325"/>
      <c r="AM16" s="389"/>
      <c r="AN16" s="190">
        <v>2</v>
      </c>
      <c r="AO16" s="238" t="s">
        <v>464</v>
      </c>
      <c r="AP16" s="243" t="s">
        <v>462</v>
      </c>
      <c r="AQ16" s="243" t="s">
        <v>465</v>
      </c>
      <c r="AR16" s="243" t="s">
        <v>434</v>
      </c>
      <c r="AS16" s="326"/>
      <c r="AT16" s="321"/>
      <c r="AU16" s="726"/>
      <c r="AV16" s="251"/>
      <c r="AW16" s="726"/>
      <c r="AX16" s="251"/>
      <c r="AY16" s="251"/>
      <c r="AZ16" s="440"/>
      <c r="BA16" s="208"/>
      <c r="BB16" s="209"/>
      <c r="BC16" s="226"/>
      <c r="BD16" s="220"/>
      <c r="BE16" s="203"/>
      <c r="BF16" s="189"/>
      <c r="BG16" s="189"/>
      <c r="BH16" s="189"/>
      <c r="BI16" s="189"/>
      <c r="BJ16" s="189"/>
      <c r="BK16" s="189"/>
      <c r="BL16" s="189"/>
      <c r="BM16" s="189"/>
      <c r="BN16" s="189"/>
      <c r="BO16" s="189"/>
      <c r="BP16" s="189"/>
      <c r="BQ16" s="189"/>
      <c r="BR16" s="189"/>
      <c r="BS16" s="189"/>
      <c r="BT16" s="189"/>
      <c r="BU16" s="189"/>
      <c r="BV16" s="189"/>
      <c r="BW16" s="189"/>
      <c r="BX16" s="189"/>
      <c r="BY16" s="189"/>
      <c r="BZ16" s="189"/>
      <c r="CA16" s="189"/>
      <c r="CB16" s="189"/>
      <c r="CC16" s="189"/>
      <c r="CD16" s="189"/>
    </row>
    <row r="17" spans="4:82" s="188" customFormat="1" ht="189" customHeight="1">
      <c r="D17" s="341"/>
      <c r="E17" s="343"/>
      <c r="F17" s="343"/>
      <c r="G17" s="343"/>
      <c r="H17" s="343"/>
      <c r="I17" s="444"/>
      <c r="J17" s="444"/>
      <c r="K17" s="340"/>
      <c r="L17" s="350"/>
      <c r="M17" s="371"/>
      <c r="N17" s="371"/>
      <c r="O17" s="401"/>
      <c r="P17" s="396"/>
      <c r="Q17" s="392"/>
      <c r="R17" s="447"/>
      <c r="S17" s="375"/>
      <c r="T17" s="392"/>
      <c r="U17" s="375"/>
      <c r="V17" s="190">
        <v>3</v>
      </c>
      <c r="W17" s="238" t="s">
        <v>436</v>
      </c>
      <c r="X17" s="239" t="s">
        <v>437</v>
      </c>
      <c r="Y17" s="245" t="str">
        <f t="shared" ref="Y17:Y23" si="4">IF(OR(Z17="Preventivo",Z17="Detectivo"),"Probabilidad",IF(Z17="Correctivo","Impacto",""))</f>
        <v>Probabilidad</v>
      </c>
      <c r="Z17" s="234" t="s">
        <v>150</v>
      </c>
      <c r="AA17" s="234" t="s">
        <v>164</v>
      </c>
      <c r="AB17" s="229" t="str">
        <f t="shared" ref="AB17:AB19" si="5">IF(AND(Z17="Preventivo",AA17="Automático"),"50%",IF(AND(Z17="Preventivo",AA17="Manual"),"40%",IF(AND(Z17="Detectivo",AA17="Automático"),"40%",IF(AND(Z17="Detectivo",AA17="Manual"),"30%",IF(AND(Z17="Correctivo",AA17="Automático"),"35%",IF(AND(Z17="Correctivo",AA17="Manual"),"25%",""))))))</f>
        <v>40%</v>
      </c>
      <c r="AC17" s="234" t="s">
        <v>152</v>
      </c>
      <c r="AD17" s="234" t="s">
        <v>153</v>
      </c>
      <c r="AE17" s="234" t="s">
        <v>411</v>
      </c>
      <c r="AF17" s="244" t="s">
        <v>441</v>
      </c>
      <c r="AG17" s="378"/>
      <c r="AH17" s="327"/>
      <c r="AI17" s="392"/>
      <c r="AJ17" s="327"/>
      <c r="AK17" s="392"/>
      <c r="AL17" s="327"/>
      <c r="AM17" s="390"/>
      <c r="AN17" s="190">
        <v>3</v>
      </c>
      <c r="AO17" s="242" t="s">
        <v>438</v>
      </c>
      <c r="AP17" s="243" t="s">
        <v>435</v>
      </c>
      <c r="AQ17" s="243" t="s">
        <v>439</v>
      </c>
      <c r="AR17" s="247" t="s">
        <v>440</v>
      </c>
      <c r="AS17" s="326"/>
      <c r="AT17" s="322"/>
      <c r="AU17" s="251"/>
      <c r="AV17" s="251"/>
      <c r="AW17" s="726"/>
      <c r="AX17" s="251"/>
      <c r="AY17" s="251"/>
      <c r="AZ17" s="441"/>
      <c r="BA17" s="208"/>
      <c r="BB17" s="209"/>
      <c r="BC17" s="226"/>
      <c r="BD17" s="220"/>
      <c r="BE17" s="203"/>
      <c r="BF17" s="189"/>
      <c r="BG17" s="189"/>
      <c r="BH17" s="189"/>
      <c r="BI17" s="189"/>
      <c r="BJ17" s="189"/>
      <c r="BK17" s="189"/>
      <c r="BL17" s="189"/>
      <c r="BM17" s="189"/>
      <c r="BN17" s="189"/>
      <c r="BO17" s="189"/>
      <c r="BP17" s="189"/>
      <c r="BQ17" s="189"/>
      <c r="BR17" s="189"/>
      <c r="BS17" s="189"/>
      <c r="BT17" s="189"/>
      <c r="BU17" s="189"/>
      <c r="BV17" s="189"/>
      <c r="BW17" s="189"/>
      <c r="BX17" s="189"/>
      <c r="BY17" s="189"/>
      <c r="BZ17" s="189"/>
      <c r="CA17" s="189"/>
      <c r="CB17" s="189"/>
      <c r="CC17" s="189"/>
      <c r="CD17" s="189"/>
    </row>
    <row r="18" spans="4:82" s="188" customFormat="1" ht="131" customHeight="1">
      <c r="D18" s="329">
        <v>2</v>
      </c>
      <c r="E18" s="332" t="s">
        <v>142</v>
      </c>
      <c r="F18" s="332" t="s">
        <v>172</v>
      </c>
      <c r="G18" s="335"/>
      <c r="H18" s="332" t="s">
        <v>182</v>
      </c>
      <c r="I18" s="338" t="s">
        <v>425</v>
      </c>
      <c r="J18" s="338" t="s">
        <v>424</v>
      </c>
      <c r="K18" s="338" t="s">
        <v>426</v>
      </c>
      <c r="L18" s="338" t="s">
        <v>161</v>
      </c>
      <c r="M18" s="405"/>
      <c r="N18" s="405"/>
      <c r="O18" s="407">
        <v>4</v>
      </c>
      <c r="P18" s="409" t="str">
        <f>IF(O18&lt;=0,"",IF(O18&lt;=2,"Muy Baja",IF(O18&lt;=24,"Baja",IF(O18&lt;=500,"Media",IF(O18&lt;=5000,"Alta","Muy Alta")))))</f>
        <v>Baja</v>
      </c>
      <c r="Q18" s="317">
        <f t="shared" ref="Q18" si="6">IF(P18="","",IF(P18="Muy Baja",0.2,IF(P18="Baja",0.4,IF(P18="Media",0.6,IF(P18="Alta",0.8,IF(P18="Muy Alta",1,))))))</f>
        <v>0.4</v>
      </c>
      <c r="R18" s="311" t="s">
        <v>117</v>
      </c>
      <c r="S18" s="314" t="str">
        <f>IFERROR(VLOOKUP(R18,Criterios[],2,FALSE),"")</f>
        <v>Menor</v>
      </c>
      <c r="T18" s="317">
        <f t="shared" ref="T18" si="7">IF(S18="","",IF(S18="Leve",0.2,IF(S18="Menor",0.4,IF(S18="Moderado",0.6,IF(S18="Mayor",0.8,IF(S18="Catastrófico",1,))))))</f>
        <v>0.4</v>
      </c>
      <c r="U18" s="314" t="str">
        <f>IF(OR(AND(P18="Muy Baja",S18="Leve"),AND(P18="Muy Baja",S18="Menor"),AND(P18="Baja",S18="Leve")),"Bajo",IF(OR(AND(P18="Muy baja",S18="Moderado"),AND(P18="Baja",S18="Menor"),AND(P18="Baja",S18="Moderado"),AND(P18="Media",S18="Leve"),AND(P18="Media",S18="Menor"),AND(P18="Media",S18="Moderado"),AND(P18="Alta",S18="Leve"),AND(P18="Alta",S18="Menor")),"Moderado",IF(OR(AND(P18="Muy Baja",S18="Mayor"),AND(P18="Baja",S18="Mayor"),AND(P18="Media",S18="Mayor"),AND(P18="Alta",S18="Moderado"),AND(P18="Alta",S18="Mayor"),AND(P18="Muy Alta",S18="Leve"),AND(P18="Muy Alta",S18="Menor"),AND(P18="Muy Alta",S18="Moderado"),AND(P18="Muy Alta",S18="Mayor")),"Alto",IF(OR(AND(P18="Muy Baja",S18="Catastrófico"),AND(P18="Baja",S18="Catastrófico"),AND(P18="Media",S18="Catastrófico"),AND(P18="Alta",S18="Catastrófico"),AND(P18="Muy Alta",S18="Catastrófico")),"Extremo",""))))</f>
        <v>Moderado</v>
      </c>
      <c r="V18" s="224">
        <v>1</v>
      </c>
      <c r="W18" s="238" t="s">
        <v>476</v>
      </c>
      <c r="X18" s="252" t="s">
        <v>443</v>
      </c>
      <c r="Y18" s="245" t="str">
        <f t="shared" ref="Y18:Y19" si="8">IF(OR(Z18="Preventivo",Z18="Detectivo"),"Probabilidad",IF(Z18="Correctivo","Impacto",""))</f>
        <v>Probabilidad</v>
      </c>
      <c r="Z18" s="233" t="s">
        <v>150</v>
      </c>
      <c r="AA18" s="233" t="s">
        <v>164</v>
      </c>
      <c r="AB18" s="229" t="str">
        <f t="shared" si="5"/>
        <v>40%</v>
      </c>
      <c r="AC18" s="233" t="s">
        <v>152</v>
      </c>
      <c r="AD18" s="233" t="s">
        <v>153</v>
      </c>
      <c r="AE18" s="233" t="s">
        <v>411</v>
      </c>
      <c r="AF18" s="246" t="s">
        <v>444</v>
      </c>
      <c r="AG18" s="231">
        <f>IFERROR(IF(Y18="Probabilidad",Q18-(Q18*((AB18))),IF(Y18="Impacto",Q18,"")),"")</f>
        <v>0.24</v>
      </c>
      <c r="AH18" s="323" t="str">
        <f>IFERROR(IF(AVERAGE(AG18,AG20)="","",IF(AG18&lt;=0.2,"Muy Baja",IF(AG18&lt;=0.4,"Baja",IF(AG18&lt;=0.6,"Media",IF(AG18&lt;=0.8,"Alta","Muy Alta"))))),"")</f>
        <v>Baja</v>
      </c>
      <c r="AI18" s="229">
        <f t="shared" ref="AI18:AI19" si="9">+AG18</f>
        <v>0.24</v>
      </c>
      <c r="AJ18" s="323" t="str">
        <f t="shared" ref="AJ18" si="10">IFERROR(IF(AK18="","",IF(AK18&lt;=0.2,"Leve",IF(AK18&lt;=0.4,"Menor",IF(AK18&lt;=0.6,"Moderado",IF(AK18&lt;=0.8,"Mayor","Catastrófico"))))),"")</f>
        <v>Menor</v>
      </c>
      <c r="AK18" s="229">
        <f>IFERROR(IF(Y18="Impacto",(T18-(T18*((AB18+#REF!+#REF!+#REF!)/4))),IF(Y18="Probabilidad",T18,"")),"")</f>
        <v>0.4</v>
      </c>
      <c r="AL18" s="323" t="str">
        <f>IFERROR(IF(OR(AND(AH18="Muy Baja",AJ18="Leve"),AND(AH18="Muy Baja",AJ18="Menor"),
AND(AH18="Baja",AJ18="Leve")
),"Bajo",IF(OR(AND(AH18="Muy Baja",AJ18="Moderado"),AND(AH18="Baja",AJ18="Menor"),
AND(AH18="Baja",AJ18="Moderado"),AND(AH18="Media",AJ18="Leve"),
AND(AH18="Media",AJ18="Menor"),
AND(AH18="Media",AJ18="Moderado"),AND(AH18="Alta",AJ18="Leve"),
AND(AH18="Alta",AJ18="Menor")
),
"Moderado",
IF(
OR(
AND(AH18="Muy Baja",AJ18="Mayor"),
AND(AH18="Alta",AJ18="Moderado"),AND(AH18="Alta",AJ18="Mayor"),
AND(AH18="Muy Alta",AJ18="Leve"),AND(AH18="Muy Alta",AJ18="Menor"),
AND(AH18="Muy Alta",AJ18="Moderado"),
AND(AH18="Muy Alta",AJ18="Mayor"),
AND(AH18="Baja",AJ18="Mayor"),
AND(AH18="Media",AJ18="Mayor")
),"Alto",
IF(
AJ18="Catastrófico",
"Extremo",""
)
)
)
),
"")</f>
        <v>Moderado</v>
      </c>
      <c r="AM18" s="233" t="s">
        <v>101</v>
      </c>
      <c r="AN18" s="224">
        <v>1</v>
      </c>
      <c r="AO18" s="723" t="s">
        <v>448</v>
      </c>
      <c r="AP18" s="724" t="s">
        <v>478</v>
      </c>
      <c r="AQ18" s="724" t="s">
        <v>439</v>
      </c>
      <c r="AR18" s="724" t="s">
        <v>456</v>
      </c>
      <c r="AS18" s="326"/>
      <c r="AT18" s="320"/>
      <c r="AU18" s="251"/>
      <c r="AV18" s="251"/>
      <c r="AW18" s="253"/>
      <c r="AX18" s="251"/>
      <c r="AY18" s="251"/>
      <c r="AZ18" s="441"/>
      <c r="BA18" s="208"/>
      <c r="BB18" s="209"/>
      <c r="BC18" s="226"/>
      <c r="BD18" s="220"/>
      <c r="BE18" s="189"/>
      <c r="BF18" s="203"/>
      <c r="BG18" s="189"/>
      <c r="BH18" s="189"/>
      <c r="BI18" s="189"/>
      <c r="BJ18" s="189"/>
      <c r="BK18" s="189"/>
      <c r="BL18" s="189"/>
      <c r="BM18" s="189"/>
      <c r="BN18" s="189"/>
      <c r="BO18" s="189"/>
      <c r="BP18" s="189"/>
      <c r="BQ18" s="189"/>
      <c r="BR18" s="189"/>
      <c r="BS18" s="189"/>
      <c r="BT18" s="189"/>
      <c r="BU18" s="189"/>
      <c r="BV18" s="189"/>
      <c r="BW18" s="189"/>
      <c r="BX18" s="189"/>
      <c r="BY18" s="189"/>
      <c r="BZ18" s="189"/>
      <c r="CA18" s="189"/>
      <c r="CB18" s="189"/>
      <c r="CC18" s="189"/>
      <c r="CD18" s="189"/>
    </row>
    <row r="19" spans="4:82" s="188" customFormat="1" ht="114" customHeight="1">
      <c r="D19" s="330"/>
      <c r="E19" s="333"/>
      <c r="F19" s="333"/>
      <c r="G19" s="336"/>
      <c r="H19" s="333"/>
      <c r="I19" s="339"/>
      <c r="J19" s="339"/>
      <c r="K19" s="339"/>
      <c r="L19" s="339"/>
      <c r="M19" s="406"/>
      <c r="N19" s="406"/>
      <c r="O19" s="408"/>
      <c r="P19" s="410"/>
      <c r="Q19" s="318"/>
      <c r="R19" s="312"/>
      <c r="S19" s="315"/>
      <c r="T19" s="318"/>
      <c r="U19" s="315"/>
      <c r="V19" s="224">
        <v>2</v>
      </c>
      <c r="W19" s="238" t="s">
        <v>445</v>
      </c>
      <c r="X19" s="252" t="s">
        <v>446</v>
      </c>
      <c r="Y19" s="245" t="str">
        <f t="shared" si="8"/>
        <v>Probabilidad</v>
      </c>
      <c r="Z19" s="233" t="s">
        <v>150</v>
      </c>
      <c r="AA19" s="233" t="s">
        <v>164</v>
      </c>
      <c r="AB19" s="229" t="str">
        <f t="shared" si="5"/>
        <v>40%</v>
      </c>
      <c r="AC19" s="233" t="s">
        <v>152</v>
      </c>
      <c r="AD19" s="233" t="s">
        <v>153</v>
      </c>
      <c r="AE19" s="233" t="s">
        <v>411</v>
      </c>
      <c r="AF19" s="246" t="s">
        <v>444</v>
      </c>
      <c r="AG19" s="231">
        <f>IFERROR(IF(Y19="Probabilidad",Q17-(Q17*((AB19))),IF(Y19="Impacto",Q17,"")),"")</f>
        <v>0</v>
      </c>
      <c r="AH19" s="324"/>
      <c r="AI19" s="229">
        <f t="shared" si="9"/>
        <v>0</v>
      </c>
      <c r="AJ19" s="324"/>
      <c r="AK19" s="229">
        <f>IFERROR(IF(Y19="Impacto",(T19-(T19*((AB19+#REF!+#REF!+#REF!)/4))),IF(Y19="Probabilidad",T19,"")),"")</f>
        <v>0</v>
      </c>
      <c r="AL19" s="324"/>
      <c r="AM19" s="233" t="s">
        <v>101</v>
      </c>
      <c r="AN19" s="224">
        <v>2</v>
      </c>
      <c r="AO19" s="723" t="s">
        <v>457</v>
      </c>
      <c r="AP19" s="724" t="s">
        <v>478</v>
      </c>
      <c r="AQ19" s="724" t="s">
        <v>449</v>
      </c>
      <c r="AR19" s="724" t="s">
        <v>456</v>
      </c>
      <c r="AS19" s="326"/>
      <c r="AT19" s="321"/>
      <c r="AU19" s="251"/>
      <c r="AV19" s="251"/>
      <c r="AW19" s="253"/>
      <c r="AX19" s="251"/>
      <c r="AY19" s="251"/>
      <c r="AZ19" s="441"/>
      <c r="BA19" s="208"/>
      <c r="BB19" s="209"/>
      <c r="BC19" s="226"/>
      <c r="BD19" s="220"/>
      <c r="BE19" s="189"/>
      <c r="BF19" s="203"/>
      <c r="BG19" s="189"/>
      <c r="BH19" s="189"/>
      <c r="BI19" s="189"/>
      <c r="BJ19" s="189"/>
      <c r="BK19" s="189"/>
      <c r="BL19" s="189"/>
      <c r="BM19" s="189"/>
      <c r="BN19" s="189"/>
      <c r="BO19" s="189"/>
      <c r="BP19" s="189"/>
      <c r="BQ19" s="189"/>
      <c r="BR19" s="189"/>
      <c r="BS19" s="189"/>
      <c r="BT19" s="189"/>
      <c r="BU19" s="189"/>
      <c r="BV19" s="189"/>
      <c r="BW19" s="189"/>
      <c r="BX19" s="189"/>
      <c r="BY19" s="189"/>
      <c r="BZ19" s="189"/>
      <c r="CA19" s="189"/>
      <c r="CB19" s="189"/>
      <c r="CC19" s="189"/>
      <c r="CD19" s="189"/>
    </row>
    <row r="20" spans="4:82" s="188" customFormat="1" ht="114" customHeight="1">
      <c r="D20" s="331"/>
      <c r="E20" s="334"/>
      <c r="F20" s="334"/>
      <c r="G20" s="337"/>
      <c r="H20" s="334"/>
      <c r="I20" s="340"/>
      <c r="J20" s="340" t="s">
        <v>424</v>
      </c>
      <c r="K20" s="340" t="s">
        <v>426</v>
      </c>
      <c r="L20" s="340" t="s">
        <v>161</v>
      </c>
      <c r="M20" s="370"/>
      <c r="N20" s="370"/>
      <c r="O20" s="400"/>
      <c r="P20" s="395"/>
      <c r="Q20" s="319"/>
      <c r="R20" s="313"/>
      <c r="S20" s="316"/>
      <c r="T20" s="319"/>
      <c r="U20" s="316"/>
      <c r="V20" s="224">
        <v>3</v>
      </c>
      <c r="W20" s="238" t="s">
        <v>477</v>
      </c>
      <c r="X20" s="252" t="s">
        <v>447</v>
      </c>
      <c r="Y20" s="245" t="str">
        <f t="shared" si="4"/>
        <v>Probabilidad</v>
      </c>
      <c r="Z20" s="233" t="s">
        <v>100</v>
      </c>
      <c r="AA20" s="233" t="s">
        <v>164</v>
      </c>
      <c r="AB20" s="229" t="str">
        <f t="shared" ref="AB20:AB23" si="11">IF(AND(Z20="Preventivo",AA20="Automático"),"50%",IF(AND(Z20="Preventivo",AA20="Manual"),"40%",IF(AND(Z20="Detectivo",AA20="Automático"),"40%",IF(AND(Z20="Detectivo",AA20="Manual"),"30%",IF(AND(Z20="Correctivo",AA20="Automático"),"35%",IF(AND(Z20="Correctivo",AA20="Manual"),"25%",""))))))</f>
        <v>30%</v>
      </c>
      <c r="AC20" s="233" t="s">
        <v>152</v>
      </c>
      <c r="AD20" s="233" t="s">
        <v>153</v>
      </c>
      <c r="AE20" s="233" t="s">
        <v>411</v>
      </c>
      <c r="AF20" s="246" t="s">
        <v>444</v>
      </c>
      <c r="AG20" s="231">
        <f>IFERROR(IF(Y20="Probabilidad",Q18-(Q18*((AB20))),IF(Y20="Impacto",Q18,"")),"")</f>
        <v>0.28000000000000003</v>
      </c>
      <c r="AH20" s="325"/>
      <c r="AI20" s="229">
        <f t="shared" ref="AI20" si="12">+AG20</f>
        <v>0.28000000000000003</v>
      </c>
      <c r="AJ20" s="325"/>
      <c r="AK20" s="229">
        <f>IFERROR(IF(Y20="Impacto",(T20-(T20*((AB20+#REF!+#REF!+#REF!)/4))),IF(Y20="Probabilidad",T20,"")),"")</f>
        <v>0</v>
      </c>
      <c r="AL20" s="325"/>
      <c r="AM20" s="233" t="s">
        <v>101</v>
      </c>
      <c r="AN20" s="224">
        <v>3</v>
      </c>
      <c r="AO20" s="723" t="s">
        <v>458</v>
      </c>
      <c r="AP20" s="724" t="s">
        <v>478</v>
      </c>
      <c r="AQ20" s="724" t="s">
        <v>450</v>
      </c>
      <c r="AR20" s="724" t="s">
        <v>451</v>
      </c>
      <c r="AS20" s="326"/>
      <c r="AT20" s="322"/>
      <c r="AU20" s="251"/>
      <c r="AV20" s="251"/>
      <c r="AW20" s="253"/>
      <c r="AX20" s="251"/>
      <c r="AY20" s="251"/>
      <c r="AZ20" s="441"/>
      <c r="BA20" s="208"/>
      <c r="BB20" s="209"/>
      <c r="BC20" s="226"/>
      <c r="BD20" s="220"/>
      <c r="BE20" s="189"/>
      <c r="BF20" s="203"/>
      <c r="BG20" s="189"/>
      <c r="BH20" s="189"/>
      <c r="BI20" s="189"/>
      <c r="BJ20" s="189"/>
      <c r="BK20" s="189"/>
      <c r="BL20" s="189"/>
      <c r="BM20" s="189"/>
      <c r="BN20" s="189"/>
      <c r="BO20" s="189"/>
      <c r="BP20" s="189"/>
      <c r="BQ20" s="189"/>
      <c r="BR20" s="189"/>
      <c r="BS20" s="189"/>
      <c r="BT20" s="189"/>
      <c r="BU20" s="189"/>
      <c r="BV20" s="189"/>
      <c r="BW20" s="189"/>
      <c r="BX20" s="189"/>
      <c r="BY20" s="189"/>
      <c r="BZ20" s="189"/>
      <c r="CA20" s="189"/>
      <c r="CB20" s="189"/>
      <c r="CC20" s="189"/>
      <c r="CD20" s="189"/>
    </row>
    <row r="21" spans="4:82" s="188" customFormat="1" ht="102.5" customHeight="1">
      <c r="D21" s="331">
        <v>3</v>
      </c>
      <c r="E21" s="334" t="s">
        <v>99</v>
      </c>
      <c r="F21" s="334" t="s">
        <v>158</v>
      </c>
      <c r="G21" s="337"/>
      <c r="H21" s="334" t="s">
        <v>187</v>
      </c>
      <c r="I21" s="340" t="s">
        <v>429</v>
      </c>
      <c r="J21" s="340" t="s">
        <v>428</v>
      </c>
      <c r="K21" s="340" t="s">
        <v>427</v>
      </c>
      <c r="L21" s="349" t="s">
        <v>188</v>
      </c>
      <c r="M21" s="370"/>
      <c r="N21" s="370"/>
      <c r="O21" s="400">
        <v>34</v>
      </c>
      <c r="P21" s="395" t="str">
        <f>IF(O21&lt;=0,"",IF(O21&lt;=2,"Muy Baja",IF(O21&lt;=24,"Baja",IF(O21&lt;=500,"Media",IF(O21&lt;=5000,"Alta","Muy Alta")))))</f>
        <v>Media</v>
      </c>
      <c r="Q21" s="319">
        <f t="shared" ref="Q21" si="13">IF(P21="","",IF(P21="Muy Baja",0.2,IF(P21="Baja",0.4,IF(P21="Media",0.6,IF(P21="Alta",0.8,IF(P21="Muy Alta",1,))))))</f>
        <v>0.6</v>
      </c>
      <c r="R21" s="313" t="s">
        <v>132</v>
      </c>
      <c r="S21" s="316" t="str">
        <f>IFERROR(VLOOKUP(R21,Criterios[],2,FALSE),"")</f>
        <v>Catastrófico</v>
      </c>
      <c r="T21" s="319">
        <f t="shared" ref="T21" si="14">IF(S21="","",IF(S21="Leve",0.2,IF(S21="Menor",0.4,IF(S21="Moderado",0.6,IF(S21="Mayor",0.8,IF(S21="Catastrófico",1,))))))</f>
        <v>1</v>
      </c>
      <c r="U21" s="316" t="str">
        <f>IF(OR(AND(P21="Muy Baja",S21="Leve"),AND(P21="Muy Baja",S21="Menor"),AND(P21="Baja",S21="Leve")),"Bajo",IF(OR(AND(P21="Muy baja",S21="Moderado"),AND(P21="Baja",S21="Menor"),AND(P21="Baja",S21="Moderado"),AND(P21="Media",S21="Leve"),AND(P21="Media",S21="Menor"),AND(P21="Media",S21="Moderado"),AND(P21="Alta",S21="Leve"),AND(P21="Alta",S21="Menor")),"Moderado",IF(OR(AND(P21="Muy Baja",S21="Mayor"),AND(P21="Baja",S21="Mayor"),AND(P21="Media",S21="Mayor"),AND(P21="Alta",S21="Moderado"),AND(P21="Alta",S21="Mayor"),AND(P21="Muy Alta",S21="Leve"),AND(P21="Muy Alta",S21="Menor"),AND(P21="Muy Alta",S21="Moderado"),AND(P21="Muy Alta",S21="Mayor")),"Alto",IF(OR(AND(P21="Muy Baja",S21="Catastrófico"),AND(P21="Baja",S21="Catastrófico"),AND(P21="Media",S21="Catastrófico"),AND(P21="Alta",S21="Catastrófico"),AND(P21="Muy Alta",S21="Catastrófico")),"Extremo",""))))</f>
        <v>Extremo</v>
      </c>
      <c r="V21" s="224">
        <v>1</v>
      </c>
      <c r="W21" s="255" t="s">
        <v>467</v>
      </c>
      <c r="X21" s="256" t="s">
        <v>470</v>
      </c>
      <c r="Y21" s="245" t="str">
        <f t="shared" si="4"/>
        <v>Probabilidad</v>
      </c>
      <c r="Z21" s="233" t="s">
        <v>150</v>
      </c>
      <c r="AA21" s="233" t="s">
        <v>164</v>
      </c>
      <c r="AB21" s="229" t="str">
        <f t="shared" si="11"/>
        <v>40%</v>
      </c>
      <c r="AC21" s="233" t="s">
        <v>152</v>
      </c>
      <c r="AD21" s="233" t="s">
        <v>153</v>
      </c>
      <c r="AE21" s="233" t="s">
        <v>411</v>
      </c>
      <c r="AF21" s="254" t="s">
        <v>442</v>
      </c>
      <c r="AG21" s="377">
        <v>0.24</v>
      </c>
      <c r="AH21" s="325" t="str">
        <f>IFERROR(IF(AG21="","",IF(AG21&lt;=0.2,"Muy Baja",IF(AG21&lt;=0.4,"Baja",IF(AG21&lt;=0.6,"Media",IF(AG21&lt;=0.8,"Alta","Muy Alta"))))),"")</f>
        <v>Baja</v>
      </c>
      <c r="AI21" s="319">
        <f t="shared" ref="AI21" si="15">+AG21</f>
        <v>0.24</v>
      </c>
      <c r="AJ21" s="325" t="s">
        <v>118</v>
      </c>
      <c r="AK21" s="319">
        <f>IFERROR(IF(Y21="Impacto",(T21-(T21*((AB21+AB22+#REF!+AB23)/4))),IF(Y21="Probabilidad",T21,"")),"")</f>
        <v>1</v>
      </c>
      <c r="AL21" s="325" t="str">
        <f>IFERROR(IF(OR(AND(AH21="Muy Baja",AJ21="Leve"),AND(AH21="Muy Baja",AJ21="Menor"),
AND(AH21="Baja",AJ21="Leve")
),"Bajo",IF(OR(AND(AH21="Muy Baja",AJ21="Moderado"),AND(AH21="Baja",AJ21="Menor"),
AND(AH21="Baja",AJ21="Moderado"),AND(AH21="Media",AJ21="Leve"),
AND(AH21="Media",AJ21="Menor"),
AND(AH21="Media",AJ21="Moderado"),AND(AH21="Alta",AJ21="Leve"),
AND(AH21="Alta",AJ21="Menor")
),
"Moderado",
IF(
OR(
AND(AH21="Muy Baja",AJ21="Mayor"),
AND(AH21="Alta",AJ21="Moderado"),AND(AH21="Alta",AJ21="Mayor"),
AND(AH21="Muy Alta",AJ21="Leve"),AND(AH21="Muy Alta",AJ21="Menor"),
AND(AH21="Muy Alta",AJ21="Moderado"),
AND(AH21="Muy Alta",AJ21="Mayor"),
AND(AH21="Baja",AJ21="Mayor"),
AND(AH21="Media",AJ21="Mayor")
),"Alto",
IF(
AJ21="Catastrófico",
"Extremo",""
)
)
)
),
"")</f>
        <v>Moderado</v>
      </c>
      <c r="AM21" s="389" t="s">
        <v>101</v>
      </c>
      <c r="AN21" s="248">
        <v>1</v>
      </c>
      <c r="AO21" s="261" t="s">
        <v>469</v>
      </c>
      <c r="AP21" s="243" t="s">
        <v>462</v>
      </c>
      <c r="AQ21" s="243" t="s">
        <v>453</v>
      </c>
      <c r="AR21" s="243" t="s">
        <v>451</v>
      </c>
      <c r="AS21" s="326"/>
      <c r="AT21" s="320"/>
      <c r="AU21" s="251"/>
      <c r="AV21" s="251"/>
      <c r="AW21" s="253"/>
      <c r="AX21" s="251"/>
      <c r="AY21" s="251"/>
      <c r="AZ21" s="441"/>
      <c r="BA21" s="208"/>
      <c r="BB21" s="209"/>
      <c r="BC21" s="226"/>
      <c r="BD21" s="220"/>
      <c r="BE21" s="189"/>
      <c r="BF21" s="203"/>
      <c r="BG21" s="189"/>
      <c r="BH21" s="189"/>
      <c r="BI21" s="189"/>
      <c r="BJ21" s="189"/>
      <c r="BK21" s="189"/>
      <c r="BL21" s="189"/>
      <c r="BM21" s="189"/>
      <c r="BN21" s="189"/>
      <c r="BO21" s="189"/>
      <c r="BP21" s="189"/>
      <c r="BQ21" s="189"/>
      <c r="BR21" s="189"/>
      <c r="BS21" s="189"/>
      <c r="BT21" s="189"/>
      <c r="BU21" s="189"/>
      <c r="BV21" s="189"/>
      <c r="BW21" s="189"/>
      <c r="BX21" s="189"/>
      <c r="BY21" s="189"/>
      <c r="BZ21" s="189"/>
      <c r="CA21" s="189"/>
      <c r="CB21" s="189"/>
      <c r="CC21" s="189"/>
      <c r="CD21" s="189"/>
    </row>
    <row r="22" spans="4:82" s="188" customFormat="1" ht="80" customHeight="1">
      <c r="D22" s="341"/>
      <c r="E22" s="343"/>
      <c r="F22" s="343"/>
      <c r="G22" s="345"/>
      <c r="H22" s="343"/>
      <c r="I22" s="347"/>
      <c r="J22" s="347"/>
      <c r="K22" s="347"/>
      <c r="L22" s="350"/>
      <c r="M22" s="371"/>
      <c r="N22" s="371"/>
      <c r="O22" s="401"/>
      <c r="P22" s="396"/>
      <c r="Q22" s="392"/>
      <c r="R22" s="447"/>
      <c r="S22" s="375"/>
      <c r="T22" s="392"/>
      <c r="U22" s="375"/>
      <c r="V22" s="190">
        <v>2</v>
      </c>
      <c r="W22" s="257" t="s">
        <v>468</v>
      </c>
      <c r="X22" s="258" t="s">
        <v>472</v>
      </c>
      <c r="Y22" s="240" t="str">
        <f t="shared" si="4"/>
        <v>Probabilidad</v>
      </c>
      <c r="Z22" s="234" t="s">
        <v>150</v>
      </c>
      <c r="AA22" s="234" t="s">
        <v>164</v>
      </c>
      <c r="AB22" s="235" t="str">
        <f t="shared" si="11"/>
        <v>40%</v>
      </c>
      <c r="AC22" s="234" t="s">
        <v>152</v>
      </c>
      <c r="AD22" s="233" t="s">
        <v>153</v>
      </c>
      <c r="AE22" s="233" t="s">
        <v>411</v>
      </c>
      <c r="AF22" s="254" t="s">
        <v>442</v>
      </c>
      <c r="AG22" s="378"/>
      <c r="AH22" s="327"/>
      <c r="AI22" s="392"/>
      <c r="AJ22" s="327"/>
      <c r="AK22" s="392"/>
      <c r="AL22" s="327"/>
      <c r="AM22" s="390"/>
      <c r="AN22" s="249">
        <v>2</v>
      </c>
      <c r="AO22" s="262" t="s">
        <v>471</v>
      </c>
      <c r="AP22" s="243" t="s">
        <v>466</v>
      </c>
      <c r="AQ22" s="243" t="s">
        <v>454</v>
      </c>
      <c r="AR22" s="243" t="s">
        <v>451</v>
      </c>
      <c r="AS22" s="326"/>
      <c r="AT22" s="321"/>
      <c r="AU22" s="251"/>
      <c r="AV22" s="251"/>
      <c r="AW22" s="253"/>
      <c r="AX22" s="251"/>
      <c r="AY22" s="251"/>
      <c r="AZ22" s="441"/>
      <c r="BA22" s="208"/>
      <c r="BB22" s="209"/>
      <c r="BC22" s="226"/>
      <c r="BD22" s="220"/>
      <c r="BE22" s="189"/>
      <c r="BF22" s="203"/>
      <c r="BG22" s="189"/>
      <c r="BH22" s="189"/>
      <c r="BI22" s="189"/>
      <c r="BJ22" s="189"/>
      <c r="BK22" s="189"/>
      <c r="BL22" s="189"/>
      <c r="BM22" s="189"/>
      <c r="BN22" s="189"/>
      <c r="BO22" s="189"/>
      <c r="BP22" s="189"/>
      <c r="BQ22" s="189"/>
      <c r="BR22" s="189"/>
      <c r="BS22" s="189"/>
      <c r="BT22" s="189"/>
      <c r="BU22" s="189"/>
      <c r="BV22" s="189"/>
      <c r="BW22" s="189"/>
      <c r="BX22" s="189"/>
      <c r="BY22" s="189"/>
      <c r="BZ22" s="189"/>
      <c r="CA22" s="189"/>
      <c r="CB22" s="189"/>
      <c r="CC22" s="189"/>
      <c r="CD22" s="189"/>
    </row>
    <row r="23" spans="4:82" s="188" customFormat="1" ht="90" customHeight="1" thickBot="1">
      <c r="D23" s="342"/>
      <c r="E23" s="344"/>
      <c r="F23" s="344"/>
      <c r="G23" s="346"/>
      <c r="H23" s="344"/>
      <c r="I23" s="348"/>
      <c r="J23" s="348"/>
      <c r="K23" s="348"/>
      <c r="L23" s="351"/>
      <c r="M23" s="399"/>
      <c r="N23" s="399"/>
      <c r="O23" s="402"/>
      <c r="P23" s="403"/>
      <c r="Q23" s="404"/>
      <c r="R23" s="450"/>
      <c r="S23" s="451"/>
      <c r="T23" s="404"/>
      <c r="U23" s="451"/>
      <c r="V23" s="213">
        <v>3</v>
      </c>
      <c r="W23" s="259" t="s">
        <v>473</v>
      </c>
      <c r="X23" s="260" t="s">
        <v>474</v>
      </c>
      <c r="Y23" s="241" t="str">
        <f t="shared" si="4"/>
        <v>Probabilidad</v>
      </c>
      <c r="Z23" s="237" t="s">
        <v>100</v>
      </c>
      <c r="AA23" s="237" t="s">
        <v>164</v>
      </c>
      <c r="AB23" s="236" t="str">
        <f t="shared" si="11"/>
        <v>30%</v>
      </c>
      <c r="AC23" s="237" t="s">
        <v>152</v>
      </c>
      <c r="AD23" s="233" t="s">
        <v>153</v>
      </c>
      <c r="AE23" s="233" t="s">
        <v>411</v>
      </c>
      <c r="AF23" s="254" t="s">
        <v>442</v>
      </c>
      <c r="AG23" s="452"/>
      <c r="AH23" s="328"/>
      <c r="AI23" s="404"/>
      <c r="AJ23" s="328"/>
      <c r="AK23" s="404"/>
      <c r="AL23" s="328"/>
      <c r="AM23" s="448"/>
      <c r="AN23" s="250">
        <v>3</v>
      </c>
      <c r="AO23" s="263" t="s">
        <v>452</v>
      </c>
      <c r="AP23" s="243" t="s">
        <v>462</v>
      </c>
      <c r="AQ23" s="264" t="s">
        <v>455</v>
      </c>
      <c r="AR23" s="243" t="s">
        <v>451</v>
      </c>
      <c r="AS23" s="326"/>
      <c r="AT23" s="322"/>
      <c r="AU23" s="251"/>
      <c r="AV23" s="251"/>
      <c r="AW23" s="253"/>
      <c r="AX23" s="251"/>
      <c r="AY23" s="251"/>
      <c r="AZ23" s="441"/>
      <c r="BA23" s="221"/>
      <c r="BB23" s="222"/>
      <c r="BC23" s="227"/>
      <c r="BD23" s="223"/>
      <c r="BE23" s="189"/>
      <c r="BF23" s="203"/>
      <c r="BG23" s="189"/>
      <c r="BH23" s="189"/>
      <c r="BI23" s="189"/>
      <c r="BJ23" s="189"/>
      <c r="BK23" s="189"/>
      <c r="BL23" s="189"/>
      <c r="BM23" s="189"/>
      <c r="BN23" s="189"/>
      <c r="BO23" s="189"/>
      <c r="BP23" s="189"/>
      <c r="BQ23" s="189"/>
      <c r="BR23" s="189"/>
      <c r="BS23" s="189"/>
      <c r="BT23" s="189"/>
      <c r="BU23" s="189"/>
      <c r="BV23" s="189"/>
      <c r="BW23" s="189"/>
      <c r="BX23" s="189"/>
      <c r="BY23" s="189"/>
      <c r="BZ23" s="189"/>
      <c r="CA23" s="189"/>
      <c r="CB23" s="189"/>
      <c r="CC23" s="189"/>
      <c r="CD23" s="189"/>
    </row>
    <row r="24" spans="4:82" ht="49.5" customHeight="1">
      <c r="D24" s="183"/>
      <c r="E24" s="184"/>
      <c r="F24" s="184"/>
      <c r="G24" s="184"/>
      <c r="H24" s="184"/>
      <c r="I24" s="387" t="s">
        <v>103</v>
      </c>
      <c r="J24" s="387"/>
      <c r="K24" s="387"/>
      <c r="L24" s="387"/>
      <c r="M24" s="387"/>
      <c r="N24" s="387"/>
      <c r="O24" s="387"/>
      <c r="P24" s="387"/>
      <c r="Q24" s="387"/>
      <c r="R24" s="387"/>
      <c r="S24" s="387"/>
      <c r="T24" s="387"/>
      <c r="U24" s="387"/>
      <c r="V24" s="387"/>
      <c r="W24" s="387"/>
      <c r="X24" s="387"/>
      <c r="Y24" s="387"/>
      <c r="Z24" s="387"/>
      <c r="AA24" s="387"/>
      <c r="AB24" s="387"/>
      <c r="AC24" s="387"/>
      <c r="AD24" s="387"/>
      <c r="AE24" s="387"/>
      <c r="AF24" s="387"/>
      <c r="AG24" s="387"/>
      <c r="AH24" s="387"/>
      <c r="AI24" s="387"/>
      <c r="AJ24" s="387"/>
      <c r="AK24" s="387"/>
      <c r="AL24" s="387"/>
      <c r="AM24" s="387"/>
      <c r="AN24" s="387"/>
      <c r="AO24" s="387"/>
      <c r="AP24" s="387"/>
      <c r="AQ24" s="387"/>
      <c r="AR24" s="387"/>
      <c r="AS24" s="387"/>
      <c r="AT24" s="387"/>
      <c r="AU24" s="387"/>
      <c r="AV24" s="387"/>
      <c r="AW24" s="387"/>
      <c r="AX24" s="387"/>
      <c r="AY24" s="387"/>
    </row>
    <row r="26" spans="4:82" ht="16">
      <c r="D26" s="104"/>
      <c r="E26" s="105"/>
      <c r="F26" s="105"/>
      <c r="G26" s="105"/>
      <c r="H26" s="105"/>
      <c r="I26" s="105"/>
      <c r="J26" s="105"/>
      <c r="K26" s="105"/>
      <c r="L26" s="169"/>
      <c r="M26" s="169"/>
      <c r="N26" s="169"/>
      <c r="P26" s="106"/>
      <c r="Q26" s="105"/>
      <c r="R26" s="105"/>
      <c r="S26" s="105"/>
      <c r="T26" s="105"/>
      <c r="U26" s="105"/>
      <c r="V26" s="105"/>
      <c r="W26" s="105"/>
      <c r="X26" s="105"/>
      <c r="Y26" s="107"/>
      <c r="Z26" s="107"/>
      <c r="AA26" s="105"/>
      <c r="AB26" s="105"/>
      <c r="AC26" s="105"/>
      <c r="AD26" s="105"/>
      <c r="AE26" s="105"/>
      <c r="AF26" s="105"/>
      <c r="AG26" s="105"/>
      <c r="AH26" s="105"/>
      <c r="AI26" s="105"/>
      <c r="AJ26" s="105"/>
      <c r="AK26" s="105"/>
      <c r="AL26" s="105"/>
      <c r="AM26" s="108"/>
      <c r="AN26" s="108"/>
      <c r="AO26" s="108"/>
      <c r="AP26" s="105"/>
      <c r="AQ26" s="105"/>
      <c r="AR26" s="105"/>
      <c r="AS26" s="105"/>
      <c r="AT26" s="105"/>
      <c r="AU26" s="105"/>
      <c r="AV26" s="105"/>
      <c r="AW26" s="105"/>
      <c r="AX26" s="105"/>
      <c r="AY26" s="105"/>
      <c r="AZ26" s="105"/>
      <c r="BA26" s="105"/>
    </row>
    <row r="27" spans="4:82" ht="18">
      <c r="D27" s="385" t="s">
        <v>479</v>
      </c>
      <c r="E27" s="385"/>
      <c r="F27" s="385"/>
      <c r="G27" s="385"/>
      <c r="H27" s="385"/>
      <c r="I27" s="385"/>
      <c r="J27" s="385"/>
      <c r="K27" s="385"/>
      <c r="L27" s="169"/>
      <c r="M27" s="169"/>
      <c r="N27" s="169"/>
      <c r="O27" s="381"/>
      <c r="P27" s="382"/>
      <c r="Q27" s="382"/>
      <c r="R27" s="383"/>
      <c r="S27" s="105"/>
      <c r="T27" s="105"/>
      <c r="U27" s="105"/>
      <c r="V27" s="105"/>
      <c r="W27" s="105"/>
      <c r="X27" s="108"/>
      <c r="Y27" s="107"/>
      <c r="Z27" s="107"/>
      <c r="AA27" s="105"/>
      <c r="AB27" s="107"/>
      <c r="AC27" s="107"/>
      <c r="AD27" s="105"/>
      <c r="AE27" s="105"/>
      <c r="AF27" s="105"/>
      <c r="AG27" s="105"/>
      <c r="AH27" s="105"/>
      <c r="AI27" s="105"/>
      <c r="AJ27" s="105"/>
      <c r="AK27" s="105"/>
      <c r="AL27" s="105"/>
      <c r="AM27" s="105"/>
      <c r="AN27" s="105"/>
      <c r="AO27" s="105"/>
      <c r="AP27" s="105"/>
      <c r="AQ27" s="105"/>
      <c r="AR27" s="105"/>
      <c r="AS27" s="105"/>
      <c r="AT27" s="105"/>
      <c r="AU27" s="105"/>
      <c r="AV27" s="105"/>
      <c r="AW27" s="105"/>
      <c r="AX27" s="105"/>
      <c r="AY27" s="105"/>
      <c r="AZ27" s="105"/>
      <c r="BA27" s="105"/>
      <c r="BH27" s="169" t="s">
        <v>104</v>
      </c>
    </row>
    <row r="28" spans="4:82" ht="15" thickBot="1">
      <c r="D28" s="169"/>
      <c r="E28" s="169"/>
      <c r="F28" s="169"/>
      <c r="G28" s="169"/>
      <c r="H28" s="169"/>
      <c r="I28" s="169"/>
      <c r="J28" s="169"/>
      <c r="L28" s="169"/>
      <c r="M28" s="169"/>
      <c r="N28" s="169"/>
      <c r="P28" s="171" t="str">
        <f>+IFERROR(VLOOKUP(L28,$L$183:$P$187,3,FALSE)*VLOOKUP(O28,$O$183:$P$187,3,FALSE),"")</f>
        <v/>
      </c>
      <c r="Y28" s="171"/>
      <c r="Z28" s="185"/>
      <c r="AB28" s="185"/>
      <c r="AC28" s="185"/>
      <c r="AD28" s="186"/>
      <c r="AE28" s="186"/>
      <c r="AF28" s="186"/>
      <c r="AG28" s="186"/>
      <c r="AH28" s="186"/>
      <c r="AI28" s="109"/>
      <c r="AJ28" s="109"/>
      <c r="AK28" s="186"/>
      <c r="AL28" s="187"/>
      <c r="AQ28" s="186"/>
      <c r="AW28" s="169" t="s">
        <v>420</v>
      </c>
      <c r="AY28" s="186"/>
      <c r="AZ28" s="186"/>
      <c r="BH28" s="169" t="s">
        <v>105</v>
      </c>
    </row>
    <row r="29" spans="4:82" ht="17.75" customHeight="1" thickTop="1" thickBot="1">
      <c r="D29" s="380" t="s">
        <v>106</v>
      </c>
      <c r="E29" s="380"/>
      <c r="F29" s="380"/>
      <c r="G29" s="380"/>
      <c r="H29" s="380"/>
      <c r="I29" s="380"/>
      <c r="J29" s="380"/>
      <c r="K29" s="197" t="s">
        <v>107</v>
      </c>
      <c r="L29" s="380" t="s">
        <v>108</v>
      </c>
      <c r="M29" s="380"/>
      <c r="N29" s="380"/>
      <c r="O29" s="380"/>
      <c r="P29" s="380"/>
      <c r="Q29" s="380"/>
      <c r="R29" s="380"/>
      <c r="S29" s="384" t="s">
        <v>109</v>
      </c>
      <c r="T29" s="384"/>
      <c r="U29" s="384"/>
      <c r="V29" s="380" t="s">
        <v>110</v>
      </c>
      <c r="W29" s="380"/>
      <c r="X29" s="380"/>
      <c r="Y29" s="380"/>
      <c r="Z29" s="384">
        <v>1</v>
      </c>
      <c r="AA29" s="384"/>
      <c r="AB29" s="384"/>
      <c r="AC29" s="384"/>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0"/>
      <c r="BH29" s="169" t="s">
        <v>111</v>
      </c>
    </row>
    <row r="30" spans="4:82" ht="13.5" customHeight="1" thickTop="1">
      <c r="D30" s="352" t="s">
        <v>112</v>
      </c>
      <c r="E30" s="353"/>
      <c r="F30" s="353"/>
      <c r="G30" s="353"/>
      <c r="H30" s="353"/>
      <c r="I30" s="353"/>
      <c r="J30" s="353"/>
      <c r="K30" s="353"/>
      <c r="L30" s="353"/>
      <c r="M30" s="353"/>
      <c r="N30" s="353"/>
      <c r="O30" s="353"/>
      <c r="P30" s="353"/>
      <c r="Q30" s="353"/>
      <c r="R30" s="353"/>
      <c r="S30" s="353"/>
      <c r="T30" s="353"/>
      <c r="U30" s="353"/>
      <c r="V30" s="353"/>
      <c r="W30" s="353"/>
      <c r="X30" s="353"/>
      <c r="Y30" s="353"/>
      <c r="Z30" s="353"/>
      <c r="AA30" s="353"/>
      <c r="AB30" s="353"/>
      <c r="AC30" s="353"/>
      <c r="BH30" s="169" t="s">
        <v>113</v>
      </c>
    </row>
  </sheetData>
  <sheetProtection formatCells="0" formatColumns="0" formatRows="0" selectLockedCells="1"/>
  <protectedRanges>
    <protectedRange sqref="P1:P1048576" name="Rango1"/>
  </protectedRanges>
  <dataConsolidate/>
  <mergeCells count="152">
    <mergeCell ref="AZ15:AZ23"/>
    <mergeCell ref="T15:T17"/>
    <mergeCell ref="I15:I17"/>
    <mergeCell ref="J15:J17"/>
    <mergeCell ref="K15:K17"/>
    <mergeCell ref="F15:F17"/>
    <mergeCell ref="N15:N17"/>
    <mergeCell ref="AN13:AN14"/>
    <mergeCell ref="R15:R17"/>
    <mergeCell ref="AI21:AI23"/>
    <mergeCell ref="AJ21:AJ23"/>
    <mergeCell ref="AK21:AK23"/>
    <mergeCell ref="AL21:AL23"/>
    <mergeCell ref="AM21:AM23"/>
    <mergeCell ref="Z13:AE13"/>
    <mergeCell ref="O15:O17"/>
    <mergeCell ref="G15:G17"/>
    <mergeCell ref="H15:H17"/>
    <mergeCell ref="R21:R23"/>
    <mergeCell ref="S21:S23"/>
    <mergeCell ref="T21:T23"/>
    <mergeCell ref="U21:U23"/>
    <mergeCell ref="AG21:AG23"/>
    <mergeCell ref="Q18:Q20"/>
    <mergeCell ref="D2:H5"/>
    <mergeCell ref="I2:BC5"/>
    <mergeCell ref="H7:BD7"/>
    <mergeCell ref="AM13:AM14"/>
    <mergeCell ref="AL13:AL14"/>
    <mergeCell ref="AK13:AK14"/>
    <mergeCell ref="AG13:AG14"/>
    <mergeCell ref="X13:X14"/>
    <mergeCell ref="L13:L14"/>
    <mergeCell ref="D12:O12"/>
    <mergeCell ref="P12:U12"/>
    <mergeCell ref="K13:K14"/>
    <mergeCell ref="J13:J14"/>
    <mergeCell ref="I13:I14"/>
    <mergeCell ref="R13:R14"/>
    <mergeCell ref="D7:G7"/>
    <mergeCell ref="V12:AE12"/>
    <mergeCell ref="D8:G8"/>
    <mergeCell ref="D9:G9"/>
    <mergeCell ref="AO13:AO14"/>
    <mergeCell ref="AG12:AM12"/>
    <mergeCell ref="H9:BD9"/>
    <mergeCell ref="H8:BD8"/>
    <mergeCell ref="D13:D14"/>
    <mergeCell ref="AZ11:BB12"/>
    <mergeCell ref="BC11:BD12"/>
    <mergeCell ref="U13:U14"/>
    <mergeCell ref="AX13:AX14"/>
    <mergeCell ref="AR13:AR14"/>
    <mergeCell ref="AQ13:AQ14"/>
    <mergeCell ref="AP13:AP14"/>
    <mergeCell ref="AJ13:AJ14"/>
    <mergeCell ref="D11:AR11"/>
    <mergeCell ref="AS13:AS14"/>
    <mergeCell ref="BA13:BA14"/>
    <mergeCell ref="AW13:AW14"/>
    <mergeCell ref="AY13:AY14"/>
    <mergeCell ref="BC13:BC14"/>
    <mergeCell ref="E13:E14"/>
    <mergeCell ref="Y13:Y14"/>
    <mergeCell ref="H13:H14"/>
    <mergeCell ref="BB13:BB14"/>
    <mergeCell ref="BD13:BD14"/>
    <mergeCell ref="AZ13:AZ14"/>
    <mergeCell ref="AU13:AU14"/>
    <mergeCell ref="AV13:AV14"/>
    <mergeCell ref="AT13:AT14"/>
    <mergeCell ref="W13:W14"/>
    <mergeCell ref="AS11:AY12"/>
    <mergeCell ref="V29:Y29"/>
    <mergeCell ref="Z29:AC29"/>
    <mergeCell ref="I24:AY24"/>
    <mergeCell ref="AM15:AM17"/>
    <mergeCell ref="AI15:AI17"/>
    <mergeCell ref="AI13:AI14"/>
    <mergeCell ref="AK15:AK17"/>
    <mergeCell ref="AJ15:AJ17"/>
    <mergeCell ref="AL15:AL17"/>
    <mergeCell ref="V13:V14"/>
    <mergeCell ref="P15:P17"/>
    <mergeCell ref="Q15:Q17"/>
    <mergeCell ref="S15:S17"/>
    <mergeCell ref="AO12:AR12"/>
    <mergeCell ref="M21:M23"/>
    <mergeCell ref="N21:N23"/>
    <mergeCell ref="O21:O23"/>
    <mergeCell ref="P21:P23"/>
    <mergeCell ref="Q21:Q23"/>
    <mergeCell ref="M18:M20"/>
    <mergeCell ref="N18:N20"/>
    <mergeCell ref="O18:O20"/>
    <mergeCell ref="P18:P20"/>
    <mergeCell ref="D30:AC30"/>
    <mergeCell ref="M13:N13"/>
    <mergeCell ref="AF12:AF14"/>
    <mergeCell ref="A11:C11"/>
    <mergeCell ref="F13:F14"/>
    <mergeCell ref="G13:G14"/>
    <mergeCell ref="AH13:AH14"/>
    <mergeCell ref="O13:O14"/>
    <mergeCell ref="P13:P14"/>
    <mergeCell ref="Q13:Q14"/>
    <mergeCell ref="S13:S14"/>
    <mergeCell ref="T13:T14"/>
    <mergeCell ref="L15:L17"/>
    <mergeCell ref="M15:M17"/>
    <mergeCell ref="D15:D17"/>
    <mergeCell ref="E15:E17"/>
    <mergeCell ref="U15:U17"/>
    <mergeCell ref="AG15:AG17"/>
    <mergeCell ref="AH15:AH17"/>
    <mergeCell ref="D29:J29"/>
    <mergeCell ref="O27:R27"/>
    <mergeCell ref="L29:R29"/>
    <mergeCell ref="S29:U29"/>
    <mergeCell ref="D27:K27"/>
    <mergeCell ref="D21:D23"/>
    <mergeCell ref="E21:E23"/>
    <mergeCell ref="F21:F23"/>
    <mergeCell ref="G21:G23"/>
    <mergeCell ref="H21:H23"/>
    <mergeCell ref="I21:I23"/>
    <mergeCell ref="J21:J23"/>
    <mergeCell ref="K21:K23"/>
    <mergeCell ref="L21:L23"/>
    <mergeCell ref="D18:D20"/>
    <mergeCell ref="E18:E20"/>
    <mergeCell ref="F18:F20"/>
    <mergeCell ref="G18:G20"/>
    <mergeCell ref="H18:H20"/>
    <mergeCell ref="I18:I20"/>
    <mergeCell ref="J18:J20"/>
    <mergeCell ref="K18:K20"/>
    <mergeCell ref="L18:L20"/>
    <mergeCell ref="R18:R20"/>
    <mergeCell ref="S18:S20"/>
    <mergeCell ref="T18:T20"/>
    <mergeCell ref="U18:U20"/>
    <mergeCell ref="AT15:AT17"/>
    <mergeCell ref="AT18:AT20"/>
    <mergeCell ref="AT21:AT23"/>
    <mergeCell ref="AL18:AL20"/>
    <mergeCell ref="AH18:AH20"/>
    <mergeCell ref="AJ18:AJ20"/>
    <mergeCell ref="AS15:AS17"/>
    <mergeCell ref="AS18:AS20"/>
    <mergeCell ref="AS21:AS23"/>
    <mergeCell ref="AH21:AH23"/>
  </mergeCells>
  <phoneticPr fontId="108" type="noConversion"/>
  <conditionalFormatting sqref="P15 AH15">
    <cfRule type="cellIs" dxfId="32" priority="96" operator="equal">
      <formula>"Baja"</formula>
    </cfRule>
    <cfRule type="cellIs" dxfId="31" priority="95" operator="equal">
      <formula>"Media"</formula>
    </cfRule>
    <cfRule type="cellIs" dxfId="30" priority="94" operator="equal">
      <formula>"Alta"</formula>
    </cfRule>
    <cfRule type="cellIs" dxfId="29" priority="97" operator="equal">
      <formula>"Muy Baja"</formula>
    </cfRule>
    <cfRule type="cellIs" dxfId="28" priority="93" operator="equal">
      <formula>"Muy Alta"</formula>
    </cfRule>
  </conditionalFormatting>
  <conditionalFormatting sqref="P18 AH18 P21 AH21">
    <cfRule type="cellIs" dxfId="27" priority="11" operator="equal">
      <formula>"Alta"</formula>
    </cfRule>
    <cfRule type="cellIs" dxfId="26" priority="14" operator="equal">
      <formula>"Muy Baja"</formula>
    </cfRule>
    <cfRule type="cellIs" dxfId="25" priority="13" operator="equal">
      <formula>"Baja"</formula>
    </cfRule>
    <cfRule type="cellIs" dxfId="24" priority="12" operator="equal">
      <formula>"Media"</formula>
    </cfRule>
    <cfRule type="cellIs" dxfId="23" priority="10" operator="equal">
      <formula>"Muy Alta"</formula>
    </cfRule>
  </conditionalFormatting>
  <conditionalFormatting sqref="S15 AJ15">
    <cfRule type="cellIs" dxfId="22" priority="89" operator="equal">
      <formula>"Mayor"</formula>
    </cfRule>
    <cfRule type="cellIs" dxfId="21" priority="92" operator="equal">
      <formula>"Leve"</formula>
    </cfRule>
    <cfRule type="cellIs" dxfId="20" priority="91" operator="equal">
      <formula>"Menor"</formula>
    </cfRule>
    <cfRule type="cellIs" dxfId="19" priority="90" operator="equal">
      <formula>"Moderado"</formula>
    </cfRule>
    <cfRule type="cellIs" dxfId="18" priority="88" operator="equal">
      <formula>"Catastrófico"</formula>
    </cfRule>
  </conditionalFormatting>
  <conditionalFormatting sqref="S18 AJ18 S21 AJ21">
    <cfRule type="cellIs" dxfId="17" priority="9" operator="equal">
      <formula>"Leve"</formula>
    </cfRule>
    <cfRule type="cellIs" dxfId="16" priority="8" operator="equal">
      <formula>"Menor"</formula>
    </cfRule>
    <cfRule type="cellIs" dxfId="15" priority="7" operator="equal">
      <formula>"Moderado"</formula>
    </cfRule>
    <cfRule type="cellIs" dxfId="14" priority="6" operator="equal">
      <formula>"Mayor"</formula>
    </cfRule>
    <cfRule type="cellIs" dxfId="13" priority="5" operator="equal">
      <formula>"Catastrófico"</formula>
    </cfRule>
  </conditionalFormatting>
  <conditionalFormatting sqref="U15 AL15">
    <cfRule type="cellIs" dxfId="12" priority="84" operator="equal">
      <formula>"Extremo"</formula>
    </cfRule>
    <cfRule type="cellIs" dxfId="11" priority="85" operator="equal">
      <formula>"Alto"</formula>
    </cfRule>
    <cfRule type="cellIs" dxfId="10" priority="86" operator="equal">
      <formula>"Moderado"</formula>
    </cfRule>
    <cfRule type="cellIs" dxfId="9" priority="87" operator="equal">
      <formula>"Bajo"</formula>
    </cfRule>
  </conditionalFormatting>
  <conditionalFormatting sqref="U18 AL18 U21 AL21">
    <cfRule type="cellIs" dxfId="8" priority="1" operator="equal">
      <formula>"Extremo"</formula>
    </cfRule>
    <cfRule type="cellIs" dxfId="7" priority="4" operator="equal">
      <formula>"Bajo"</formula>
    </cfRule>
    <cfRule type="cellIs" dxfId="6" priority="3" operator="equal">
      <formula>"Moderado"</formula>
    </cfRule>
    <cfRule type="cellIs" dxfId="5" priority="2" operator="equal">
      <formula>"Alto"</formula>
    </cfRule>
  </conditionalFormatting>
  <conditionalFormatting sqref="AI26:AI28">
    <cfRule type="cellIs" dxfId="4" priority="58" operator="equal">
      <formula>#REF!</formula>
    </cfRule>
    <cfRule type="cellIs" dxfId="3" priority="59" operator="equal">
      <formula>#REF!</formula>
    </cfRule>
  </conditionalFormatting>
  <conditionalFormatting sqref="AI26:AJ28">
    <cfRule type="cellIs" dxfId="2" priority="57" stopIfTrue="1" operator="equal">
      <formula>#REF!</formula>
    </cfRule>
  </conditionalFormatting>
  <conditionalFormatting sqref="AJ26:AJ28">
    <cfRule type="cellIs" dxfId="1" priority="62" stopIfTrue="1" operator="equal">
      <formula>#REF!</formula>
    </cfRule>
    <cfRule type="cellIs" dxfId="0" priority="61" stopIfTrue="1" operator="equal">
      <formula>#REF!</formula>
    </cfRule>
  </conditionalFormatting>
  <dataValidations count="9">
    <dataValidation type="list" allowBlank="1" showInputMessage="1" showErrorMessage="1" sqref="K26" xr:uid="{FBFE483B-7189-A64A-981C-EBD3E74A95FD}">
      <formula1>$K$183:$K$192</formula1>
    </dataValidation>
    <dataValidation type="list" allowBlank="1" showInputMessage="1" showErrorMessage="1" sqref="K28 AI28:AJ28" xr:uid="{C2924875-EF8A-6D44-867B-46770A3C5E98}">
      <formula1>#REF!</formula1>
    </dataValidation>
    <dataValidation type="list" allowBlank="1" showInputMessage="1" showErrorMessage="1" sqref="Y28" xr:uid="{EDC82A38-0989-8046-BB5A-31E3064BE79A}">
      <formula1>$R$183:$R$184</formula1>
    </dataValidation>
    <dataValidation type="list" allowBlank="1" showInputMessage="1" showErrorMessage="1" sqref="O28" xr:uid="{FEC0C442-55ED-824D-82B2-02A955CEE4F7}">
      <formula1>$O$183:$O$187</formula1>
    </dataValidation>
    <dataValidation type="list" allowBlank="1" showInputMessage="1" showErrorMessage="1" sqref="L28:N28" xr:uid="{C1F427F4-6A88-6841-ABAE-357F0FD52DE8}">
      <formula1>$L$183:$L$187</formula1>
    </dataValidation>
    <dataValidation type="list" allowBlank="1" showInputMessage="1" showErrorMessage="1" sqref="AB28:AH28 Z28 AQ28 AY28:AZ28" xr:uid="{3F4D9495-BB28-F142-9935-A0205D668D62}">
      <formula1>$AQ$183:$AQ$190</formula1>
    </dataValidation>
    <dataValidation type="custom" allowBlank="1" showInputMessage="1" showErrorMessage="1" error="Recuerde que las acciones se generan bajo la medida de mitigar el riesgo" sqref="AP15:AP23" xr:uid="{1A305E40-85A7-2A43-8DA0-8D200F582C05}"/>
    <dataValidation type="list" allowBlank="1" showInputMessage="1" showErrorMessage="1" sqref="R15:R18 R21:R23" xr:uid="{983BA2DA-28B5-1943-BBC1-498EAA4FF699}">
      <formula1>Criterios_Impacto</formula1>
    </dataValidation>
    <dataValidation type="list" allowBlank="1" showInputMessage="1" showErrorMessage="1" error="Recuerde que las acciones se generan bajo la medida de mitigar el riesgo" sqref="AY15:AY23" xr:uid="{F388AFE4-07F8-6744-938D-6E131726DFB1}">
      <formula1>$BH$27:$BH$30</formula1>
    </dataValidation>
  </dataValidations>
  <hyperlinks>
    <hyperlink ref="AF21" r:id="rId1" tooltip="Modelo" display="https://www.etitc.edu.co/archives/modelomediciongruposminciencias24.pdf" xr:uid="{DDEDA09C-0A17-FD4F-B66F-5737A170144B}"/>
    <hyperlink ref="AF22" r:id="rId2" tooltip="Modelo" display="https://www.etitc.edu.co/archives/modelomediciongruposminciencias24.pdf" xr:uid="{812E9A5B-D733-B544-A656-191AB28A0BCC}"/>
    <hyperlink ref="AF23" r:id="rId3" tooltip="Modelo" display="https://www.etitc.edu.co/archives/modelomediciongruposminciencias24.pdf" xr:uid="{0AA0DC8F-0FD6-1245-88B7-9EAF2596847D}"/>
  </hyperlinks>
  <pageMargins left="0.7" right="0.7" top="0.75" bottom="0.75" header="0.3" footer="0.3"/>
  <pageSetup orientation="portrait" r:id="rId4"/>
  <drawing r:id="rId5"/>
  <legacyDrawing r:id="rId6"/>
  <extLst>
    <ext xmlns:x14="http://schemas.microsoft.com/office/spreadsheetml/2009/9/main" uri="{CCE6A557-97BC-4b89-ADB6-D9C93CAAB3DF}">
      <x14:dataValidations xmlns:xm="http://schemas.microsoft.com/office/excel/2006/main" count="19">
        <x14:dataValidation type="list" allowBlank="1" showInputMessage="1" showErrorMessage="1" xr:uid="{6F7FA1C6-E00E-EC49-8388-B0A5652FBB92}">
          <x14:formula1>
            <xm:f>'Opciones Tratamiento'!$B$13:$B$19</xm:f>
          </x14:formula1>
          <xm:sqref>L15 L18:L23</xm:sqref>
        </x14:dataValidation>
        <x14:dataValidation type="list" allowBlank="1" showInputMessage="1" showErrorMessage="1" xr:uid="{8935ED32-CB8B-C844-9590-BC97CCAF2176}">
          <x14:formula1>
            <xm:f>'Opciones Tratamiento'!$B$2:$B$5</xm:f>
          </x14:formula1>
          <xm:sqref>AM15 AM18:AM21</xm:sqref>
        </x14:dataValidation>
        <x14:dataValidation type="list" allowBlank="1" showInputMessage="1" showErrorMessage="1" xr:uid="{2525CC0D-A681-0549-966E-F650F115ADE9}">
          <x14:formula1>
            <xm:f>Listas!$B$2:$B$7</xm:f>
          </x14:formula1>
          <xm:sqref>H15 H18 H21:H23</xm:sqref>
        </x14:dataValidation>
        <x14:dataValidation type="list" allowBlank="1" showInputMessage="1" showErrorMessage="1" xr:uid="{E4CCECFC-0D85-4B4F-8762-8B7D451C32F2}">
          <x14:formula1>
            <xm:f>Listas!$C$2:$C$6</xm:f>
          </x14:formula1>
          <xm:sqref>M15 M18 M21:M23</xm:sqref>
        </x14:dataValidation>
        <x14:dataValidation type="list" allowBlank="1" showInputMessage="1" showErrorMessage="1" xr:uid="{6947127A-4F34-1547-827E-38CB1C4A225E}">
          <x14:formula1>
            <xm:f>Listas!$D$2:$D$5</xm:f>
          </x14:formula1>
          <xm:sqref>N15 N18 N21:N23</xm:sqref>
        </x14:dataValidation>
        <x14:dataValidation type="custom" allowBlank="1" showInputMessage="1" showErrorMessage="1" error="Recuerde que las acciones se generan bajo la medida de mitigar el riesgo" xr:uid="{0D3E364C-9F29-2644-B2D6-7E5B572C92A3}">
          <x14:formula1>
            <xm:f>IF(OR(#REF!='Opciones Tratamiento'!$B$2,#REF!='Opciones Tratamiento'!$B$3,#REF!='Opciones Tratamiento'!$B$4),ISBLANK(#REF!),ISTEXT(#REF!))</xm:f>
          </x14:formula1>
          <xm:sqref>BD16:BD23 BC15:BD15 AU17:AU23</xm:sqref>
        </x14:dataValidation>
        <x14:dataValidation type="list" allowBlank="1" showInputMessage="1" showErrorMessage="1" error="Recuerde que las acciones se generan bajo la medida de mitigar el riesgo" xr:uid="{BE9CF67A-FDE6-194B-92DC-97FA9050D1BD}">
          <x14:formula1>
            <xm:f>Formulas!$H$3:$H$4</xm:f>
          </x14:formula1>
          <xm:sqref>AT15 AT18 AT21</xm:sqref>
        </x14:dataValidation>
        <x14:dataValidation type="list" allowBlank="1" showInputMessage="1" showErrorMessage="1" xr:uid="{ECFECFA8-897B-B14B-8581-5BF6329D978B}">
          <x14:formula1>
            <xm:f>Formulas!$B$3:$B$18</xm:f>
          </x14:formula1>
          <xm:sqref>E18 E21:E23</xm:sqref>
        </x14:dataValidation>
        <x14:dataValidation type="list" allowBlank="1" showInputMessage="1" showErrorMessage="1" xr:uid="{1778C6F0-4998-384A-B6B9-591C69BDA9BA}">
          <x14:formula1>
            <xm:f>Formulas!$E$3:$E$23</xm:f>
          </x14:formula1>
          <xm:sqref>G18 G21:G23</xm:sqref>
        </x14:dataValidation>
        <x14:dataValidation type="list" allowBlank="1" showInputMessage="1" showErrorMessage="1" xr:uid="{D5D82DC6-9EF1-DD46-A608-BBACB7C8FF61}">
          <x14:formula1>
            <xm:f>Formulas!$B$3:$B$6</xm:f>
          </x14:formula1>
          <xm:sqref>E15:E17</xm:sqref>
        </x14:dataValidation>
        <x14:dataValidation type="list" allowBlank="1" showInputMessage="1" showErrorMessage="1" xr:uid="{DE55506C-43B8-DF40-802B-9C9C6A8F2E46}">
          <x14:formula1>
            <xm:f>Formulas!$E$3:$E$5</xm:f>
          </x14:formula1>
          <xm:sqref>G15:G17</xm:sqref>
        </x14:dataValidation>
        <x14:dataValidation type="list" allowBlank="1" showInputMessage="1" showErrorMessage="1" xr:uid="{4832D1BB-C97A-6541-A2ED-1EEE380CDEEC}">
          <x14:formula1>
            <xm:f>Formulas!$D$3:$D$6</xm:f>
          </x14:formula1>
          <xm:sqref>F15:F18 F21:F23</xm:sqref>
        </x14:dataValidation>
        <x14:dataValidation type="custom" allowBlank="1" showInputMessage="1" showErrorMessage="1" error="Recuerde que las acciones se generan bajo la medida de mitigar el riesgo" xr:uid="{8E48CDE2-DAC6-5D4B-AF7A-1A1E16D3CBC5}">
          <x14:formula1>
            <xm:f>IF(OR(AM19='Opciones Tratamiento'!$B$2,AM19='Opciones Tratamiento'!$B$3,AM19='Opciones Tratamiento'!$B$4),ISBLANK(AM19),ISTEXT(AM19))</xm:f>
          </x14:formula1>
          <xm:sqref>AR17:AR23</xm:sqref>
        </x14:dataValidation>
        <x14:dataValidation type="custom" allowBlank="1" showInputMessage="1" showErrorMessage="1" error="Recuerde que las acciones se generan bajo la medida de mitigar el riesgo" xr:uid="{00A5CFB6-2B70-6846-B762-DEB8A5C47DC2}">
          <x14:formula1>
            <xm:f>IF(OR(AQ15='Opciones Tratamiento'!$B$2,AQ15='Opciones Tratamiento'!$B$3,AQ15='Opciones Tratamiento'!$B$4),ISBLANK(AQ15),ISTEXT(AQ15))</xm:f>
          </x14:formula1>
          <xm:sqref>AX15:AX23 AV15:AV23</xm:sqref>
        </x14:dataValidation>
        <x14:dataValidation type="list" allowBlank="1" showInputMessage="1" showErrorMessage="1" xr:uid="{F1DC42AF-3DEF-8E4C-B2E5-4EBCE53BF241}">
          <x14:formula1>
            <xm:f>'Tabla Valoración controles'!$D$4:$D$6</xm:f>
          </x14:formula1>
          <xm:sqref>Z15:Z23</xm:sqref>
        </x14:dataValidation>
        <x14:dataValidation type="list" allowBlank="1" showInputMessage="1" showErrorMessage="1" xr:uid="{09E62671-0881-1F48-B292-44D9DC158844}">
          <x14:formula1>
            <xm:f>'Tabla Valoración controles'!$D$7:$D$8</xm:f>
          </x14:formula1>
          <xm:sqref>AA15:AA23</xm:sqref>
        </x14:dataValidation>
        <x14:dataValidation type="list" allowBlank="1" showInputMessage="1" showErrorMessage="1" xr:uid="{0AD7C944-6992-FB41-A41C-2AABF47215E7}">
          <x14:formula1>
            <xm:f>'Tabla Valoración controles'!$D$9:$D$10</xm:f>
          </x14:formula1>
          <xm:sqref>AC15:AC23</xm:sqref>
        </x14:dataValidation>
        <x14:dataValidation type="list" allowBlank="1" showInputMessage="1" showErrorMessage="1" xr:uid="{0428FDB3-8EBA-4541-BAFC-7B42040254A1}">
          <x14:formula1>
            <xm:f>'Tabla Valoración controles'!$D$11:$D$12</xm:f>
          </x14:formula1>
          <xm:sqref>AD15:AD23</xm:sqref>
        </x14:dataValidation>
        <x14:dataValidation type="list" allowBlank="1" showInputMessage="1" showErrorMessage="1" xr:uid="{3D6C24B6-39B9-AD41-9A09-97C093EBC3DD}">
          <x14:formula1>
            <xm:f>'Tabla Valoración controles'!$D$13:$D$14</xm:f>
          </x14:formula1>
          <xm:sqref>AE15:AE23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5A79-E3BF-4801-A67D-CFEFB6AABDB4}">
  <dimension ref="A1:B14"/>
  <sheetViews>
    <sheetView workbookViewId="0">
      <selection activeCell="A31" sqref="A31"/>
    </sheetView>
  </sheetViews>
  <sheetFormatPr baseColWidth="10" defaultColWidth="11.5" defaultRowHeight="15"/>
  <cols>
    <col min="1" max="1" width="129.6640625" bestFit="1" customWidth="1"/>
  </cols>
  <sheetData>
    <row r="1" spans="1:2">
      <c r="A1" t="s">
        <v>114</v>
      </c>
      <c r="B1" t="s">
        <v>96</v>
      </c>
    </row>
    <row r="2" spans="1:2">
      <c r="A2" t="s">
        <v>115</v>
      </c>
      <c r="B2" t="s">
        <v>116</v>
      </c>
    </row>
    <row r="3" spans="1:2">
      <c r="A3" t="s">
        <v>117</v>
      </c>
      <c r="B3" t="s">
        <v>118</v>
      </c>
    </row>
    <row r="4" spans="1:2">
      <c r="A4" t="s">
        <v>119</v>
      </c>
      <c r="B4" t="s">
        <v>120</v>
      </c>
    </row>
    <row r="5" spans="1:2">
      <c r="A5" t="s">
        <v>121</v>
      </c>
      <c r="B5" t="s">
        <v>122</v>
      </c>
    </row>
    <row r="6" spans="1:2">
      <c r="A6" t="s">
        <v>123</v>
      </c>
      <c r="B6" t="s">
        <v>124</v>
      </c>
    </row>
    <row r="7" spans="1:2">
      <c r="A7" t="s">
        <v>125</v>
      </c>
      <c r="B7" t="s">
        <v>116</v>
      </c>
    </row>
    <row r="8" spans="1:2">
      <c r="A8" t="s">
        <v>126</v>
      </c>
      <c r="B8" t="s">
        <v>118</v>
      </c>
    </row>
    <row r="9" spans="1:2">
      <c r="A9" t="s">
        <v>127</v>
      </c>
      <c r="B9" t="s">
        <v>120</v>
      </c>
    </row>
    <row r="10" spans="1:2">
      <c r="A10" t="s">
        <v>128</v>
      </c>
      <c r="B10" t="s">
        <v>122</v>
      </c>
    </row>
    <row r="11" spans="1:2">
      <c r="A11" t="s">
        <v>129</v>
      </c>
      <c r="B11" t="s">
        <v>124</v>
      </c>
    </row>
    <row r="12" spans="1:2">
      <c r="A12" t="s">
        <v>130</v>
      </c>
      <c r="B12" t="s">
        <v>120</v>
      </c>
    </row>
    <row r="13" spans="1:2">
      <c r="A13" t="s">
        <v>131</v>
      </c>
      <c r="B13" t="s">
        <v>122</v>
      </c>
    </row>
    <row r="14" spans="1:2">
      <c r="A14" t="s">
        <v>132</v>
      </c>
      <c r="B14" t="s">
        <v>124</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R13"/>
  <sheetViews>
    <sheetView workbookViewId="0">
      <selection activeCell="D22" sqref="D22"/>
    </sheetView>
  </sheetViews>
  <sheetFormatPr baseColWidth="10" defaultColWidth="11.5" defaultRowHeight="15"/>
  <cols>
    <col min="1" max="1" width="4" customWidth="1"/>
    <col min="2" max="3" width="31.33203125" customWidth="1"/>
    <col min="4" max="4" width="30.5" customWidth="1"/>
    <col min="5" max="5" width="24.5" customWidth="1"/>
    <col min="6" max="6" width="22.6640625" customWidth="1"/>
    <col min="7" max="7" width="37" customWidth="1"/>
    <col min="8" max="8" width="21.33203125" customWidth="1"/>
    <col min="9" max="9" width="13.6640625" customWidth="1"/>
    <col min="10" max="10" width="17.33203125" customWidth="1"/>
    <col min="13" max="13" width="15.6640625" customWidth="1"/>
    <col min="14" max="14" width="14.6640625" customWidth="1"/>
    <col min="17" max="17" width="24.6640625" customWidth="1"/>
    <col min="18" max="18" width="29.5" customWidth="1"/>
  </cols>
  <sheetData>
    <row r="1" spans="2:18">
      <c r="B1" s="453" t="s">
        <v>48</v>
      </c>
      <c r="C1" s="453"/>
      <c r="D1" s="453"/>
      <c r="E1" s="453"/>
      <c r="F1" s="453"/>
      <c r="G1" s="453"/>
      <c r="H1" s="453"/>
      <c r="I1" s="453"/>
      <c r="J1" s="453"/>
      <c r="L1" s="453" t="s">
        <v>50</v>
      </c>
      <c r="M1" s="453"/>
      <c r="N1" s="453"/>
      <c r="O1" s="453"/>
      <c r="P1" s="453"/>
      <c r="Q1" s="453"/>
      <c r="R1" s="453"/>
    </row>
    <row r="2" spans="2:18" ht="50.25" customHeight="1">
      <c r="B2" s="167" t="s">
        <v>133</v>
      </c>
      <c r="C2" s="167" t="s">
        <v>134</v>
      </c>
      <c r="D2" s="166" t="s">
        <v>56</v>
      </c>
      <c r="E2" s="166" t="s">
        <v>135</v>
      </c>
      <c r="F2" s="166" t="s">
        <v>136</v>
      </c>
      <c r="G2" s="167" t="s">
        <v>137</v>
      </c>
      <c r="H2" s="167" t="s">
        <v>138</v>
      </c>
      <c r="I2" s="167" t="s">
        <v>139</v>
      </c>
      <c r="J2" s="166" t="s">
        <v>140</v>
      </c>
      <c r="L2" s="165" t="s">
        <v>94</v>
      </c>
      <c r="M2" s="165" t="s">
        <v>95</v>
      </c>
      <c r="N2" s="165" t="s">
        <v>51</v>
      </c>
      <c r="O2" s="165" t="s">
        <v>97</v>
      </c>
      <c r="P2" s="165" t="s">
        <v>98</v>
      </c>
      <c r="Q2" s="165" t="s">
        <v>78</v>
      </c>
      <c r="R2" s="168" t="s">
        <v>141</v>
      </c>
    </row>
    <row r="3" spans="2:18" ht="28">
      <c r="B3" s="18" t="s">
        <v>142</v>
      </c>
      <c r="C3" s="18" t="s">
        <v>143</v>
      </c>
      <c r="D3" s="111" t="s">
        <v>144</v>
      </c>
      <c r="E3" s="111" t="s">
        <v>145</v>
      </c>
      <c r="F3" t="s">
        <v>146</v>
      </c>
      <c r="G3" s="111" t="s">
        <v>147</v>
      </c>
      <c r="H3" t="s">
        <v>14</v>
      </c>
      <c r="I3" t="s">
        <v>148</v>
      </c>
      <c r="J3" t="s">
        <v>149</v>
      </c>
      <c r="L3" s="2" t="s">
        <v>150</v>
      </c>
      <c r="M3" s="2" t="s">
        <v>151</v>
      </c>
      <c r="N3" s="2" t="s">
        <v>152</v>
      </c>
      <c r="O3" s="2" t="s">
        <v>153</v>
      </c>
      <c r="P3" s="2" t="s">
        <v>154</v>
      </c>
      <c r="Q3" s="2" t="s">
        <v>155</v>
      </c>
      <c r="R3" t="s">
        <v>156</v>
      </c>
    </row>
    <row r="4" spans="2:18" ht="31.5" customHeight="1">
      <c r="B4" s="18" t="s">
        <v>99</v>
      </c>
      <c r="C4" s="18" t="s">
        <v>157</v>
      </c>
      <c r="D4" s="111" t="s">
        <v>158</v>
      </c>
      <c r="E4" s="111" t="s">
        <v>159</v>
      </c>
      <c r="F4" t="s">
        <v>160</v>
      </c>
      <c r="G4" s="111" t="s">
        <v>161</v>
      </c>
      <c r="H4" t="s">
        <v>15</v>
      </c>
      <c r="I4" t="s">
        <v>162</v>
      </c>
      <c r="J4" t="s">
        <v>163</v>
      </c>
      <c r="L4" s="2" t="s">
        <v>100</v>
      </c>
      <c r="M4" s="2" t="s">
        <v>164</v>
      </c>
      <c r="N4" s="2" t="s">
        <v>165</v>
      </c>
      <c r="O4" s="2" t="s">
        <v>166</v>
      </c>
      <c r="P4" s="2" t="s">
        <v>167</v>
      </c>
      <c r="Q4" s="2" t="s">
        <v>168</v>
      </c>
      <c r="R4" t="s">
        <v>169</v>
      </c>
    </row>
    <row r="5" spans="2:18" ht="26.25" customHeight="1">
      <c r="B5" s="18" t="s">
        <v>170</v>
      </c>
      <c r="C5" s="18" t="s">
        <v>171</v>
      </c>
      <c r="D5" s="111" t="s">
        <v>172</v>
      </c>
      <c r="E5" s="111" t="s">
        <v>173</v>
      </c>
      <c r="F5" t="s">
        <v>174</v>
      </c>
      <c r="G5" s="111" t="s">
        <v>175</v>
      </c>
      <c r="I5" t="s">
        <v>176</v>
      </c>
      <c r="J5" t="s">
        <v>177</v>
      </c>
      <c r="L5" s="2" t="s">
        <v>178</v>
      </c>
      <c r="P5" s="2" t="s">
        <v>179</v>
      </c>
      <c r="Q5" s="2" t="s">
        <v>180</v>
      </c>
    </row>
    <row r="6" spans="2:18" ht="24.75" customHeight="1">
      <c r="B6" s="18" t="s">
        <v>62</v>
      </c>
      <c r="C6" s="18" t="s">
        <v>181</v>
      </c>
      <c r="D6" s="111"/>
      <c r="F6" t="s">
        <v>182</v>
      </c>
      <c r="G6" s="111" t="s">
        <v>183</v>
      </c>
      <c r="I6" t="s">
        <v>184</v>
      </c>
      <c r="J6" t="s">
        <v>185</v>
      </c>
      <c r="Q6" s="2" t="s">
        <v>101</v>
      </c>
    </row>
    <row r="7" spans="2:18" ht="26.25" customHeight="1">
      <c r="B7" s="18"/>
      <c r="C7" s="18" t="s">
        <v>186</v>
      </c>
      <c r="D7" s="111"/>
      <c r="F7" t="s">
        <v>187</v>
      </c>
      <c r="G7" s="111" t="s">
        <v>188</v>
      </c>
      <c r="I7" t="s">
        <v>189</v>
      </c>
      <c r="Q7" s="2" t="s">
        <v>190</v>
      </c>
    </row>
    <row r="8" spans="2:18" ht="32">
      <c r="B8" s="18"/>
      <c r="C8" s="18"/>
      <c r="D8" s="111"/>
      <c r="F8" t="s">
        <v>191</v>
      </c>
      <c r="G8" s="111" t="s">
        <v>192</v>
      </c>
      <c r="I8" s="111" t="s">
        <v>193</v>
      </c>
    </row>
    <row r="9" spans="2:18" ht="31.5" customHeight="1">
      <c r="B9" s="18"/>
      <c r="C9" s="18"/>
      <c r="D9" s="111"/>
      <c r="G9" s="111" t="s">
        <v>194</v>
      </c>
      <c r="I9" t="s">
        <v>195</v>
      </c>
    </row>
    <row r="10" spans="2:18">
      <c r="B10" s="18"/>
      <c r="C10" s="18"/>
      <c r="D10" s="111"/>
      <c r="I10" t="s">
        <v>196</v>
      </c>
    </row>
    <row r="11" spans="2:18">
      <c r="B11" s="18"/>
      <c r="C11" s="18"/>
      <c r="D11" s="111"/>
    </row>
    <row r="12" spans="2:18">
      <c r="B12" s="18"/>
      <c r="C12" s="18"/>
      <c r="I12" t="s">
        <v>196</v>
      </c>
    </row>
    <row r="13" spans="2:18">
      <c r="B13" s="18"/>
      <c r="C13" s="18"/>
    </row>
  </sheetData>
  <mergeCells count="2">
    <mergeCell ref="B1:J1"/>
    <mergeCell ref="L1:R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B30"/>
  <sheetViews>
    <sheetView zoomScale="70" zoomScaleNormal="70" workbookViewId="0">
      <selection activeCell="K15" sqref="K15:K17"/>
    </sheetView>
  </sheetViews>
  <sheetFormatPr baseColWidth="10" defaultColWidth="11.5" defaultRowHeight="15"/>
  <sheetData>
    <row r="2" spans="2:2">
      <c r="B2" t="s">
        <v>197</v>
      </c>
    </row>
    <row r="30" spans="2:2">
      <c r="B30" t="s">
        <v>198</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1:D75"/>
  <sheetViews>
    <sheetView topLeftCell="K64" workbookViewId="0">
      <selection activeCell="C41" sqref="C41"/>
    </sheetView>
  </sheetViews>
  <sheetFormatPr baseColWidth="10" defaultColWidth="11.5" defaultRowHeight="15"/>
  <cols>
    <col min="3" max="3" width="119" customWidth="1"/>
    <col min="4" max="4" width="33.33203125" customWidth="1"/>
  </cols>
  <sheetData>
    <row r="1" spans="3:4" ht="16" thickBot="1"/>
    <row r="2" spans="3:4">
      <c r="C2" s="454" t="s">
        <v>199</v>
      </c>
      <c r="D2" s="455"/>
    </row>
    <row r="3" spans="3:4">
      <c r="C3" s="456"/>
      <c r="D3" s="457"/>
    </row>
    <row r="4" spans="3:4" ht="16" thickBot="1">
      <c r="C4" s="150" t="s">
        <v>200</v>
      </c>
      <c r="D4" s="151" t="s">
        <v>201</v>
      </c>
    </row>
    <row r="5" spans="3:4" ht="30" customHeight="1">
      <c r="C5" s="152" t="s">
        <v>202</v>
      </c>
      <c r="D5" s="153">
        <v>1</v>
      </c>
    </row>
    <row r="6" spans="3:4" ht="28.5" customHeight="1">
      <c r="C6" s="154" t="s">
        <v>203</v>
      </c>
      <c r="D6" s="155">
        <v>1</v>
      </c>
    </row>
    <row r="7" spans="3:4" ht="28.5" customHeight="1">
      <c r="C7" s="156" t="s">
        <v>204</v>
      </c>
      <c r="D7" s="155">
        <v>1</v>
      </c>
    </row>
    <row r="8" spans="3:4" ht="28.5" customHeight="1">
      <c r="C8" s="156" t="s">
        <v>205</v>
      </c>
      <c r="D8" s="155">
        <v>1</v>
      </c>
    </row>
    <row r="9" spans="3:4" ht="18.5" customHeight="1">
      <c r="C9" s="156" t="s">
        <v>206</v>
      </c>
      <c r="D9" s="155">
        <v>1</v>
      </c>
    </row>
    <row r="10" spans="3:4" ht="28.5" customHeight="1">
      <c r="C10" s="156" t="s">
        <v>207</v>
      </c>
      <c r="D10" s="155">
        <v>1</v>
      </c>
    </row>
    <row r="11" spans="3:4" ht="21" customHeight="1">
      <c r="C11" s="154" t="s">
        <v>208</v>
      </c>
      <c r="D11" s="155">
        <v>1</v>
      </c>
    </row>
    <row r="12" spans="3:4" ht="21" customHeight="1">
      <c r="C12" s="154" t="s">
        <v>209</v>
      </c>
      <c r="D12" s="155">
        <v>1</v>
      </c>
    </row>
    <row r="13" spans="3:4" ht="21.5" customHeight="1">
      <c r="C13" s="154" t="s">
        <v>210</v>
      </c>
      <c r="D13" s="155">
        <v>1</v>
      </c>
    </row>
    <row r="14" spans="3:4" ht="28.5" customHeight="1">
      <c r="C14" s="154" t="s">
        <v>211</v>
      </c>
      <c r="D14" s="155">
        <v>1</v>
      </c>
    </row>
    <row r="15" spans="3:4" ht="22.5" customHeight="1">
      <c r="C15" s="157"/>
      <c r="D15" s="155">
        <v>1</v>
      </c>
    </row>
    <row r="16" spans="3:4" ht="28.5" customHeight="1">
      <c r="C16" s="158" t="s">
        <v>212</v>
      </c>
      <c r="D16" s="159"/>
    </row>
    <row r="17" spans="3:4" ht="28.5" customHeight="1">
      <c r="C17" s="152" t="s">
        <v>213</v>
      </c>
      <c r="D17" s="155">
        <v>1</v>
      </c>
    </row>
    <row r="18" spans="3:4" ht="28.5" customHeight="1">
      <c r="C18" s="152" t="s">
        <v>214</v>
      </c>
      <c r="D18" s="155">
        <v>1</v>
      </c>
    </row>
    <row r="19" spans="3:4" ht="28.5" customHeight="1">
      <c r="C19" s="152" t="s">
        <v>215</v>
      </c>
      <c r="D19" s="155">
        <v>1</v>
      </c>
    </row>
    <row r="20" spans="3:4" ht="28.5" customHeight="1">
      <c r="C20" s="154" t="s">
        <v>216</v>
      </c>
      <c r="D20" s="155">
        <v>1</v>
      </c>
    </row>
    <row r="21" spans="3:4" ht="28.5" customHeight="1">
      <c r="C21" s="152" t="s">
        <v>217</v>
      </c>
      <c r="D21" s="155">
        <v>1</v>
      </c>
    </row>
    <row r="22" spans="3:4" ht="28.5" customHeight="1">
      <c r="C22" s="160" t="s">
        <v>218</v>
      </c>
      <c r="D22" s="155">
        <v>1</v>
      </c>
    </row>
    <row r="23" spans="3:4" ht="28.5" customHeight="1">
      <c r="C23" s="152" t="s">
        <v>219</v>
      </c>
      <c r="D23" s="155">
        <v>1</v>
      </c>
    </row>
    <row r="24" spans="3:4" ht="28.5" customHeight="1">
      <c r="C24" s="152" t="s">
        <v>220</v>
      </c>
      <c r="D24" s="155">
        <v>1</v>
      </c>
    </row>
    <row r="25" spans="3:4" ht="28.5" customHeight="1">
      <c r="C25" s="157"/>
      <c r="D25" s="155">
        <v>1</v>
      </c>
    </row>
    <row r="26" spans="3:4" ht="28.5" customHeight="1">
      <c r="C26" s="157"/>
      <c r="D26" s="155">
        <v>1</v>
      </c>
    </row>
    <row r="27" spans="3:4" ht="28.5" customHeight="1">
      <c r="C27" s="158" t="s">
        <v>221</v>
      </c>
      <c r="D27" s="161"/>
    </row>
    <row r="28" spans="3:4" ht="28.5" customHeight="1">
      <c r="C28" s="156" t="s">
        <v>222</v>
      </c>
      <c r="D28" s="155">
        <v>1</v>
      </c>
    </row>
    <row r="29" spans="3:4" ht="28.5" customHeight="1">
      <c r="C29" s="156" t="s">
        <v>223</v>
      </c>
      <c r="D29" s="155">
        <v>1</v>
      </c>
    </row>
    <row r="30" spans="3:4" ht="28.5" customHeight="1">
      <c r="C30" s="156" t="s">
        <v>224</v>
      </c>
      <c r="D30" s="155">
        <v>1</v>
      </c>
    </row>
    <row r="31" spans="3:4" ht="28.5" customHeight="1">
      <c r="C31" s="156" t="s">
        <v>225</v>
      </c>
      <c r="D31" s="155">
        <v>1</v>
      </c>
    </row>
    <row r="32" spans="3:4" ht="28.5" customHeight="1">
      <c r="C32" s="156" t="s">
        <v>226</v>
      </c>
      <c r="D32" s="155">
        <v>1</v>
      </c>
    </row>
    <row r="33" spans="3:4" ht="28.5" customHeight="1">
      <c r="C33" s="162" t="s">
        <v>227</v>
      </c>
      <c r="D33" s="155">
        <v>1</v>
      </c>
    </row>
    <row r="34" spans="3:4" ht="28.5" customHeight="1">
      <c r="C34" s="154" t="s">
        <v>228</v>
      </c>
      <c r="D34" s="155">
        <v>1</v>
      </c>
    </row>
    <row r="35" spans="3:4" ht="28.5" customHeight="1">
      <c r="C35" s="156" t="s">
        <v>229</v>
      </c>
      <c r="D35" s="155">
        <v>1</v>
      </c>
    </row>
    <row r="36" spans="3:4" ht="28.5" customHeight="1">
      <c r="C36" s="156" t="s">
        <v>230</v>
      </c>
      <c r="D36" s="155">
        <v>1</v>
      </c>
    </row>
    <row r="37" spans="3:4" ht="28.5" customHeight="1">
      <c r="C37" s="156" t="s">
        <v>231</v>
      </c>
      <c r="D37" s="155">
        <v>1</v>
      </c>
    </row>
    <row r="38" spans="3:4" ht="28.5" customHeight="1">
      <c r="C38" s="154" t="s">
        <v>232</v>
      </c>
      <c r="D38" s="155">
        <v>1</v>
      </c>
    </row>
    <row r="39" spans="3:4" ht="28.5" customHeight="1">
      <c r="C39" s="162" t="s">
        <v>233</v>
      </c>
      <c r="D39" s="155">
        <v>1</v>
      </c>
    </row>
    <row r="40" spans="3:4" ht="28.5" customHeight="1">
      <c r="C40" s="162" t="s">
        <v>234</v>
      </c>
      <c r="D40" s="155">
        <v>1</v>
      </c>
    </row>
    <row r="41" spans="3:4" ht="28.5" customHeight="1">
      <c r="C41" s="162" t="s">
        <v>235</v>
      </c>
      <c r="D41" s="155">
        <v>1</v>
      </c>
    </row>
    <row r="42" spans="3:4" ht="28.5" customHeight="1">
      <c r="C42" s="162" t="s">
        <v>236</v>
      </c>
      <c r="D42" s="155">
        <v>1</v>
      </c>
    </row>
    <row r="43" spans="3:4" ht="28.5" customHeight="1">
      <c r="C43" s="163"/>
      <c r="D43" s="155"/>
    </row>
    <row r="44" spans="3:4" ht="28.5" customHeight="1">
      <c r="C44" s="163"/>
      <c r="D44" s="155"/>
    </row>
    <row r="45" spans="3:4" ht="28.5" customHeight="1">
      <c r="C45" s="158" t="s">
        <v>237</v>
      </c>
      <c r="D45" s="161"/>
    </row>
    <row r="46" spans="3:4" ht="28.5" customHeight="1">
      <c r="C46" s="162" t="s">
        <v>238</v>
      </c>
      <c r="D46" s="155">
        <v>1</v>
      </c>
    </row>
    <row r="47" spans="3:4" ht="28.5" customHeight="1">
      <c r="C47" s="162" t="s">
        <v>239</v>
      </c>
      <c r="D47" s="155">
        <v>1</v>
      </c>
    </row>
    <row r="48" spans="3:4" ht="28.5" customHeight="1">
      <c r="C48" s="162" t="s">
        <v>240</v>
      </c>
      <c r="D48" s="155">
        <v>1</v>
      </c>
    </row>
    <row r="49" spans="3:4" ht="28.5" customHeight="1">
      <c r="C49" s="162" t="s">
        <v>241</v>
      </c>
      <c r="D49" s="155">
        <v>1</v>
      </c>
    </row>
    <row r="50" spans="3:4" ht="28.5" customHeight="1">
      <c r="C50" s="164" t="s">
        <v>242</v>
      </c>
      <c r="D50" s="155">
        <v>1</v>
      </c>
    </row>
    <row r="51" spans="3:4" ht="28.5" customHeight="1">
      <c r="C51" s="164" t="s">
        <v>243</v>
      </c>
      <c r="D51" s="155">
        <v>1</v>
      </c>
    </row>
    <row r="52" spans="3:4" ht="28.5" customHeight="1">
      <c r="C52" s="164" t="s">
        <v>244</v>
      </c>
      <c r="D52" s="155">
        <v>1</v>
      </c>
    </row>
    <row r="53" spans="3:4" ht="28.5" customHeight="1">
      <c r="C53" s="152" t="s">
        <v>245</v>
      </c>
      <c r="D53" s="155">
        <v>1</v>
      </c>
    </row>
    <row r="54" spans="3:4" ht="28.5" customHeight="1">
      <c r="C54" s="152" t="s">
        <v>246</v>
      </c>
      <c r="D54" s="155">
        <v>1</v>
      </c>
    </row>
    <row r="55" spans="3:4" ht="28.5" customHeight="1"/>
    <row r="56" spans="3:4" ht="11" customHeight="1"/>
    <row r="57" spans="3:4" ht="11" customHeight="1"/>
    <row r="58" spans="3:4" ht="11" customHeight="1"/>
    <row r="59" spans="3:4" ht="11" customHeight="1"/>
    <row r="60" spans="3:4" ht="11" customHeight="1"/>
    <row r="61" spans="3:4" ht="11" customHeight="1"/>
    <row r="62" spans="3:4" ht="11" customHeight="1"/>
    <row r="63" spans="3:4" ht="11" customHeight="1"/>
    <row r="64" spans="3:4" ht="11" customHeight="1"/>
    <row r="65" ht="11" customHeight="1"/>
    <row r="66" ht="11" customHeight="1"/>
    <row r="67" ht="11" customHeight="1"/>
    <row r="68" ht="11" customHeight="1"/>
    <row r="69" ht="11" customHeight="1"/>
    <row r="70" ht="11" customHeight="1"/>
    <row r="71" ht="11" customHeight="1"/>
    <row r="72" ht="11" customHeight="1"/>
    <row r="73" ht="11" customHeight="1"/>
    <row r="74" ht="11" customHeight="1"/>
    <row r="75" ht="11" customHeight="1"/>
  </sheetData>
  <mergeCells count="1">
    <mergeCell ref="C2:D3"/>
  </mergeCells>
  <conditionalFormatting sqref="D5:D15 D17:D26 D43:D44">
    <cfRule type="iconSet" priority="6">
      <iconSet>
        <cfvo type="percent" val="0"/>
        <cfvo type="percent" val="33"/>
        <cfvo type="percent" val="67"/>
      </iconSet>
    </cfRule>
  </conditionalFormatting>
  <conditionalFormatting sqref="D28:D42">
    <cfRule type="iconSet" priority="4">
      <iconSet>
        <cfvo type="percent" val="0"/>
        <cfvo type="percent" val="33"/>
        <cfvo type="percent" val="67"/>
      </iconSet>
    </cfRule>
  </conditionalFormatting>
  <conditionalFormatting sqref="D46:D54">
    <cfRule type="iconSet" priority="2">
      <iconSet>
        <cfvo type="percent" val="0"/>
        <cfvo type="percent" val="33"/>
        <cfvo type="percent" val="67"/>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06EB6435-C432-4D19-A0A0-EA03417474CA}">
            <x14:iconSet showValue="0" custom="1">
              <x14:cfvo type="percent">
                <xm:f>0</xm:f>
              </x14:cfvo>
              <x14:cfvo type="percent">
                <xm:f>0</xm:f>
              </x14:cfvo>
              <x14:cfvo type="num">
                <xm:f>1</xm:f>
              </x14:cfvo>
              <x14:cfIcon iconSet="3Symbols" iconId="0"/>
              <x14:cfIcon iconSet="3Symbols" iconId="0"/>
              <x14:cfIcon iconSet="3Symbols" iconId="2"/>
            </x14:iconSet>
          </x14:cfRule>
          <xm:sqref>D5:D15 D17:D26 D43:D44</xm:sqref>
        </x14:conditionalFormatting>
        <x14:conditionalFormatting xmlns:xm="http://schemas.microsoft.com/office/excel/2006/main">
          <x14:cfRule type="iconSet" priority="3" id="{381B375A-42D7-49A6-A52D-2130434D1021}">
            <x14:iconSet showValue="0" custom="1">
              <x14:cfvo type="percent">
                <xm:f>0</xm:f>
              </x14:cfvo>
              <x14:cfvo type="percent">
                <xm:f>0</xm:f>
              </x14:cfvo>
              <x14:cfvo type="num">
                <xm:f>1</xm:f>
              </x14:cfvo>
              <x14:cfIcon iconSet="3Symbols" iconId="0"/>
              <x14:cfIcon iconSet="3Symbols" iconId="0"/>
              <x14:cfIcon iconSet="3Symbols" iconId="2"/>
            </x14:iconSet>
          </x14:cfRule>
          <xm:sqref>D28:D42</xm:sqref>
        </x14:conditionalFormatting>
        <x14:conditionalFormatting xmlns:xm="http://schemas.microsoft.com/office/excel/2006/main">
          <x14:cfRule type="iconSet" priority="1" id="{05A66E2B-23A5-4AC3-BFE1-977F769F42E5}">
            <x14:iconSet showValue="0" custom="1">
              <x14:cfvo type="percent">
                <xm:f>0</xm:f>
              </x14:cfvo>
              <x14:cfvo type="percent">
                <xm:f>0</xm:f>
              </x14:cfvo>
              <x14:cfvo type="num">
                <xm:f>1</xm:f>
              </x14:cfvo>
              <x14:cfIcon iconSet="3Symbols" iconId="0"/>
              <x14:cfIcon iconSet="3Symbols" iconId="0"/>
              <x14:cfIcon iconSet="3Symbols" iconId="2"/>
            </x14:iconSet>
          </x14:cfRule>
          <xm:sqref>D46:D54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W145"/>
  <sheetViews>
    <sheetView showGridLines="0" showRowColHeaders="0" zoomScale="60" zoomScaleNormal="60" workbookViewId="0">
      <pane ySplit="7" topLeftCell="A8" activePane="bottomLeft" state="frozen"/>
      <selection activeCell="G11" sqref="G11:K18"/>
      <selection pane="bottomLeft" activeCell="G11" sqref="G11:K18"/>
    </sheetView>
  </sheetViews>
  <sheetFormatPr baseColWidth="10" defaultColWidth="11.5" defaultRowHeight="15"/>
  <cols>
    <col min="1" max="1" width="5.33203125" customWidth="1"/>
    <col min="2" max="2" width="8.6640625" customWidth="1"/>
    <col min="3" max="3" width="9" customWidth="1"/>
    <col min="4" max="41" width="5.6640625" customWidth="1"/>
    <col min="43" max="48" width="5.6640625" customWidth="1"/>
  </cols>
  <sheetData>
    <row r="1" spans="1:101" ht="16" thickBot="1"/>
    <row r="2" spans="1:101" ht="15" customHeight="1">
      <c r="D2" s="518" t="s">
        <v>247</v>
      </c>
      <c r="E2" s="519"/>
      <c r="F2" s="519"/>
      <c r="G2" s="519"/>
      <c r="H2" s="519"/>
      <c r="I2" s="519"/>
      <c r="J2" s="519"/>
      <c r="K2" s="520"/>
      <c r="L2" s="509" t="s">
        <v>38</v>
      </c>
      <c r="M2" s="510"/>
      <c r="N2" s="510"/>
      <c r="O2" s="510"/>
      <c r="P2" s="510"/>
      <c r="Q2" s="510"/>
      <c r="R2" s="510"/>
      <c r="S2" s="510"/>
      <c r="T2" s="510"/>
      <c r="U2" s="510"/>
      <c r="V2" s="510"/>
      <c r="W2" s="510"/>
      <c r="X2" s="510"/>
      <c r="Y2" s="510"/>
      <c r="Z2" s="510"/>
      <c r="AA2" s="510"/>
      <c r="AB2" s="510"/>
      <c r="AC2" s="510"/>
      <c r="AD2" s="510"/>
      <c r="AE2" s="510"/>
      <c r="AF2" s="510"/>
      <c r="AG2" s="510"/>
      <c r="AH2" s="510"/>
      <c r="AI2" s="510"/>
      <c r="AJ2" s="510"/>
      <c r="AK2" s="510"/>
      <c r="AL2" s="510"/>
      <c r="AM2" s="510"/>
      <c r="AN2" s="510"/>
      <c r="AO2" s="511"/>
      <c r="AP2" s="292" t="s">
        <v>248</v>
      </c>
      <c r="AQ2" s="506"/>
      <c r="AR2" s="506"/>
      <c r="AS2" s="506"/>
      <c r="AT2" s="506"/>
      <c r="AU2" s="506"/>
      <c r="AV2" s="293"/>
    </row>
    <row r="3" spans="1:101">
      <c r="D3" s="521"/>
      <c r="E3" s="522"/>
      <c r="F3" s="522"/>
      <c r="G3" s="522"/>
      <c r="H3" s="522"/>
      <c r="I3" s="522"/>
      <c r="J3" s="522"/>
      <c r="K3" s="523"/>
      <c r="L3" s="512"/>
      <c r="M3" s="513"/>
      <c r="N3" s="513"/>
      <c r="O3" s="513"/>
      <c r="P3" s="513"/>
      <c r="Q3" s="513"/>
      <c r="R3" s="513"/>
      <c r="S3" s="513"/>
      <c r="T3" s="513"/>
      <c r="U3" s="513"/>
      <c r="V3" s="513"/>
      <c r="W3" s="513"/>
      <c r="X3" s="513"/>
      <c r="Y3" s="513"/>
      <c r="Z3" s="513"/>
      <c r="AA3" s="513"/>
      <c r="AB3" s="513"/>
      <c r="AC3" s="513"/>
      <c r="AD3" s="513"/>
      <c r="AE3" s="513"/>
      <c r="AF3" s="513"/>
      <c r="AG3" s="513"/>
      <c r="AH3" s="513"/>
      <c r="AI3" s="513"/>
      <c r="AJ3" s="513"/>
      <c r="AK3" s="513"/>
      <c r="AL3" s="513"/>
      <c r="AM3" s="513"/>
      <c r="AN3" s="513"/>
      <c r="AO3" s="514"/>
      <c r="AP3" s="294" t="s">
        <v>3</v>
      </c>
      <c r="AQ3" s="507"/>
      <c r="AR3" s="507"/>
      <c r="AS3" s="507"/>
      <c r="AT3" s="507"/>
      <c r="AU3" s="507"/>
      <c r="AV3" s="295"/>
    </row>
    <row r="4" spans="1:101">
      <c r="D4" s="521"/>
      <c r="E4" s="522"/>
      <c r="F4" s="522"/>
      <c r="G4" s="522"/>
      <c r="H4" s="522"/>
      <c r="I4" s="522"/>
      <c r="J4" s="522"/>
      <c r="K4" s="523"/>
      <c r="L4" s="512"/>
      <c r="M4" s="513"/>
      <c r="N4" s="513"/>
      <c r="O4" s="513"/>
      <c r="P4" s="513"/>
      <c r="Q4" s="513"/>
      <c r="R4" s="513"/>
      <c r="S4" s="513"/>
      <c r="T4" s="513"/>
      <c r="U4" s="513"/>
      <c r="V4" s="513"/>
      <c r="W4" s="513"/>
      <c r="X4" s="513"/>
      <c r="Y4" s="513"/>
      <c r="Z4" s="513"/>
      <c r="AA4" s="513"/>
      <c r="AB4" s="513"/>
      <c r="AC4" s="513"/>
      <c r="AD4" s="513"/>
      <c r="AE4" s="513"/>
      <c r="AF4" s="513"/>
      <c r="AG4" s="513"/>
      <c r="AH4" s="513"/>
      <c r="AI4" s="513"/>
      <c r="AJ4" s="513"/>
      <c r="AK4" s="513"/>
      <c r="AL4" s="513"/>
      <c r="AM4" s="513"/>
      <c r="AN4" s="513"/>
      <c r="AO4" s="514"/>
      <c r="AP4" s="294" t="s">
        <v>4</v>
      </c>
      <c r="AQ4" s="507" t="s">
        <v>249</v>
      </c>
      <c r="AR4" s="507"/>
      <c r="AS4" s="507"/>
      <c r="AT4" s="507"/>
      <c r="AU4" s="507"/>
      <c r="AV4" s="295"/>
    </row>
    <row r="5" spans="1:101" ht="16" thickBot="1">
      <c r="D5" s="524"/>
      <c r="E5" s="525"/>
      <c r="F5" s="525"/>
      <c r="G5" s="525"/>
      <c r="H5" s="525"/>
      <c r="I5" s="525"/>
      <c r="J5" s="525"/>
      <c r="K5" s="526"/>
      <c r="L5" s="515"/>
      <c r="M5" s="516"/>
      <c r="N5" s="516"/>
      <c r="O5" s="516"/>
      <c r="P5" s="516"/>
      <c r="Q5" s="516"/>
      <c r="R5" s="516"/>
      <c r="S5" s="516"/>
      <c r="T5" s="516"/>
      <c r="U5" s="516"/>
      <c r="V5" s="516"/>
      <c r="W5" s="516"/>
      <c r="X5" s="516"/>
      <c r="Y5" s="516"/>
      <c r="Z5" s="516"/>
      <c r="AA5" s="516"/>
      <c r="AB5" s="516"/>
      <c r="AC5" s="516"/>
      <c r="AD5" s="516"/>
      <c r="AE5" s="516"/>
      <c r="AF5" s="516"/>
      <c r="AG5" s="516"/>
      <c r="AH5" s="516"/>
      <c r="AI5" s="516"/>
      <c r="AJ5" s="516"/>
      <c r="AK5" s="516"/>
      <c r="AL5" s="516"/>
      <c r="AM5" s="516"/>
      <c r="AN5" s="516"/>
      <c r="AO5" s="517"/>
      <c r="AP5" s="296" t="s">
        <v>5</v>
      </c>
      <c r="AQ5" s="508" t="s">
        <v>5</v>
      </c>
      <c r="AR5" s="508"/>
      <c r="AS5" s="508"/>
      <c r="AT5" s="508"/>
      <c r="AU5" s="508"/>
      <c r="AV5" s="297"/>
    </row>
    <row r="7" spans="1:101" ht="18" customHeight="1">
      <c r="C7" s="68"/>
      <c r="D7" s="458" t="s">
        <v>250</v>
      </c>
      <c r="E7" s="458"/>
      <c r="F7" s="458"/>
      <c r="G7" s="458"/>
      <c r="H7" s="458"/>
      <c r="I7" s="458"/>
      <c r="J7" s="458"/>
      <c r="K7" s="458"/>
      <c r="L7" s="565" t="s">
        <v>56</v>
      </c>
      <c r="M7" s="565"/>
      <c r="N7" s="565"/>
      <c r="O7" s="565"/>
      <c r="P7" s="565"/>
      <c r="Q7" s="565"/>
      <c r="R7" s="565"/>
      <c r="S7" s="565"/>
      <c r="T7" s="565"/>
      <c r="U7" s="565"/>
      <c r="V7" s="565"/>
      <c r="W7" s="565"/>
      <c r="X7" s="565"/>
      <c r="Y7" s="565"/>
      <c r="Z7" s="565"/>
      <c r="AA7" s="565"/>
      <c r="AB7" s="565"/>
      <c r="AC7" s="565"/>
      <c r="AD7" s="565"/>
      <c r="AE7" s="565"/>
      <c r="AF7" s="565"/>
      <c r="AG7" s="565"/>
      <c r="AH7" s="565"/>
      <c r="AI7" s="565"/>
      <c r="AJ7" s="565"/>
      <c r="AK7" s="565"/>
      <c r="AL7" s="565"/>
      <c r="AM7" s="565"/>
      <c r="AN7" s="565"/>
      <c r="AO7" s="565"/>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row>
    <row r="8" spans="1:101" ht="18.75" customHeight="1">
      <c r="A8" s="358" t="s">
        <v>9</v>
      </c>
      <c r="B8" s="358"/>
      <c r="C8" s="359"/>
      <c r="D8" s="458"/>
      <c r="E8" s="458"/>
      <c r="F8" s="458"/>
      <c r="G8" s="458"/>
      <c r="H8" s="458"/>
      <c r="I8" s="458"/>
      <c r="J8" s="458"/>
      <c r="K8" s="458"/>
      <c r="L8" s="565"/>
      <c r="M8" s="565"/>
      <c r="N8" s="565"/>
      <c r="O8" s="565"/>
      <c r="P8" s="565"/>
      <c r="Q8" s="565"/>
      <c r="R8" s="565"/>
      <c r="S8" s="565"/>
      <c r="T8" s="565"/>
      <c r="U8" s="565"/>
      <c r="V8" s="565"/>
      <c r="W8" s="565"/>
      <c r="X8" s="565"/>
      <c r="Y8" s="565"/>
      <c r="Z8" s="565"/>
      <c r="AA8" s="565"/>
      <c r="AB8" s="565"/>
      <c r="AC8" s="565"/>
      <c r="AD8" s="565"/>
      <c r="AE8" s="565"/>
      <c r="AF8" s="565"/>
      <c r="AG8" s="565"/>
      <c r="AH8" s="565"/>
      <c r="AI8" s="565"/>
      <c r="AJ8" s="565"/>
      <c r="AK8" s="565"/>
      <c r="AL8" s="565"/>
      <c r="AM8" s="565"/>
      <c r="AN8" s="565"/>
      <c r="AO8" s="565"/>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row>
    <row r="9" spans="1:101" ht="15" customHeight="1">
      <c r="C9" s="68"/>
      <c r="D9" s="458"/>
      <c r="E9" s="458"/>
      <c r="F9" s="458"/>
      <c r="G9" s="458"/>
      <c r="H9" s="458"/>
      <c r="I9" s="458"/>
      <c r="J9" s="458"/>
      <c r="K9" s="458"/>
      <c r="L9" s="565"/>
      <c r="M9" s="565"/>
      <c r="N9" s="565"/>
      <c r="O9" s="565"/>
      <c r="P9" s="565"/>
      <c r="Q9" s="565"/>
      <c r="R9" s="565"/>
      <c r="S9" s="565"/>
      <c r="T9" s="565"/>
      <c r="U9" s="565"/>
      <c r="V9" s="565"/>
      <c r="W9" s="565"/>
      <c r="X9" s="565"/>
      <c r="Y9" s="565"/>
      <c r="Z9" s="565"/>
      <c r="AA9" s="565"/>
      <c r="AB9" s="565"/>
      <c r="AC9" s="565"/>
      <c r="AD9" s="565"/>
      <c r="AE9" s="565"/>
      <c r="AF9" s="565"/>
      <c r="AG9" s="565"/>
      <c r="AH9" s="565"/>
      <c r="AI9" s="565"/>
      <c r="AJ9" s="565"/>
      <c r="AK9" s="565"/>
      <c r="AL9" s="565"/>
      <c r="AM9" s="565"/>
      <c r="AN9" s="565"/>
      <c r="AO9" s="565"/>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row>
    <row r="10" spans="1:101" ht="16" thickBot="1">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row>
    <row r="11" spans="1:101" ht="15" customHeight="1">
      <c r="C11" s="68"/>
      <c r="D11" s="527" t="s">
        <v>251</v>
      </c>
      <c r="E11" s="527"/>
      <c r="F11" s="528"/>
      <c r="G11" s="495" t="s">
        <v>252</v>
      </c>
      <c r="H11" s="497"/>
      <c r="I11" s="497"/>
      <c r="J11" s="497"/>
      <c r="K11" s="497"/>
      <c r="L11" s="492"/>
      <c r="M11" s="493"/>
      <c r="N11" s="493" t="str">
        <f>IF(AND('Mapa final'!$K$15="Muy Alta",'Mapa final'!$O$15="Leve"),CONCATENATE("R",'Mapa final'!#REF!),"")</f>
        <v/>
      </c>
      <c r="O11" s="493"/>
      <c r="P11" s="493" t="e">
        <f>IF(AND('Mapa final'!#REF!="Muy Alta",'Mapa final'!#REF!="Leve"),CONCATENATE("R",'Mapa final'!#REF!),"")</f>
        <v>#REF!</v>
      </c>
      <c r="Q11" s="494"/>
      <c r="R11" s="492"/>
      <c r="S11" s="493"/>
      <c r="T11" s="493" t="str">
        <f>IF(AND('Mapa final'!$P$15="Muy Alta",'Mapa final'!$S$15="Menor"),CONCATENATE("R",'Mapa final'!#REF!),"")</f>
        <v/>
      </c>
      <c r="U11" s="493"/>
      <c r="V11" s="493" t="e">
        <f>IF(AND('Mapa final'!#REF!="Muy Alta",'Mapa final'!#REF!="Menor"),CONCATENATE("R",'Mapa final'!#REF!),"")</f>
        <v>#REF!</v>
      </c>
      <c r="W11" s="493"/>
      <c r="X11" s="492"/>
      <c r="Y11" s="493"/>
      <c r="Z11" s="493" t="str">
        <f>IF(AND('Mapa final'!P$15="Muy Alta",'Mapa final'!$S$15="Moderado"),CONCATENATE("R",'Mapa final'!#REF!),"")</f>
        <v/>
      </c>
      <c r="AA11" s="493"/>
      <c r="AB11" s="493" t="e">
        <f>IF(AND('Mapa final'!#REF!="Muy Alta",'Mapa final'!#REF!="Moderado"),CONCATENATE("R",'Mapa final'!#REF!),"")</f>
        <v>#REF!</v>
      </c>
      <c r="AC11" s="493"/>
      <c r="AD11" s="492"/>
      <c r="AE11" s="493"/>
      <c r="AF11" s="493" t="str">
        <f>IF(AND('Mapa final'!$P$15="Muy Alta",'Mapa final'!$S$15="Mayor"),CONCATENATE("R",'Mapa final'!#REF!),"")</f>
        <v/>
      </c>
      <c r="AG11" s="493"/>
      <c r="AH11" s="493" t="e">
        <f>IF(AND('Mapa final'!#REF!="Muy Alta",'Mapa final'!#REF!="Mayor"),CONCATENATE("R",'Mapa final'!#REF!),"")</f>
        <v>#REF!</v>
      </c>
      <c r="AI11" s="493"/>
      <c r="AJ11" s="483"/>
      <c r="AK11" s="484"/>
      <c r="AL11" s="484" t="str">
        <f>IF(AND('Mapa final'!$P$15="Muy Alta",'Mapa final'!$S$15="Catastrófico"),CONCATENATE("R",'Mapa final'!#REF!),"")</f>
        <v/>
      </c>
      <c r="AM11" s="484"/>
      <c r="AN11" s="484" t="e">
        <f>IF(AND('Mapa final'!#REF!="Muy Alta",'Mapa final'!#REF!="Catastrófico"),CONCATENATE("R",'Mapa final'!#REF!),"")</f>
        <v>#REF!</v>
      </c>
      <c r="AO11" s="485"/>
      <c r="AQ11" s="529" t="s">
        <v>253</v>
      </c>
      <c r="AR11" s="530"/>
      <c r="AS11" s="530"/>
      <c r="AT11" s="530"/>
      <c r="AU11" s="530"/>
      <c r="AV11" s="531"/>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row>
    <row r="12" spans="1:101" ht="15" customHeight="1">
      <c r="C12" s="68"/>
      <c r="D12" s="527"/>
      <c r="E12" s="527"/>
      <c r="F12" s="528"/>
      <c r="G12" s="499"/>
      <c r="H12" s="500"/>
      <c r="I12" s="500"/>
      <c r="J12" s="500"/>
      <c r="K12" s="500"/>
      <c r="L12" s="486"/>
      <c r="M12" s="487"/>
      <c r="N12" s="487"/>
      <c r="O12" s="487"/>
      <c r="P12" s="487"/>
      <c r="Q12" s="488"/>
      <c r="R12" s="486"/>
      <c r="S12" s="487"/>
      <c r="T12" s="487"/>
      <c r="U12" s="487"/>
      <c r="V12" s="487"/>
      <c r="W12" s="487"/>
      <c r="X12" s="486"/>
      <c r="Y12" s="487"/>
      <c r="Z12" s="487"/>
      <c r="AA12" s="487"/>
      <c r="AB12" s="487"/>
      <c r="AC12" s="487"/>
      <c r="AD12" s="486"/>
      <c r="AE12" s="487"/>
      <c r="AF12" s="487"/>
      <c r="AG12" s="487"/>
      <c r="AH12" s="487"/>
      <c r="AI12" s="487"/>
      <c r="AJ12" s="477"/>
      <c r="AK12" s="478"/>
      <c r="AL12" s="478"/>
      <c r="AM12" s="478"/>
      <c r="AN12" s="478"/>
      <c r="AO12" s="479"/>
      <c r="AP12" s="68"/>
      <c r="AQ12" s="532"/>
      <c r="AR12" s="533"/>
      <c r="AS12" s="533"/>
      <c r="AT12" s="533"/>
      <c r="AU12" s="533"/>
      <c r="AV12" s="534"/>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row>
    <row r="13" spans="1:101" ht="15" customHeight="1">
      <c r="C13" s="68"/>
      <c r="D13" s="527"/>
      <c r="E13" s="527"/>
      <c r="F13" s="528"/>
      <c r="G13" s="499"/>
      <c r="H13" s="500"/>
      <c r="I13" s="500"/>
      <c r="J13" s="500"/>
      <c r="K13" s="500"/>
      <c r="L13" s="486" t="e">
        <f>IF(AND('Mapa final'!#REF!="Muy Alta",'Mapa final'!#REF!="Leve"),CONCATENATE("R",'Mapa final'!#REF!),"")</f>
        <v>#REF!</v>
      </c>
      <c r="M13" s="487"/>
      <c r="N13" s="487" t="e">
        <f>IF(AND('Mapa final'!#REF!="Muy Alta",'Mapa final'!#REF!="Leve"),CONCATENATE("R",'Mapa final'!#REF!),"")</f>
        <v>#REF!</v>
      </c>
      <c r="O13" s="487"/>
      <c r="P13" s="487" t="e">
        <f>IF(AND('Mapa final'!#REF!="Muy Alta",'Mapa final'!#REF!="Leve"),CONCATENATE("R",'Mapa final'!#REF!),"")</f>
        <v>#REF!</v>
      </c>
      <c r="Q13" s="488"/>
      <c r="R13" s="486" t="e">
        <f>IF(AND('Mapa final'!#REF!="Muy Alta",'Mapa final'!#REF!="Menor"),CONCATENATE("R",'Mapa final'!#REF!),"")</f>
        <v>#REF!</v>
      </c>
      <c r="S13" s="487"/>
      <c r="T13" s="487" t="e">
        <f>IF(AND('Mapa final'!#REF!="Muy Alta",'Mapa final'!#REF!="Menor"),CONCATENATE("R",'Mapa final'!#REF!),"")</f>
        <v>#REF!</v>
      </c>
      <c r="U13" s="487"/>
      <c r="V13" s="487" t="e">
        <f>IF(AND('Mapa final'!#REF!="Muy Alta",'Mapa final'!#REF!="Menor"),CONCATENATE("R",'Mapa final'!#REF!),"")</f>
        <v>#REF!</v>
      </c>
      <c r="W13" s="487"/>
      <c r="X13" s="486" t="e">
        <f>IF(AND('Mapa final'!#REF!="Muy Alta",'Mapa final'!#REF!="Moderado"),CONCATENATE("R",'Mapa final'!#REF!),"")</f>
        <v>#REF!</v>
      </c>
      <c r="Y13" s="487"/>
      <c r="Z13" s="487" t="e">
        <f>IF(AND('Mapa final'!#REF!="Muy Alta",'Mapa final'!#REF!="Moderado"),CONCATENATE("R",'Mapa final'!#REF!),"")</f>
        <v>#REF!</v>
      </c>
      <c r="AA13" s="487"/>
      <c r="AB13" s="487" t="e">
        <f>IF(AND('Mapa final'!#REF!="Muy Alta",'Mapa final'!#REF!="Moderado"),CONCATENATE("R",'Mapa final'!#REF!),"")</f>
        <v>#REF!</v>
      </c>
      <c r="AC13" s="487"/>
      <c r="AD13" s="486" t="e">
        <f>IF(AND('Mapa final'!#REF!="Muy Alta",'Mapa final'!#REF!="Mayor"),CONCATENATE("R",'Mapa final'!#REF!),"")</f>
        <v>#REF!</v>
      </c>
      <c r="AE13" s="487"/>
      <c r="AF13" s="487" t="e">
        <f>IF(AND('Mapa final'!#REF!="Muy Alta",'Mapa final'!#REF!="Mayor"),CONCATENATE("R",'Mapa final'!#REF!),"")</f>
        <v>#REF!</v>
      </c>
      <c r="AG13" s="487"/>
      <c r="AH13" s="487" t="e">
        <f>IF(AND('Mapa final'!#REF!="Muy Alta",'Mapa final'!#REF!="Mayor"),CONCATENATE("R",'Mapa final'!#REF!),"")</f>
        <v>#REF!</v>
      </c>
      <c r="AI13" s="487"/>
      <c r="AJ13" s="477" t="e">
        <f>IF(AND('Mapa final'!#REF!="Muy Alta",'Mapa final'!#REF!="Catastrófico"),CONCATENATE("R",'Mapa final'!#REF!),"")</f>
        <v>#REF!</v>
      </c>
      <c r="AK13" s="478"/>
      <c r="AL13" s="478" t="e">
        <f>IF(AND('Mapa final'!#REF!="Muy Alta",'Mapa final'!#REF!="Catastrófico"),CONCATENATE("R",'Mapa final'!#REF!),"")</f>
        <v>#REF!</v>
      </c>
      <c r="AM13" s="478"/>
      <c r="AN13" s="478" t="e">
        <f>IF(AND('Mapa final'!#REF!="Muy Alta",'Mapa final'!#REF!="Catastrófico"),CONCATENATE("R",'Mapa final'!#REF!),"")</f>
        <v>#REF!</v>
      </c>
      <c r="AO13" s="479"/>
      <c r="AP13" s="68"/>
      <c r="AQ13" s="532"/>
      <c r="AR13" s="533"/>
      <c r="AS13" s="533"/>
      <c r="AT13" s="533"/>
      <c r="AU13" s="533"/>
      <c r="AV13" s="534"/>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101" ht="15" customHeight="1">
      <c r="C14" s="68"/>
      <c r="D14" s="527"/>
      <c r="E14" s="527"/>
      <c r="F14" s="528"/>
      <c r="G14" s="499"/>
      <c r="H14" s="500"/>
      <c r="I14" s="500"/>
      <c r="J14" s="500"/>
      <c r="K14" s="500"/>
      <c r="L14" s="486"/>
      <c r="M14" s="487"/>
      <c r="N14" s="487"/>
      <c r="O14" s="487"/>
      <c r="P14" s="487"/>
      <c r="Q14" s="488"/>
      <c r="R14" s="486"/>
      <c r="S14" s="487"/>
      <c r="T14" s="487"/>
      <c r="U14" s="487"/>
      <c r="V14" s="487"/>
      <c r="W14" s="487"/>
      <c r="X14" s="486"/>
      <c r="Y14" s="487"/>
      <c r="Z14" s="487"/>
      <c r="AA14" s="487"/>
      <c r="AB14" s="487"/>
      <c r="AC14" s="487"/>
      <c r="AD14" s="486"/>
      <c r="AE14" s="487"/>
      <c r="AF14" s="487"/>
      <c r="AG14" s="487"/>
      <c r="AH14" s="487"/>
      <c r="AI14" s="487"/>
      <c r="AJ14" s="477"/>
      <c r="AK14" s="478"/>
      <c r="AL14" s="478"/>
      <c r="AM14" s="478"/>
      <c r="AN14" s="478"/>
      <c r="AO14" s="479"/>
      <c r="AP14" s="68"/>
      <c r="AQ14" s="532"/>
      <c r="AR14" s="533"/>
      <c r="AS14" s="533"/>
      <c r="AT14" s="533"/>
      <c r="AU14" s="533"/>
      <c r="AV14" s="534"/>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row>
    <row r="15" spans="1:101" ht="15" customHeight="1">
      <c r="C15" s="68"/>
      <c r="D15" s="527"/>
      <c r="E15" s="527"/>
      <c r="F15" s="528"/>
      <c r="G15" s="499"/>
      <c r="H15" s="500"/>
      <c r="I15" s="500"/>
      <c r="J15" s="500"/>
      <c r="K15" s="500"/>
      <c r="L15" s="486" t="e">
        <f>IF(AND('Mapa final'!#REF!="Muy Alta",'Mapa final'!#REF!="Leve"),CONCATENATE("R",'Mapa final'!#REF!),"")</f>
        <v>#REF!</v>
      </c>
      <c r="M15" s="487"/>
      <c r="N15" s="487" t="e">
        <f>IF(AND('Mapa final'!#REF!="Muy Alta",'Mapa final'!#REF!="Leve"),CONCATENATE("R",'Mapa final'!#REF!),"")</f>
        <v>#REF!</v>
      </c>
      <c r="O15" s="487"/>
      <c r="P15" s="487" t="str">
        <f>IF(AND('Mapa final'!$K$24="Muy Alta",'Mapa final'!$O$24="Leve"),CONCATENATE("R",'Mapa final'!$A$24),"")</f>
        <v/>
      </c>
      <c r="Q15" s="488"/>
      <c r="R15" s="486" t="e">
        <f>IF(AND('Mapa final'!#REF!="Muy Alta",'Mapa final'!#REF!="Menor"),CONCATENATE("R",'Mapa final'!#REF!),"")</f>
        <v>#REF!</v>
      </c>
      <c r="S15" s="487"/>
      <c r="T15" s="487" t="e">
        <f>IF(AND('Mapa final'!#REF!="Muy Alta",'Mapa final'!#REF!="Menor"),CONCATENATE("R",'Mapa final'!#REF!),"")</f>
        <v>#REF!</v>
      </c>
      <c r="U15" s="487"/>
      <c r="V15" s="487" t="str">
        <f>IF(AND('Mapa final'!$P$24="Muy Alta",'Mapa final'!$S$24="Menor"),CONCATENATE("R",'Mapa final'!$A$24),"")</f>
        <v/>
      </c>
      <c r="W15" s="487"/>
      <c r="X15" s="486" t="e">
        <f>IF(AND('Mapa final'!#REF!="Muy Alta",'Mapa final'!#REF!="Moderado"),CONCATENATE("R",'Mapa final'!#REF!),"")</f>
        <v>#REF!</v>
      </c>
      <c r="Y15" s="487"/>
      <c r="Z15" s="487" t="e">
        <f>IF(AND('Mapa final'!#REF!="Muy Alta",'Mapa final'!#REF!="Moderado"),CONCATENATE("R",'Mapa final'!#REF!),"")</f>
        <v>#REF!</v>
      </c>
      <c r="AA15" s="487"/>
      <c r="AB15" s="487" t="str">
        <f>IF(AND('Mapa final'!$P$24="Muy Alta",'Mapa final'!$S$24="Moderado"),CONCATENATE("R",'Mapa final'!$A$24),"")</f>
        <v/>
      </c>
      <c r="AC15" s="487"/>
      <c r="AD15" s="486" t="e">
        <f>IF(AND('Mapa final'!#REF!="Muy Alta",'Mapa final'!#REF!="Mayor"),CONCATENATE("R",'Mapa final'!#REF!),"")</f>
        <v>#REF!</v>
      </c>
      <c r="AE15" s="487"/>
      <c r="AF15" s="487" t="e">
        <f>IF(AND('Mapa final'!#REF!="Muy Alta",'Mapa final'!#REF!="Mayor"),CONCATENATE("R",'Mapa final'!#REF!),"")</f>
        <v>#REF!</v>
      </c>
      <c r="AG15" s="487"/>
      <c r="AH15" s="487" t="str">
        <f>IF(AND('Mapa final'!$P$24="Muy Alta",'Mapa final'!$S$24="Mayor"),CONCATENATE("R",'Mapa final'!$A$24),"")</f>
        <v/>
      </c>
      <c r="AI15" s="487"/>
      <c r="AJ15" s="477" t="e">
        <f>IF(AND('Mapa final'!#REF!="Muy Alta",'Mapa final'!#REF!="Catastrófico"),CONCATENATE("R",'Mapa final'!#REF!),"")</f>
        <v>#REF!</v>
      </c>
      <c r="AK15" s="478"/>
      <c r="AL15" s="478" t="e">
        <f>IF(AND('Mapa final'!#REF!="Muy Alta",'Mapa final'!#REF!="Catastrófico"),CONCATENATE("R",'Mapa final'!#REF!),"")</f>
        <v>#REF!</v>
      </c>
      <c r="AM15" s="478"/>
      <c r="AN15" s="478" t="str">
        <f>IF(AND('Mapa final'!$P$24="Muy Alta",'Mapa final'!$S$24="Catastrófico"),CONCATENATE("R",'Mapa final'!$A$24),"")</f>
        <v/>
      </c>
      <c r="AO15" s="479"/>
      <c r="AP15" s="68"/>
      <c r="AQ15" s="532"/>
      <c r="AR15" s="533"/>
      <c r="AS15" s="533"/>
      <c r="AT15" s="533"/>
      <c r="AU15" s="533"/>
      <c r="AV15" s="534"/>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row>
    <row r="16" spans="1:101" ht="15" customHeight="1">
      <c r="C16" s="68"/>
      <c r="D16" s="527"/>
      <c r="E16" s="527"/>
      <c r="F16" s="528"/>
      <c r="G16" s="499"/>
      <c r="H16" s="500"/>
      <c r="I16" s="500"/>
      <c r="J16" s="500"/>
      <c r="K16" s="500"/>
      <c r="L16" s="486"/>
      <c r="M16" s="487"/>
      <c r="N16" s="487"/>
      <c r="O16" s="487"/>
      <c r="P16" s="487"/>
      <c r="Q16" s="488"/>
      <c r="R16" s="486"/>
      <c r="S16" s="487"/>
      <c r="T16" s="487"/>
      <c r="U16" s="487"/>
      <c r="V16" s="487"/>
      <c r="W16" s="487"/>
      <c r="X16" s="486"/>
      <c r="Y16" s="487"/>
      <c r="Z16" s="487"/>
      <c r="AA16" s="487"/>
      <c r="AB16" s="487"/>
      <c r="AC16" s="487"/>
      <c r="AD16" s="486"/>
      <c r="AE16" s="487"/>
      <c r="AF16" s="487"/>
      <c r="AG16" s="487"/>
      <c r="AH16" s="487"/>
      <c r="AI16" s="487"/>
      <c r="AJ16" s="477"/>
      <c r="AK16" s="478"/>
      <c r="AL16" s="478"/>
      <c r="AM16" s="478"/>
      <c r="AN16" s="478"/>
      <c r="AO16" s="479"/>
      <c r="AP16" s="68"/>
      <c r="AQ16" s="532"/>
      <c r="AR16" s="533"/>
      <c r="AS16" s="533"/>
      <c r="AT16" s="533"/>
      <c r="AU16" s="533"/>
      <c r="AV16" s="534"/>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row>
    <row r="17" spans="3:82" ht="15" customHeight="1">
      <c r="C17" s="68"/>
      <c r="D17" s="527"/>
      <c r="E17" s="527"/>
      <c r="F17" s="528"/>
      <c r="G17" s="499"/>
      <c r="H17" s="500"/>
      <c r="I17" s="500"/>
      <c r="J17" s="500"/>
      <c r="K17" s="500"/>
      <c r="L17" s="486" t="str">
        <f>IF(AND('Mapa final'!$P$25="Muy Alta",'Mapa final'!$S$25="Leve"),CONCATENATE("R",'Mapa final'!$A$25),"")</f>
        <v/>
      </c>
      <c r="M17" s="487"/>
      <c r="N17" s="487" t="str">
        <f>IF(AND('Mapa final'!$K$26="Muy Alta",'Mapa final'!$O$26="Leve"),CONCATENATE("R",'Mapa final'!$A$26),"")</f>
        <v/>
      </c>
      <c r="O17" s="487"/>
      <c r="P17" s="487" t="str">
        <f>IF(AND('Mapa final'!$K$27="Muy Alta",'Mapa final'!$O$27="Leve"),CONCATENATE("R",'Mapa final'!$A$27),"")</f>
        <v/>
      </c>
      <c r="Q17" s="488"/>
      <c r="R17" s="486" t="str">
        <f>IF(AND('Mapa final'!$P$25="Muy Alta",'Mapa final'!$S$25="Menor"),CONCATENATE("R",'Mapa final'!$A$25),"")</f>
        <v/>
      </c>
      <c r="S17" s="487"/>
      <c r="T17" s="487" t="str">
        <f>IF(AND('Mapa final'!$P$26="Muy Alta",'Mapa final'!$S$26="Menor"),CONCATENATE("R",'Mapa final'!$A$26),"")</f>
        <v/>
      </c>
      <c r="U17" s="487"/>
      <c r="V17" s="487" t="str">
        <f>IF(AND('Mapa final'!$P$27="Muy Alta",'Mapa final'!$S$27="Menor"),CONCATENATE("R",'Mapa final'!$A$27),"")</f>
        <v/>
      </c>
      <c r="W17" s="487"/>
      <c r="X17" s="486" t="str">
        <f>IF(AND('Mapa final'!$P$25="Muy Alta",'Mapa final'!$S$25="Moderado"),CONCATENATE("R",'Mapa final'!$A$25),"")</f>
        <v/>
      </c>
      <c r="Y17" s="487"/>
      <c r="Z17" s="487" t="str">
        <f>IF(AND('Mapa final'!$P$26="Muy Alta",'Mapa final'!$S$26="Moderado"),CONCATENATE("R",'Mapa final'!$A$26),"")</f>
        <v/>
      </c>
      <c r="AA17" s="487"/>
      <c r="AB17" s="487" t="str">
        <f>IF(AND('Mapa final'!$P$27="Muy Alta",'Mapa final'!$S$27="Moderado"),CONCATENATE("R",'Mapa final'!$A$27),"")</f>
        <v/>
      </c>
      <c r="AC17" s="487"/>
      <c r="AD17" s="486" t="str">
        <f>IF(AND('Mapa final'!$P$25="Muy Alta",'Mapa final'!$S$25="Mayor"),CONCATENATE("R",'Mapa final'!$A$25),"")</f>
        <v/>
      </c>
      <c r="AE17" s="487"/>
      <c r="AF17" s="487" t="str">
        <f>IF(AND('Mapa final'!$P$26="Muy Alta",'Mapa final'!$S$26="Mayor"),CONCATENATE("R",'Mapa final'!$A$26),"")</f>
        <v/>
      </c>
      <c r="AG17" s="487"/>
      <c r="AH17" s="487" t="str">
        <f>IF(AND('Mapa final'!$P$27="Muy Alta",'Mapa final'!$S$27="Mayor"),CONCATENATE("R",'Mapa final'!$A$27),"")</f>
        <v/>
      </c>
      <c r="AI17" s="487"/>
      <c r="AJ17" s="477" t="str">
        <f>IF(AND('Mapa final'!$P$25="Muy Alta",'Mapa final'!$S$25="Catastrófico"),CONCATENATE("R",'Mapa final'!$A$25),"")</f>
        <v/>
      </c>
      <c r="AK17" s="478"/>
      <c r="AL17" s="478" t="str">
        <f>IF(AND('Mapa final'!$P$26="Muy Alta",'Mapa final'!$S$26="Catastrófico"),CONCATENATE("R",'Mapa final'!$A$26),"")</f>
        <v/>
      </c>
      <c r="AM17" s="478"/>
      <c r="AN17" s="478" t="str">
        <f>IF(AND('Mapa final'!$P$27="Muy Alta",'Mapa final'!$S$27="Catastrófico"),CONCATENATE("R",'Mapa final'!$A$27),"")</f>
        <v/>
      </c>
      <c r="AO17" s="479"/>
      <c r="AP17" s="68"/>
      <c r="AQ17" s="532"/>
      <c r="AR17" s="533"/>
      <c r="AS17" s="533"/>
      <c r="AT17" s="533"/>
      <c r="AU17" s="533"/>
      <c r="AV17" s="534"/>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row>
    <row r="18" spans="3:82" ht="15.75" customHeight="1" thickBot="1">
      <c r="C18" s="68"/>
      <c r="D18" s="527"/>
      <c r="E18" s="527"/>
      <c r="F18" s="528"/>
      <c r="G18" s="502"/>
      <c r="H18" s="503"/>
      <c r="I18" s="503"/>
      <c r="J18" s="503"/>
      <c r="K18" s="503"/>
      <c r="L18" s="489"/>
      <c r="M18" s="490"/>
      <c r="N18" s="490"/>
      <c r="O18" s="490"/>
      <c r="P18" s="490"/>
      <c r="Q18" s="491"/>
      <c r="R18" s="489"/>
      <c r="S18" s="490"/>
      <c r="T18" s="490"/>
      <c r="U18" s="490"/>
      <c r="V18" s="490"/>
      <c r="W18" s="490"/>
      <c r="X18" s="486"/>
      <c r="Y18" s="487"/>
      <c r="Z18" s="487"/>
      <c r="AA18" s="487"/>
      <c r="AB18" s="487"/>
      <c r="AC18" s="487"/>
      <c r="AD18" s="486"/>
      <c r="AE18" s="487"/>
      <c r="AF18" s="487"/>
      <c r="AG18" s="487"/>
      <c r="AH18" s="487"/>
      <c r="AI18" s="487"/>
      <c r="AJ18" s="477"/>
      <c r="AK18" s="478"/>
      <c r="AL18" s="478"/>
      <c r="AM18" s="478"/>
      <c r="AN18" s="478"/>
      <c r="AO18" s="479"/>
      <c r="AP18" s="68"/>
      <c r="AQ18" s="535"/>
      <c r="AR18" s="536"/>
      <c r="AS18" s="536"/>
      <c r="AT18" s="536"/>
      <c r="AU18" s="536"/>
      <c r="AV18" s="537"/>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row>
    <row r="19" spans="3:82" ht="15" customHeight="1">
      <c r="C19" s="68"/>
      <c r="D19" s="527"/>
      <c r="E19" s="527"/>
      <c r="F19" s="528"/>
      <c r="G19" s="495" t="s">
        <v>254</v>
      </c>
      <c r="H19" s="497"/>
      <c r="I19" s="497"/>
      <c r="J19" s="497"/>
      <c r="K19" s="497"/>
      <c r="L19" s="474"/>
      <c r="M19" s="475"/>
      <c r="N19" s="475" t="str">
        <f>IF(AND('Mapa final'!$K$15="Alta",'Mapa final'!$O$15="Leve"),CONCATENATE("R",'Mapa final'!#REF!),"")</f>
        <v/>
      </c>
      <c r="O19" s="475"/>
      <c r="P19" s="475" t="e">
        <f>IF(AND('Mapa final'!#REF!="Alta",'Mapa final'!#REF!="Leve"),CONCATENATE("R",'Mapa final'!#REF!),"")</f>
        <v>#REF!</v>
      </c>
      <c r="Q19" s="476"/>
      <c r="R19" s="474"/>
      <c r="S19" s="475"/>
      <c r="T19" s="469" t="str">
        <f>IF(AND('Mapa final'!$P$15="Alta",'Mapa final'!$S$15="Menor"),CONCATENATE("R",'Mapa final'!#REF!),"")</f>
        <v/>
      </c>
      <c r="U19" s="469"/>
      <c r="V19" s="469" t="e">
        <f>IF(AND('Mapa final'!#REF!="Alta",'Mapa final'!#REF!="Menor"),CONCATENATE("R",'Mapa final'!#REF!),"")</f>
        <v>#REF!</v>
      </c>
      <c r="W19" s="469"/>
      <c r="X19" s="492"/>
      <c r="Y19" s="493"/>
      <c r="Z19" s="493" t="str">
        <f>IF(AND('Mapa final'!P$15="Alta",'Mapa final'!$S$15="Moderado"),CONCATENATE("R",'Mapa final'!#REF!),"")</f>
        <v/>
      </c>
      <c r="AA19" s="493"/>
      <c r="AB19" s="493" t="e">
        <f>IF(AND('Mapa final'!#REF!="Alta",'Mapa final'!#REF!="Moderado"),CONCATENATE("R",'Mapa final'!#REF!),"")</f>
        <v>#REF!</v>
      </c>
      <c r="AC19" s="493"/>
      <c r="AD19" s="492"/>
      <c r="AE19" s="493"/>
      <c r="AF19" s="493" t="str">
        <f>IF(AND('Mapa final'!$P$15="Alta",'Mapa final'!$S$15="Mayor"),CONCATENATE("R",'Mapa final'!#REF!),"")</f>
        <v/>
      </c>
      <c r="AG19" s="493"/>
      <c r="AH19" s="493" t="e">
        <f>IF(AND('Mapa final'!#REF!="Alta",'Mapa final'!#REF!="Mayor"),CONCATENATE("R",'Mapa final'!#REF!),"")</f>
        <v>#REF!</v>
      </c>
      <c r="AI19" s="493"/>
      <c r="AJ19" s="483"/>
      <c r="AK19" s="484"/>
      <c r="AL19" s="484" t="str">
        <f>IF(AND('Mapa final'!$P$15="Alta",'Mapa final'!$S$15="Catastrófico"),CONCATENATE("R",'Mapa final'!#REF!),"")</f>
        <v/>
      </c>
      <c r="AM19" s="484"/>
      <c r="AN19" s="484" t="e">
        <f>IF(AND('Mapa final'!#REF!="Alta",'Mapa final'!#REF!="Catastrófico"),CONCATENATE("R",'Mapa final'!#REF!),"")</f>
        <v>#REF!</v>
      </c>
      <c r="AO19" s="485"/>
      <c r="AP19" s="68"/>
      <c r="AQ19" s="538" t="s">
        <v>255</v>
      </c>
      <c r="AR19" s="539"/>
      <c r="AS19" s="539"/>
      <c r="AT19" s="539"/>
      <c r="AU19" s="539"/>
      <c r="AV19" s="540"/>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row>
    <row r="20" spans="3:82" ht="15" customHeight="1">
      <c r="C20" s="68"/>
      <c r="D20" s="527"/>
      <c r="E20" s="527"/>
      <c r="F20" s="528"/>
      <c r="G20" s="499"/>
      <c r="H20" s="500"/>
      <c r="I20" s="500"/>
      <c r="J20" s="500"/>
      <c r="K20" s="500"/>
      <c r="L20" s="468"/>
      <c r="M20" s="469"/>
      <c r="N20" s="469"/>
      <c r="O20" s="469"/>
      <c r="P20" s="469"/>
      <c r="Q20" s="470"/>
      <c r="R20" s="468"/>
      <c r="S20" s="469"/>
      <c r="T20" s="469"/>
      <c r="U20" s="469"/>
      <c r="V20" s="469"/>
      <c r="W20" s="469"/>
      <c r="X20" s="486"/>
      <c r="Y20" s="487"/>
      <c r="Z20" s="487"/>
      <c r="AA20" s="487"/>
      <c r="AB20" s="487"/>
      <c r="AC20" s="487"/>
      <c r="AD20" s="486"/>
      <c r="AE20" s="487"/>
      <c r="AF20" s="487"/>
      <c r="AG20" s="487"/>
      <c r="AH20" s="487"/>
      <c r="AI20" s="487"/>
      <c r="AJ20" s="477"/>
      <c r="AK20" s="478"/>
      <c r="AL20" s="478"/>
      <c r="AM20" s="478"/>
      <c r="AN20" s="478"/>
      <c r="AO20" s="479"/>
      <c r="AP20" s="68"/>
      <c r="AQ20" s="541"/>
      <c r="AR20" s="542"/>
      <c r="AS20" s="542"/>
      <c r="AT20" s="542"/>
      <c r="AU20" s="542"/>
      <c r="AV20" s="543"/>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row>
    <row r="21" spans="3:82" ht="15" customHeight="1">
      <c r="C21" s="68"/>
      <c r="D21" s="527"/>
      <c r="E21" s="527"/>
      <c r="F21" s="528"/>
      <c r="G21" s="499"/>
      <c r="H21" s="500"/>
      <c r="I21" s="500"/>
      <c r="J21" s="500"/>
      <c r="K21" s="500"/>
      <c r="L21" s="468" t="e">
        <f>IF(AND('Mapa final'!#REF!="Alta",'Mapa final'!#REF!="Leve"),CONCATENATE("R",'Mapa final'!#REF!),"")</f>
        <v>#REF!</v>
      </c>
      <c r="M21" s="469"/>
      <c r="N21" s="469" t="e">
        <f>IF(AND('Mapa final'!#REF!="Alta",'Mapa final'!#REF!="Leve"),CONCATENATE("R",'Mapa final'!#REF!),"")</f>
        <v>#REF!</v>
      </c>
      <c r="O21" s="469"/>
      <c r="P21" s="469" t="e">
        <f>IF(AND('Mapa final'!#REF!="Alta",'Mapa final'!#REF!="Leve"),CONCATENATE("R",'Mapa final'!#REF!),"")</f>
        <v>#REF!</v>
      </c>
      <c r="Q21" s="470"/>
      <c r="R21" s="468" t="e">
        <f>IF(AND('Mapa final'!#REF!="Alta",'Mapa final'!#REF!="Menor"),CONCATENATE("R",'Mapa final'!#REF!),"")</f>
        <v>#REF!</v>
      </c>
      <c r="S21" s="469"/>
      <c r="T21" s="469" t="e">
        <f>IF(AND('Mapa final'!#REF!="Alta",'Mapa final'!#REF!="Menor"),CONCATENATE("R",'Mapa final'!#REF!),"")</f>
        <v>#REF!</v>
      </c>
      <c r="U21" s="469"/>
      <c r="V21" s="469" t="e">
        <f>IF(AND('Mapa final'!#REF!="Alta",'Mapa final'!#REF!="Menor"),CONCATENATE("R",'Mapa final'!#REF!),"")</f>
        <v>#REF!</v>
      </c>
      <c r="W21" s="469"/>
      <c r="X21" s="486" t="e">
        <f>IF(AND('Mapa final'!#REF!="Alta",'Mapa final'!#REF!="Moderado"),CONCATENATE("R",'Mapa final'!#REF!),"")</f>
        <v>#REF!</v>
      </c>
      <c r="Y21" s="487"/>
      <c r="Z21" s="487" t="e">
        <f>IF(AND('Mapa final'!#REF!="Alta",'Mapa final'!#REF!="Moderado"),CONCATENATE("R",'Mapa final'!#REF!),"")</f>
        <v>#REF!</v>
      </c>
      <c r="AA21" s="487"/>
      <c r="AB21" s="487" t="e">
        <f>IF(AND('Mapa final'!#REF!="Alta",'Mapa final'!#REF!="Moderado"),CONCATENATE("R",'Mapa final'!#REF!),"")</f>
        <v>#REF!</v>
      </c>
      <c r="AC21" s="487"/>
      <c r="AD21" s="486" t="e">
        <f>IF(AND('Mapa final'!#REF!="Alta",'Mapa final'!#REF!="Mayor"),CONCATENATE("R",'Mapa final'!#REF!),"")</f>
        <v>#REF!</v>
      </c>
      <c r="AE21" s="487"/>
      <c r="AF21" s="487" t="e">
        <f>IF(AND('Mapa final'!#REF!="Alta",'Mapa final'!#REF!="Mayor"),CONCATENATE("R",'Mapa final'!#REF!),"")</f>
        <v>#REF!</v>
      </c>
      <c r="AG21" s="487"/>
      <c r="AH21" s="487" t="e">
        <f>IF(AND('Mapa final'!#REF!="Alta",'Mapa final'!#REF!="Mayor"),CONCATENATE("R",'Mapa final'!#REF!),"")</f>
        <v>#REF!</v>
      </c>
      <c r="AI21" s="487"/>
      <c r="AJ21" s="477" t="e">
        <f>IF(AND('Mapa final'!#REF!="Alta",'Mapa final'!#REF!="Catastrófico"),CONCATENATE("R",'Mapa final'!#REF!),"")</f>
        <v>#REF!</v>
      </c>
      <c r="AK21" s="478"/>
      <c r="AL21" s="478" t="e">
        <f>IF(AND('Mapa final'!#REF!="Alta",'Mapa final'!#REF!="Catastrófico"),CONCATENATE("R",'Mapa final'!#REF!),"")</f>
        <v>#REF!</v>
      </c>
      <c r="AM21" s="478"/>
      <c r="AN21" s="478" t="e">
        <f>IF(AND('Mapa final'!#REF!="Alta",'Mapa final'!#REF!="Catastrófico"),CONCATENATE("R",'Mapa final'!#REF!),"")</f>
        <v>#REF!</v>
      </c>
      <c r="AO21" s="479"/>
      <c r="AP21" s="68"/>
      <c r="AQ21" s="541"/>
      <c r="AR21" s="542"/>
      <c r="AS21" s="542"/>
      <c r="AT21" s="542"/>
      <c r="AU21" s="542"/>
      <c r="AV21" s="543"/>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row>
    <row r="22" spans="3:82" ht="15" customHeight="1">
      <c r="C22" s="68"/>
      <c r="D22" s="527"/>
      <c r="E22" s="527"/>
      <c r="F22" s="528"/>
      <c r="G22" s="499"/>
      <c r="H22" s="500"/>
      <c r="I22" s="500"/>
      <c r="J22" s="500"/>
      <c r="K22" s="500"/>
      <c r="L22" s="468"/>
      <c r="M22" s="469"/>
      <c r="N22" s="469"/>
      <c r="O22" s="469"/>
      <c r="P22" s="469"/>
      <c r="Q22" s="470"/>
      <c r="R22" s="468"/>
      <c r="S22" s="469"/>
      <c r="T22" s="469"/>
      <c r="U22" s="469"/>
      <c r="V22" s="469"/>
      <c r="W22" s="469"/>
      <c r="X22" s="486"/>
      <c r="Y22" s="487"/>
      <c r="Z22" s="487"/>
      <c r="AA22" s="487"/>
      <c r="AB22" s="487"/>
      <c r="AC22" s="487"/>
      <c r="AD22" s="486"/>
      <c r="AE22" s="487"/>
      <c r="AF22" s="487"/>
      <c r="AG22" s="487"/>
      <c r="AH22" s="487"/>
      <c r="AI22" s="487"/>
      <c r="AJ22" s="477"/>
      <c r="AK22" s="478"/>
      <c r="AL22" s="478"/>
      <c r="AM22" s="478"/>
      <c r="AN22" s="478"/>
      <c r="AO22" s="479"/>
      <c r="AP22" s="68"/>
      <c r="AQ22" s="541"/>
      <c r="AR22" s="542"/>
      <c r="AS22" s="542"/>
      <c r="AT22" s="542"/>
      <c r="AU22" s="542"/>
      <c r="AV22" s="543"/>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row>
    <row r="23" spans="3:82" ht="15" customHeight="1">
      <c r="C23" s="68"/>
      <c r="D23" s="527"/>
      <c r="E23" s="527"/>
      <c r="F23" s="528"/>
      <c r="G23" s="499"/>
      <c r="H23" s="500"/>
      <c r="I23" s="500"/>
      <c r="J23" s="500"/>
      <c r="K23" s="500"/>
      <c r="L23" s="468" t="e">
        <f>IF(AND('Mapa final'!#REF!="Alta",'Mapa final'!#REF!="Leve"),CONCATENATE("R",'Mapa final'!#REF!),"")</f>
        <v>#REF!</v>
      </c>
      <c r="M23" s="469"/>
      <c r="N23" s="469" t="e">
        <f>IF(AND('Mapa final'!#REF!="Alta",'Mapa final'!#REF!="Leve"),CONCATENATE("R",'Mapa final'!#REF!),"")</f>
        <v>#REF!</v>
      </c>
      <c r="O23" s="469"/>
      <c r="P23" s="469" t="str">
        <f>IF(AND('Mapa final'!$K$24="Alta",'Mapa final'!$O$24="Leve"),CONCATENATE("R",'Mapa final'!$A$24),"")</f>
        <v/>
      </c>
      <c r="Q23" s="470"/>
      <c r="R23" s="468" t="e">
        <f>IF(AND('Mapa final'!#REF!="Alta",'Mapa final'!#REF!="Menor"),CONCATENATE("R",'Mapa final'!#REF!),"")</f>
        <v>#REF!</v>
      </c>
      <c r="S23" s="469"/>
      <c r="T23" s="469" t="e">
        <f>IF(AND('Mapa final'!#REF!="Alta",'Mapa final'!#REF!="Menor"),CONCATENATE("R",'Mapa final'!#REF!),"")</f>
        <v>#REF!</v>
      </c>
      <c r="U23" s="469"/>
      <c r="V23" s="469" t="str">
        <f>IF(AND('Mapa final'!$P$24="Alta",'Mapa final'!$S$24="Menor"),CONCATENATE("R",'Mapa final'!$A$24),"")</f>
        <v/>
      </c>
      <c r="W23" s="469"/>
      <c r="X23" s="486" t="e">
        <f>IF(AND('Mapa final'!#REF!="Alta",'Mapa final'!#REF!="Moderado"),CONCATENATE("R",'Mapa final'!#REF!),"")</f>
        <v>#REF!</v>
      </c>
      <c r="Y23" s="487"/>
      <c r="Z23" s="487" t="e">
        <f>IF(AND('Mapa final'!#REF!="Alta",'Mapa final'!#REF!="Moderado"),CONCATENATE("R",'Mapa final'!#REF!),"")</f>
        <v>#REF!</v>
      </c>
      <c r="AA23" s="487"/>
      <c r="AB23" s="487" t="str">
        <f>IF(AND('Mapa final'!$P$24="Alta",'Mapa final'!$S$24="Moderado"),CONCATENATE("R",'Mapa final'!$A$24),"")</f>
        <v/>
      </c>
      <c r="AC23" s="487"/>
      <c r="AD23" s="486" t="e">
        <f>IF(AND('Mapa final'!#REF!="Alta",'Mapa final'!#REF!="Mayor"),CONCATENATE("R",'Mapa final'!#REF!),"")</f>
        <v>#REF!</v>
      </c>
      <c r="AE23" s="487"/>
      <c r="AF23" s="487" t="e">
        <f>IF(AND('Mapa final'!#REF!="Alta",'Mapa final'!#REF!="Mayor"),CONCATENATE("R",'Mapa final'!#REF!),"")</f>
        <v>#REF!</v>
      </c>
      <c r="AG23" s="487"/>
      <c r="AH23" s="487" t="str">
        <f>IF(AND('Mapa final'!$P$24="Alta",'Mapa final'!$S$24="Mayor"),CONCATENATE("R",'Mapa final'!$A$24),"")</f>
        <v/>
      </c>
      <c r="AI23" s="487"/>
      <c r="AJ23" s="477" t="e">
        <f>IF(AND('Mapa final'!#REF!="Alta",'Mapa final'!#REF!="Catastrófico"),CONCATENATE("R",'Mapa final'!#REF!),"")</f>
        <v>#REF!</v>
      </c>
      <c r="AK23" s="478"/>
      <c r="AL23" s="478" t="e">
        <f>IF(AND('Mapa final'!#REF!="Alta",'Mapa final'!#REF!="Catastrófico"),CONCATENATE("R",'Mapa final'!#REF!),"")</f>
        <v>#REF!</v>
      </c>
      <c r="AM23" s="478"/>
      <c r="AN23" s="478" t="str">
        <f>IF(AND('Mapa final'!$P$24="Alta",'Mapa final'!$S$24="Catastrófico"),CONCATENATE("R",'Mapa final'!$A$24),"")</f>
        <v/>
      </c>
      <c r="AO23" s="479"/>
      <c r="AP23" s="68"/>
      <c r="AQ23" s="541"/>
      <c r="AR23" s="542"/>
      <c r="AS23" s="542"/>
      <c r="AT23" s="542"/>
      <c r="AU23" s="542"/>
      <c r="AV23" s="543"/>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row>
    <row r="24" spans="3:82" ht="15" customHeight="1">
      <c r="C24" s="68"/>
      <c r="D24" s="527"/>
      <c r="E24" s="527"/>
      <c r="F24" s="528"/>
      <c r="G24" s="499"/>
      <c r="H24" s="500"/>
      <c r="I24" s="500"/>
      <c r="J24" s="500"/>
      <c r="K24" s="500"/>
      <c r="L24" s="468"/>
      <c r="M24" s="469"/>
      <c r="N24" s="469"/>
      <c r="O24" s="469"/>
      <c r="P24" s="469"/>
      <c r="Q24" s="470"/>
      <c r="R24" s="468"/>
      <c r="S24" s="469"/>
      <c r="T24" s="469"/>
      <c r="U24" s="469"/>
      <c r="V24" s="469"/>
      <c r="W24" s="469"/>
      <c r="X24" s="486"/>
      <c r="Y24" s="487"/>
      <c r="Z24" s="487"/>
      <c r="AA24" s="487"/>
      <c r="AB24" s="487"/>
      <c r="AC24" s="487"/>
      <c r="AD24" s="486"/>
      <c r="AE24" s="487"/>
      <c r="AF24" s="487"/>
      <c r="AG24" s="487"/>
      <c r="AH24" s="487"/>
      <c r="AI24" s="487"/>
      <c r="AJ24" s="477"/>
      <c r="AK24" s="478"/>
      <c r="AL24" s="478"/>
      <c r="AM24" s="478"/>
      <c r="AN24" s="478"/>
      <c r="AO24" s="479"/>
      <c r="AP24" s="68"/>
      <c r="AQ24" s="541"/>
      <c r="AR24" s="542"/>
      <c r="AS24" s="542"/>
      <c r="AT24" s="542"/>
      <c r="AU24" s="542"/>
      <c r="AV24" s="543"/>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row>
    <row r="25" spans="3:82" ht="15" customHeight="1">
      <c r="C25" s="68"/>
      <c r="D25" s="527"/>
      <c r="E25" s="527"/>
      <c r="F25" s="528"/>
      <c r="G25" s="499"/>
      <c r="H25" s="500"/>
      <c r="I25" s="500"/>
      <c r="J25" s="500"/>
      <c r="K25" s="500"/>
      <c r="L25" s="468" t="str">
        <f>IF(AND('Mapa final'!$P$25="Alta",'Mapa final'!$S$25="Leve"),CONCATENATE("R",'Mapa final'!$A$25),"")</f>
        <v/>
      </c>
      <c r="M25" s="469"/>
      <c r="N25" s="469" t="str">
        <f>IF(AND('Mapa final'!$K$26="Alta",'Mapa final'!$O$26="Leve"),CONCATENATE("R",'Mapa final'!$A$26),"")</f>
        <v/>
      </c>
      <c r="O25" s="469"/>
      <c r="P25" s="469" t="str">
        <f>IF(AND('Mapa final'!$K$27="Alta",'Mapa final'!$O$27="Leve"),CONCATENATE("R",'Mapa final'!$A$27),"")</f>
        <v/>
      </c>
      <c r="Q25" s="470"/>
      <c r="R25" s="468" t="str">
        <f>IF(AND('Mapa final'!$P$25="Alta",'Mapa final'!$S$25="Menor"),CONCATENATE("R",'Mapa final'!$A$25),"")</f>
        <v/>
      </c>
      <c r="S25" s="469"/>
      <c r="T25" s="469" t="str">
        <f>IF(AND('Mapa final'!$P$26="Alta",'Mapa final'!$S$26="Menor"),CONCATENATE("R",'Mapa final'!$A$26),"")</f>
        <v/>
      </c>
      <c r="U25" s="469"/>
      <c r="V25" s="469" t="str">
        <f>IF(AND('Mapa final'!$P$27="Alta",'Mapa final'!$S$27="Menor"),CONCATENATE("R",'Mapa final'!$A$27),"")</f>
        <v/>
      </c>
      <c r="W25" s="469"/>
      <c r="X25" s="486" t="str">
        <f>IF(AND('Mapa final'!$P$25="Alta",'Mapa final'!$S$25="Moderado"),CONCATENATE("R",'Mapa final'!$A$25),"")</f>
        <v/>
      </c>
      <c r="Y25" s="487"/>
      <c r="Z25" s="487" t="str">
        <f>IF(AND('Mapa final'!$P$26="Alta",'Mapa final'!$S$26="Moderado"),CONCATENATE("R",'Mapa final'!$A$26),"")</f>
        <v/>
      </c>
      <c r="AA25" s="487"/>
      <c r="AB25" s="487" t="str">
        <f>IF(AND('Mapa final'!$P$27="Alta",'Mapa final'!$S$27="Moderado"),CONCATENATE("R",'Mapa final'!$A$27),"")</f>
        <v/>
      </c>
      <c r="AC25" s="487"/>
      <c r="AD25" s="486" t="str">
        <f>IF(AND('Mapa final'!$P$25="Alta",'Mapa final'!$S$25="Mayor"),CONCATENATE("R",'Mapa final'!$A$25),"")</f>
        <v/>
      </c>
      <c r="AE25" s="487"/>
      <c r="AF25" s="487" t="str">
        <f>IF(AND('Mapa final'!$P$26="Alta",'Mapa final'!$S$26="Mayor"),CONCATENATE("R",'Mapa final'!$A$26),"")</f>
        <v/>
      </c>
      <c r="AG25" s="487"/>
      <c r="AH25" s="487" t="str">
        <f>IF(AND('Mapa final'!$P$27="Alta",'Mapa final'!$S$27="Mayor"),CONCATENATE("R",'Mapa final'!$A$27),"")</f>
        <v/>
      </c>
      <c r="AI25" s="487"/>
      <c r="AJ25" s="477" t="str">
        <f>IF(AND('Mapa final'!$P$25="Alta",'Mapa final'!$S$25="Catastrófico"),CONCATENATE("R",'Mapa final'!$A$25),"")</f>
        <v/>
      </c>
      <c r="AK25" s="478"/>
      <c r="AL25" s="478" t="str">
        <f>IF(AND('Mapa final'!$P$26="Alta",'Mapa final'!$S$26="Catastrófico"),CONCATENATE("R",'Mapa final'!$A$26),"")</f>
        <v/>
      </c>
      <c r="AM25" s="478"/>
      <c r="AN25" s="478" t="str">
        <f>IF(AND('Mapa final'!$P$27="Alta",'Mapa final'!$S$27="Catastrófico"),CONCATENATE("R",'Mapa final'!$A$27),"")</f>
        <v/>
      </c>
      <c r="AO25" s="479"/>
      <c r="AP25" s="68"/>
      <c r="AQ25" s="541"/>
      <c r="AR25" s="542"/>
      <c r="AS25" s="542"/>
      <c r="AT25" s="542"/>
      <c r="AU25" s="542"/>
      <c r="AV25" s="543"/>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row>
    <row r="26" spans="3:82" ht="15.75" customHeight="1" thickBot="1">
      <c r="C26" s="68"/>
      <c r="D26" s="527"/>
      <c r="E26" s="527"/>
      <c r="F26" s="528"/>
      <c r="G26" s="502"/>
      <c r="H26" s="503"/>
      <c r="I26" s="503"/>
      <c r="J26" s="503"/>
      <c r="K26" s="503"/>
      <c r="L26" s="471"/>
      <c r="M26" s="472"/>
      <c r="N26" s="472"/>
      <c r="O26" s="472"/>
      <c r="P26" s="472"/>
      <c r="Q26" s="473"/>
      <c r="R26" s="471"/>
      <c r="S26" s="472"/>
      <c r="T26" s="469"/>
      <c r="U26" s="469"/>
      <c r="V26" s="469"/>
      <c r="W26" s="469"/>
      <c r="X26" s="486"/>
      <c r="Y26" s="487"/>
      <c r="Z26" s="487"/>
      <c r="AA26" s="487"/>
      <c r="AB26" s="487"/>
      <c r="AC26" s="487"/>
      <c r="AD26" s="486"/>
      <c r="AE26" s="487"/>
      <c r="AF26" s="487"/>
      <c r="AG26" s="487"/>
      <c r="AH26" s="487"/>
      <c r="AI26" s="487"/>
      <c r="AJ26" s="477"/>
      <c r="AK26" s="478"/>
      <c r="AL26" s="478"/>
      <c r="AM26" s="478"/>
      <c r="AN26" s="478"/>
      <c r="AO26" s="479"/>
      <c r="AP26" s="68"/>
      <c r="AQ26" s="544"/>
      <c r="AR26" s="545"/>
      <c r="AS26" s="545"/>
      <c r="AT26" s="545"/>
      <c r="AU26" s="545"/>
      <c r="AV26" s="546"/>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row>
    <row r="27" spans="3:82" ht="15" customHeight="1">
      <c r="C27" s="68"/>
      <c r="D27" s="527"/>
      <c r="E27" s="527"/>
      <c r="F27" s="528"/>
      <c r="G27" s="495" t="s">
        <v>256</v>
      </c>
      <c r="H27" s="497"/>
      <c r="I27" s="497"/>
      <c r="J27" s="497"/>
      <c r="K27" s="497"/>
      <c r="L27" s="474"/>
      <c r="M27" s="475"/>
      <c r="N27" s="475" t="str">
        <f>IF(AND('Mapa final'!$K$15="Media",'Mapa final'!$O$15="Leve"),CONCATENATE("R",'Mapa final'!#REF!),"")</f>
        <v/>
      </c>
      <c r="O27" s="475"/>
      <c r="P27" s="475" t="e">
        <f>IF(AND('Mapa final'!#REF!="Media",'Mapa final'!#REF!="Leve"),CONCATENATE("R",'Mapa final'!#REF!),"")</f>
        <v>#REF!</v>
      </c>
      <c r="Q27" s="476"/>
      <c r="R27" s="474"/>
      <c r="S27" s="475"/>
      <c r="T27" s="475" t="str">
        <f>IF(AND('Mapa final'!$P$15="Media",'Mapa final'!$S$15="Menor"),CONCATENATE("R",'Mapa final'!#REF!),"")</f>
        <v/>
      </c>
      <c r="U27" s="475"/>
      <c r="V27" s="475" t="e">
        <f>IF(AND('Mapa final'!#REF!="Media",'Mapa final'!#REF!="Menor"),CONCATENATE("R",'Mapa final'!#REF!),"")</f>
        <v>#REF!</v>
      </c>
      <c r="W27" s="475"/>
      <c r="X27" s="474"/>
      <c r="Y27" s="475"/>
      <c r="Z27" s="475" t="e">
        <f>IF(AND('Mapa final'!P$15="Media",'Mapa final'!$S$15="Moderado"),CONCATENATE("R",'Mapa final'!#REF!),"")</f>
        <v>#REF!</v>
      </c>
      <c r="AA27" s="475"/>
      <c r="AB27" s="475" t="e">
        <f>IF(AND('Mapa final'!#REF!="Media",'Mapa final'!#REF!="Moderado"),CONCATENATE("R",'Mapa final'!#REF!),"")</f>
        <v>#REF!</v>
      </c>
      <c r="AC27" s="475"/>
      <c r="AD27" s="492"/>
      <c r="AE27" s="493"/>
      <c r="AF27" s="493" t="str">
        <f>IF(AND('Mapa final'!$P$15="Media",'Mapa final'!$S$15="Mayor"),CONCATENATE("R",'Mapa final'!#REF!),"")</f>
        <v/>
      </c>
      <c r="AG27" s="493"/>
      <c r="AH27" s="493" t="e">
        <f>IF(AND('Mapa final'!#REF!="Media",'Mapa final'!#REF!="Mayor"),CONCATENATE("R",'Mapa final'!#REF!),"")</f>
        <v>#REF!</v>
      </c>
      <c r="AI27" s="493"/>
      <c r="AJ27" s="483"/>
      <c r="AK27" s="484"/>
      <c r="AL27" s="484" t="str">
        <f>IF(AND('Mapa final'!$P$15="Media",'Mapa final'!$S$15="Catastrófico"),CONCATENATE("R",'Mapa final'!#REF!),"")</f>
        <v/>
      </c>
      <c r="AM27" s="484"/>
      <c r="AN27" s="484" t="e">
        <f>IF(AND('Mapa final'!#REF!="Media",'Mapa final'!#REF!="Catastrófico"),CONCATENATE("R",'Mapa final'!#REF!),"")</f>
        <v>#REF!</v>
      </c>
      <c r="AO27" s="485"/>
      <c r="AP27" s="68"/>
      <c r="AQ27" s="547" t="s">
        <v>120</v>
      </c>
      <c r="AR27" s="548"/>
      <c r="AS27" s="548"/>
      <c r="AT27" s="548"/>
      <c r="AU27" s="548"/>
      <c r="AV27" s="549"/>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row>
    <row r="28" spans="3:82" ht="15" customHeight="1">
      <c r="C28" s="68"/>
      <c r="D28" s="527"/>
      <c r="E28" s="527"/>
      <c r="F28" s="528"/>
      <c r="G28" s="499"/>
      <c r="H28" s="500"/>
      <c r="I28" s="500"/>
      <c r="J28" s="500"/>
      <c r="K28" s="500"/>
      <c r="L28" s="468"/>
      <c r="M28" s="469"/>
      <c r="N28" s="469"/>
      <c r="O28" s="469"/>
      <c r="P28" s="469"/>
      <c r="Q28" s="470"/>
      <c r="R28" s="468"/>
      <c r="S28" s="469"/>
      <c r="T28" s="469"/>
      <c r="U28" s="469"/>
      <c r="V28" s="469"/>
      <c r="W28" s="469"/>
      <c r="X28" s="468"/>
      <c r="Y28" s="469"/>
      <c r="Z28" s="469"/>
      <c r="AA28" s="469"/>
      <c r="AB28" s="469"/>
      <c r="AC28" s="469"/>
      <c r="AD28" s="486"/>
      <c r="AE28" s="487"/>
      <c r="AF28" s="487"/>
      <c r="AG28" s="487"/>
      <c r="AH28" s="487"/>
      <c r="AI28" s="487"/>
      <c r="AJ28" s="477"/>
      <c r="AK28" s="478"/>
      <c r="AL28" s="478"/>
      <c r="AM28" s="478"/>
      <c r="AN28" s="478"/>
      <c r="AO28" s="479"/>
      <c r="AP28" s="68"/>
      <c r="AQ28" s="550"/>
      <c r="AR28" s="551"/>
      <c r="AS28" s="551"/>
      <c r="AT28" s="551"/>
      <c r="AU28" s="551"/>
      <c r="AV28" s="552"/>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row>
    <row r="29" spans="3:82" ht="15" customHeight="1">
      <c r="C29" s="68"/>
      <c r="D29" s="527"/>
      <c r="E29" s="527"/>
      <c r="F29" s="528"/>
      <c r="G29" s="499"/>
      <c r="H29" s="500"/>
      <c r="I29" s="500"/>
      <c r="J29" s="500"/>
      <c r="K29" s="500"/>
      <c r="L29" s="468" t="e">
        <f>IF(AND('Mapa final'!#REF!="Media",'Mapa final'!#REF!="Leve"),CONCATENATE("R",'Mapa final'!#REF!),"")</f>
        <v>#REF!</v>
      </c>
      <c r="M29" s="469"/>
      <c r="N29" s="469" t="e">
        <f>IF(AND('Mapa final'!#REF!="Media",'Mapa final'!#REF!="Leve"),CONCATENATE("R",'Mapa final'!#REF!),"")</f>
        <v>#REF!</v>
      </c>
      <c r="O29" s="469"/>
      <c r="P29" s="469" t="e">
        <f>IF(AND('Mapa final'!#REF!="Media",'Mapa final'!#REF!="Leve"),CONCATENATE("R",'Mapa final'!#REF!),"")</f>
        <v>#REF!</v>
      </c>
      <c r="Q29" s="470"/>
      <c r="R29" s="468" t="e">
        <f>IF(AND('Mapa final'!#REF!="Media",'Mapa final'!#REF!="Menor"),CONCATENATE("R",'Mapa final'!#REF!),"")</f>
        <v>#REF!</v>
      </c>
      <c r="S29" s="469"/>
      <c r="T29" s="469" t="e">
        <f>IF(AND('Mapa final'!#REF!="Media",'Mapa final'!#REF!="Menor"),CONCATENATE("R",'Mapa final'!#REF!),"")</f>
        <v>#REF!</v>
      </c>
      <c r="U29" s="469"/>
      <c r="V29" s="469" t="e">
        <f>IF(AND('Mapa final'!#REF!="Media",'Mapa final'!#REF!="Menor"),CONCATENATE("R",'Mapa final'!#REF!),"")</f>
        <v>#REF!</v>
      </c>
      <c r="W29" s="469"/>
      <c r="X29" s="468" t="e">
        <f>IF(AND('Mapa final'!#REF!="Media",'Mapa final'!#REF!="Moderado"),CONCATENATE("R",'Mapa final'!#REF!),"")</f>
        <v>#REF!</v>
      </c>
      <c r="Y29" s="469"/>
      <c r="Z29" s="469" t="e">
        <f>IF(AND('Mapa final'!#REF!="Media",'Mapa final'!#REF!="Moderado"),CONCATENATE("R",'Mapa final'!#REF!),"")</f>
        <v>#REF!</v>
      </c>
      <c r="AA29" s="469"/>
      <c r="AB29" s="469" t="e">
        <f>IF(AND('Mapa final'!#REF!="Media",'Mapa final'!#REF!="Moderado"),CONCATENATE("R",'Mapa final'!#REF!),"")</f>
        <v>#REF!</v>
      </c>
      <c r="AC29" s="469"/>
      <c r="AD29" s="486" t="e">
        <f>IF(AND('Mapa final'!#REF!="Media",'Mapa final'!#REF!="Mayor"),CONCATENATE("R",'Mapa final'!#REF!),"")</f>
        <v>#REF!</v>
      </c>
      <c r="AE29" s="487"/>
      <c r="AF29" s="487" t="e">
        <f>IF(AND('Mapa final'!#REF!="Media",'Mapa final'!#REF!="Mayor"),CONCATENATE("R",'Mapa final'!#REF!),"")</f>
        <v>#REF!</v>
      </c>
      <c r="AG29" s="487"/>
      <c r="AH29" s="487" t="e">
        <f>IF(AND('Mapa final'!#REF!="Media",'Mapa final'!#REF!="Mayor"),CONCATENATE("R",'Mapa final'!#REF!),"")</f>
        <v>#REF!</v>
      </c>
      <c r="AI29" s="487"/>
      <c r="AJ29" s="477" t="e">
        <f>IF(AND('Mapa final'!#REF!="Media",'Mapa final'!#REF!="Catastrófico"),CONCATENATE("R",'Mapa final'!#REF!),"")</f>
        <v>#REF!</v>
      </c>
      <c r="AK29" s="478"/>
      <c r="AL29" s="478" t="e">
        <f>IF(AND('Mapa final'!#REF!="Media",'Mapa final'!#REF!="Catastrófico"),CONCATENATE("R",'Mapa final'!#REF!),"")</f>
        <v>#REF!</v>
      </c>
      <c r="AM29" s="478"/>
      <c r="AN29" s="478" t="e">
        <f>IF(AND('Mapa final'!#REF!="Media",'Mapa final'!#REF!="Catastrófico"),CONCATENATE("R",'Mapa final'!#REF!),"")</f>
        <v>#REF!</v>
      </c>
      <c r="AO29" s="479"/>
      <c r="AP29" s="68"/>
      <c r="AQ29" s="550"/>
      <c r="AR29" s="551"/>
      <c r="AS29" s="551"/>
      <c r="AT29" s="551"/>
      <c r="AU29" s="551"/>
      <c r="AV29" s="552"/>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row>
    <row r="30" spans="3:82" ht="15" customHeight="1">
      <c r="C30" s="68"/>
      <c r="D30" s="527"/>
      <c r="E30" s="527"/>
      <c r="F30" s="528"/>
      <c r="G30" s="499"/>
      <c r="H30" s="500"/>
      <c r="I30" s="500"/>
      <c r="J30" s="500"/>
      <c r="K30" s="500"/>
      <c r="L30" s="468"/>
      <c r="M30" s="469"/>
      <c r="N30" s="469"/>
      <c r="O30" s="469"/>
      <c r="P30" s="469"/>
      <c r="Q30" s="470"/>
      <c r="R30" s="468"/>
      <c r="S30" s="469"/>
      <c r="T30" s="469"/>
      <c r="U30" s="469"/>
      <c r="V30" s="469"/>
      <c r="W30" s="469"/>
      <c r="X30" s="468"/>
      <c r="Y30" s="469"/>
      <c r="Z30" s="469"/>
      <c r="AA30" s="469"/>
      <c r="AB30" s="469"/>
      <c r="AC30" s="469"/>
      <c r="AD30" s="486"/>
      <c r="AE30" s="487"/>
      <c r="AF30" s="487"/>
      <c r="AG30" s="487"/>
      <c r="AH30" s="487"/>
      <c r="AI30" s="487"/>
      <c r="AJ30" s="477"/>
      <c r="AK30" s="478"/>
      <c r="AL30" s="478"/>
      <c r="AM30" s="478"/>
      <c r="AN30" s="478"/>
      <c r="AO30" s="479"/>
      <c r="AP30" s="68"/>
      <c r="AQ30" s="550"/>
      <c r="AR30" s="551"/>
      <c r="AS30" s="551"/>
      <c r="AT30" s="551"/>
      <c r="AU30" s="551"/>
      <c r="AV30" s="552"/>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row>
    <row r="31" spans="3:82" ht="15" customHeight="1">
      <c r="C31" s="68"/>
      <c r="D31" s="527"/>
      <c r="E31" s="527"/>
      <c r="F31" s="528"/>
      <c r="G31" s="499"/>
      <c r="H31" s="500"/>
      <c r="I31" s="500"/>
      <c r="J31" s="500"/>
      <c r="K31" s="500"/>
      <c r="L31" s="468" t="e">
        <f>IF(AND('Mapa final'!#REF!="Media",'Mapa final'!#REF!="Leve"),CONCATENATE("R",'Mapa final'!#REF!),"")</f>
        <v>#REF!</v>
      </c>
      <c r="M31" s="469"/>
      <c r="N31" s="469" t="e">
        <f>IF(AND('Mapa final'!#REF!="Media",'Mapa final'!#REF!="Leve"),CONCATENATE("R",'Mapa final'!#REF!),"")</f>
        <v>#REF!</v>
      </c>
      <c r="O31" s="469"/>
      <c r="P31" s="469" t="str">
        <f>IF(AND('Mapa final'!$K$24="Media",'Mapa final'!$O$24="Leve"),CONCATENATE("R",'Mapa final'!$A$24),"")</f>
        <v/>
      </c>
      <c r="Q31" s="470"/>
      <c r="R31" s="468" t="e">
        <f>IF(AND('Mapa final'!#REF!="Media",'Mapa final'!#REF!="Menor"),CONCATENATE("R",'Mapa final'!#REF!),"")</f>
        <v>#REF!</v>
      </c>
      <c r="S31" s="469"/>
      <c r="T31" s="469" t="e">
        <f>IF(AND('Mapa final'!#REF!="Media",'Mapa final'!#REF!="Menor"),CONCATENATE("R",'Mapa final'!#REF!),"")</f>
        <v>#REF!</v>
      </c>
      <c r="U31" s="469"/>
      <c r="V31" s="469" t="str">
        <f>IF(AND('Mapa final'!$P$24="Media",'Mapa final'!$S$24="Menor"),CONCATENATE("R",'Mapa final'!$A$24),"")</f>
        <v/>
      </c>
      <c r="W31" s="469"/>
      <c r="X31" s="468" t="e">
        <f>IF(AND('Mapa final'!#REF!="Media",'Mapa final'!#REF!="Moderado"),CONCATENATE("R",'Mapa final'!#REF!),"")</f>
        <v>#REF!</v>
      </c>
      <c r="Y31" s="469"/>
      <c r="Z31" s="469" t="e">
        <f>IF(AND('Mapa final'!#REF!="Media",'Mapa final'!#REF!="Moderado"),CONCATENATE("R",'Mapa final'!#REF!),"")</f>
        <v>#REF!</v>
      </c>
      <c r="AA31" s="469"/>
      <c r="AB31" s="469" t="str">
        <f>IF(AND('Mapa final'!$P$24="Media",'Mapa final'!$S$24="Moderado"),CONCATENATE("R",'Mapa final'!$A$24),"")</f>
        <v/>
      </c>
      <c r="AC31" s="469"/>
      <c r="AD31" s="486" t="e">
        <f>IF(AND('Mapa final'!#REF!="Media",'Mapa final'!#REF!="Mayor"),CONCATENATE("R",'Mapa final'!#REF!),"")</f>
        <v>#REF!</v>
      </c>
      <c r="AE31" s="487"/>
      <c r="AF31" s="487" t="e">
        <f>IF(AND('Mapa final'!#REF!="Media",'Mapa final'!#REF!="Mayor"),CONCATENATE("R",'Mapa final'!#REF!),"")</f>
        <v>#REF!</v>
      </c>
      <c r="AG31" s="487"/>
      <c r="AH31" s="487" t="str">
        <f>IF(AND('Mapa final'!$P$24="Media",'Mapa final'!$S$24="Mayor"),CONCATENATE("R",'Mapa final'!$A$24),"")</f>
        <v/>
      </c>
      <c r="AI31" s="487"/>
      <c r="AJ31" s="477" t="e">
        <f>IF(AND('Mapa final'!#REF!="Media",'Mapa final'!#REF!="Catastrófico"),CONCATENATE("R",'Mapa final'!#REF!),"")</f>
        <v>#REF!</v>
      </c>
      <c r="AK31" s="478"/>
      <c r="AL31" s="478" t="e">
        <f>IF(AND('Mapa final'!#REF!="Media",'Mapa final'!#REF!="Catastrófico"),CONCATENATE("R",'Mapa final'!#REF!),"")</f>
        <v>#REF!</v>
      </c>
      <c r="AM31" s="478"/>
      <c r="AN31" s="478" t="str">
        <f>IF(AND('Mapa final'!$P$24="Media",'Mapa final'!$S$24="Catastrófico"),CONCATENATE("R",'Mapa final'!$A$24),"")</f>
        <v/>
      </c>
      <c r="AO31" s="479"/>
      <c r="AP31" s="68"/>
      <c r="AQ31" s="550"/>
      <c r="AR31" s="551"/>
      <c r="AS31" s="551"/>
      <c r="AT31" s="551"/>
      <c r="AU31" s="551"/>
      <c r="AV31" s="552"/>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row>
    <row r="32" spans="3:82" ht="15" customHeight="1">
      <c r="C32" s="68"/>
      <c r="D32" s="527"/>
      <c r="E32" s="527"/>
      <c r="F32" s="528"/>
      <c r="G32" s="499"/>
      <c r="H32" s="500"/>
      <c r="I32" s="500"/>
      <c r="J32" s="500"/>
      <c r="K32" s="500"/>
      <c r="L32" s="468"/>
      <c r="M32" s="469"/>
      <c r="N32" s="469"/>
      <c r="O32" s="469"/>
      <c r="P32" s="469"/>
      <c r="Q32" s="470"/>
      <c r="R32" s="468"/>
      <c r="S32" s="469"/>
      <c r="T32" s="469"/>
      <c r="U32" s="469"/>
      <c r="V32" s="469"/>
      <c r="W32" s="469"/>
      <c r="X32" s="468"/>
      <c r="Y32" s="469"/>
      <c r="Z32" s="469"/>
      <c r="AA32" s="469"/>
      <c r="AB32" s="469"/>
      <c r="AC32" s="469"/>
      <c r="AD32" s="486"/>
      <c r="AE32" s="487"/>
      <c r="AF32" s="487"/>
      <c r="AG32" s="487"/>
      <c r="AH32" s="487"/>
      <c r="AI32" s="487"/>
      <c r="AJ32" s="477"/>
      <c r="AK32" s="478"/>
      <c r="AL32" s="478"/>
      <c r="AM32" s="478"/>
      <c r="AN32" s="478"/>
      <c r="AO32" s="479"/>
      <c r="AP32" s="68"/>
      <c r="AQ32" s="550"/>
      <c r="AR32" s="551"/>
      <c r="AS32" s="551"/>
      <c r="AT32" s="551"/>
      <c r="AU32" s="551"/>
      <c r="AV32" s="552"/>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row>
    <row r="33" spans="3:82" ht="15" customHeight="1">
      <c r="C33" s="68"/>
      <c r="D33" s="527"/>
      <c r="E33" s="527"/>
      <c r="F33" s="528"/>
      <c r="G33" s="499"/>
      <c r="H33" s="500"/>
      <c r="I33" s="500"/>
      <c r="J33" s="500"/>
      <c r="K33" s="500"/>
      <c r="L33" s="468" t="str">
        <f>IF(AND('Mapa final'!$P$25="Mediaa",'Mapa final'!$S$25="Leve"),CONCATENATE("R",'Mapa final'!$A$25),"")</f>
        <v/>
      </c>
      <c r="M33" s="469"/>
      <c r="N33" s="469" t="str">
        <f>IF(AND('Mapa final'!$K$26="Media",'Mapa final'!$O$26="Leve"),CONCATENATE("R",'Mapa final'!$A$26),"")</f>
        <v/>
      </c>
      <c r="O33" s="469"/>
      <c r="P33" s="469" t="str">
        <f>IF(AND('Mapa final'!$K$27="Media",'Mapa final'!$O$27="Leve"),CONCATENATE("R",'Mapa final'!$A$27),"")</f>
        <v/>
      </c>
      <c r="Q33" s="470"/>
      <c r="R33" s="468" t="str">
        <f>IF(AND('Mapa final'!$P$25="Media",'Mapa final'!$S$25="Menor"),CONCATENATE("R",'Mapa final'!$A$25),"")</f>
        <v/>
      </c>
      <c r="S33" s="469"/>
      <c r="T33" s="469" t="str">
        <f>IF(AND('Mapa final'!$P$26="Media",'Mapa final'!$S$26="Menor"),CONCATENATE("R",'Mapa final'!$A$26),"")</f>
        <v/>
      </c>
      <c r="U33" s="469"/>
      <c r="V33" s="469" t="str">
        <f>IF(AND('Mapa final'!$P$27="Media",'Mapa final'!$S$27="Menor"),CONCATENATE("R",'Mapa final'!$A$27),"")</f>
        <v/>
      </c>
      <c r="W33" s="469"/>
      <c r="X33" s="468" t="str">
        <f>IF(AND('Mapa final'!$P$25="Media",'Mapa final'!$S$25="Moderado"),CONCATENATE("R",'Mapa final'!$A$25),"")</f>
        <v/>
      </c>
      <c r="Y33" s="469"/>
      <c r="Z33" s="469" t="str">
        <f>IF(AND('Mapa final'!$P$26="Media",'Mapa final'!$S$26="Moderado"),CONCATENATE("R",'Mapa final'!$A$26),"")</f>
        <v/>
      </c>
      <c r="AA33" s="469"/>
      <c r="AB33" s="469" t="str">
        <f>IF(AND('Mapa final'!$P$27="Media",'Mapa final'!$S$27="Moderado"),CONCATENATE("R",'Mapa final'!$A$27),"")</f>
        <v/>
      </c>
      <c r="AC33" s="469"/>
      <c r="AD33" s="486" t="str">
        <f>IF(AND('Mapa final'!$P$25="Media",'Mapa final'!$S$25="Mayor"),CONCATENATE("R",'Mapa final'!$A$25),"")</f>
        <v/>
      </c>
      <c r="AE33" s="487"/>
      <c r="AF33" s="487" t="str">
        <f>IF(AND('Mapa final'!$P$26="Media",'Mapa final'!$S$26="Mayor"),CONCATENATE("R",'Mapa final'!$A$26),"")</f>
        <v/>
      </c>
      <c r="AG33" s="487"/>
      <c r="AH33" s="487" t="str">
        <f>IF(AND('Mapa final'!$P$27="Media",'Mapa final'!$S$27="Mayor"),CONCATENATE("R",'Mapa final'!$A$27),"")</f>
        <v/>
      </c>
      <c r="AI33" s="487"/>
      <c r="AJ33" s="477" t="str">
        <f>IF(AND('Mapa final'!$P$25="Media",'Mapa final'!$S$25="Catastrófico"),CONCATENATE("R",'Mapa final'!$A$25),"")</f>
        <v/>
      </c>
      <c r="AK33" s="478"/>
      <c r="AL33" s="478" t="str">
        <f>IF(AND('Mapa final'!$P$26="Media",'Mapa final'!$S$26="Catastrófico"),CONCATENATE("R",'Mapa final'!$A$26),"")</f>
        <v/>
      </c>
      <c r="AM33" s="478"/>
      <c r="AN33" s="478" t="str">
        <f>IF(AND('Mapa final'!$P$27="Media",'Mapa final'!$S$27="Catastrófico"),CONCATENATE("R",'Mapa final'!$A$27),"")</f>
        <v/>
      </c>
      <c r="AO33" s="479"/>
      <c r="AP33" s="68"/>
      <c r="AQ33" s="550"/>
      <c r="AR33" s="551"/>
      <c r="AS33" s="551"/>
      <c r="AT33" s="551"/>
      <c r="AU33" s="551"/>
      <c r="AV33" s="552"/>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row>
    <row r="34" spans="3:82" ht="15.75" customHeight="1" thickBot="1">
      <c r="C34" s="68"/>
      <c r="D34" s="527"/>
      <c r="E34" s="527"/>
      <c r="F34" s="528"/>
      <c r="G34" s="502"/>
      <c r="H34" s="503"/>
      <c r="I34" s="503"/>
      <c r="J34" s="503"/>
      <c r="K34" s="503"/>
      <c r="L34" s="471"/>
      <c r="M34" s="472"/>
      <c r="N34" s="472"/>
      <c r="O34" s="472"/>
      <c r="P34" s="472"/>
      <c r="Q34" s="473"/>
      <c r="R34" s="471"/>
      <c r="S34" s="472"/>
      <c r="T34" s="472"/>
      <c r="U34" s="472"/>
      <c r="V34" s="472"/>
      <c r="W34" s="472"/>
      <c r="X34" s="471"/>
      <c r="Y34" s="472"/>
      <c r="Z34" s="472"/>
      <c r="AA34" s="472"/>
      <c r="AB34" s="472"/>
      <c r="AC34" s="472"/>
      <c r="AD34" s="489"/>
      <c r="AE34" s="490"/>
      <c r="AF34" s="490"/>
      <c r="AG34" s="490"/>
      <c r="AH34" s="490"/>
      <c r="AI34" s="490"/>
      <c r="AJ34" s="477"/>
      <c r="AK34" s="478"/>
      <c r="AL34" s="478"/>
      <c r="AM34" s="478"/>
      <c r="AN34" s="478"/>
      <c r="AO34" s="479"/>
      <c r="AP34" s="68"/>
      <c r="AQ34" s="553"/>
      <c r="AR34" s="554"/>
      <c r="AS34" s="554"/>
      <c r="AT34" s="554"/>
      <c r="AU34" s="554"/>
      <c r="AV34" s="555"/>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row>
    <row r="35" spans="3:82" ht="15" customHeight="1">
      <c r="C35" s="68"/>
      <c r="D35" s="527"/>
      <c r="E35" s="527"/>
      <c r="F35" s="528"/>
      <c r="G35" s="495" t="s">
        <v>257</v>
      </c>
      <c r="H35" s="497"/>
      <c r="I35" s="497"/>
      <c r="J35" s="497"/>
      <c r="K35" s="497"/>
      <c r="L35" s="464"/>
      <c r="M35" s="465"/>
      <c r="N35" s="465" t="str">
        <f>IF(AND('Mapa final'!$K$15="Baja",'Mapa final'!$O$15="Leve"),CONCATENATE("R",'Mapa final'!#REF!),"")</f>
        <v/>
      </c>
      <c r="O35" s="465"/>
      <c r="P35" s="465" t="e">
        <f>IF(AND('Mapa final'!#REF!="Baja",'Mapa final'!#REF!="Leve"),CONCATENATE("R",'Mapa final'!#REF!),"")</f>
        <v>#REF!</v>
      </c>
      <c r="Q35" s="466"/>
      <c r="R35" s="474"/>
      <c r="S35" s="475"/>
      <c r="T35" s="469" t="str">
        <f>IF(AND('Mapa final'!$P$15="Baja",'Mapa final'!$S$15="Menor"),CONCATENATE("R",'Mapa final'!#REF!),"")</f>
        <v/>
      </c>
      <c r="U35" s="469"/>
      <c r="V35" s="469" t="e">
        <f>IF(AND('Mapa final'!#REF!="Baja",'Mapa final'!#REF!="Menor"),CONCATENATE("R",'Mapa final'!#REF!),"")</f>
        <v>#REF!</v>
      </c>
      <c r="W35" s="470"/>
      <c r="X35" s="468"/>
      <c r="Y35" s="469"/>
      <c r="Z35" s="469" t="str">
        <f>IF(AND('Mapa final'!P$15="Baja",'Mapa final'!$S$15="Moderado"),CONCATENATE("R",'Mapa final'!#REF!),"")</f>
        <v/>
      </c>
      <c r="AA35" s="469"/>
      <c r="AB35" s="469" t="e">
        <f>IF(AND('Mapa final'!#REF!="Baja",'Mapa final'!#REF!="Moderado"),CONCATENATE("R",'Mapa final'!#REF!),"")</f>
        <v>#REF!</v>
      </c>
      <c r="AC35" s="470"/>
      <c r="AD35" s="486"/>
      <c r="AE35" s="487"/>
      <c r="AF35" s="487" t="str">
        <f>IF(AND('Mapa final'!$P$15="Baja",'Mapa final'!$S$15="Mayor"),CONCATENATE("R",'Mapa final'!#REF!),"")</f>
        <v/>
      </c>
      <c r="AG35" s="487"/>
      <c r="AH35" s="487" t="e">
        <f>IF(AND('Mapa final'!#REF!="Baja",'Mapa final'!#REF!="Mayor"),CONCATENATE("R",'Mapa final'!#REF!),"")</f>
        <v>#REF!</v>
      </c>
      <c r="AI35" s="487"/>
      <c r="AJ35" s="483"/>
      <c r="AK35" s="484"/>
      <c r="AL35" s="484" t="str">
        <f>IF(AND('Mapa final'!$P$15="Baja",'Mapa final'!$S$15="Catastrófico"),CONCATENATE("R",'Mapa final'!#REF!),"")</f>
        <v/>
      </c>
      <c r="AM35" s="484"/>
      <c r="AN35" s="484" t="e">
        <f>IF(AND('Mapa final'!#REF!="Baja",'Mapa final'!#REF!="Catastrófico"),CONCATENATE("R",'Mapa final'!#REF!),"")</f>
        <v>#REF!</v>
      </c>
      <c r="AO35" s="485"/>
      <c r="AP35" s="68"/>
      <c r="AQ35" s="556" t="s">
        <v>258</v>
      </c>
      <c r="AR35" s="557"/>
      <c r="AS35" s="557"/>
      <c r="AT35" s="557"/>
      <c r="AU35" s="557"/>
      <c r="AV35" s="55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6" spans="3:82" ht="15" customHeight="1">
      <c r="C36" s="68"/>
      <c r="D36" s="527"/>
      <c r="E36" s="527"/>
      <c r="F36" s="528"/>
      <c r="G36" s="499"/>
      <c r="H36" s="500"/>
      <c r="I36" s="500"/>
      <c r="J36" s="500"/>
      <c r="K36" s="500"/>
      <c r="L36" s="459"/>
      <c r="M36" s="460"/>
      <c r="N36" s="460"/>
      <c r="O36" s="460"/>
      <c r="P36" s="460"/>
      <c r="Q36" s="461"/>
      <c r="R36" s="468"/>
      <c r="S36" s="469"/>
      <c r="T36" s="469"/>
      <c r="U36" s="469"/>
      <c r="V36" s="469"/>
      <c r="W36" s="470"/>
      <c r="X36" s="468"/>
      <c r="Y36" s="469"/>
      <c r="Z36" s="469"/>
      <c r="AA36" s="469"/>
      <c r="AB36" s="469"/>
      <c r="AC36" s="470"/>
      <c r="AD36" s="486"/>
      <c r="AE36" s="487"/>
      <c r="AF36" s="487"/>
      <c r="AG36" s="487"/>
      <c r="AH36" s="487"/>
      <c r="AI36" s="487"/>
      <c r="AJ36" s="477"/>
      <c r="AK36" s="478"/>
      <c r="AL36" s="478"/>
      <c r="AM36" s="478"/>
      <c r="AN36" s="478"/>
      <c r="AO36" s="479"/>
      <c r="AP36" s="68"/>
      <c r="AQ36" s="559"/>
      <c r="AR36" s="560"/>
      <c r="AS36" s="560"/>
      <c r="AT36" s="560"/>
      <c r="AU36" s="560"/>
      <c r="AV36" s="561"/>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row>
    <row r="37" spans="3:82" ht="15" customHeight="1">
      <c r="C37" s="68"/>
      <c r="D37" s="527"/>
      <c r="E37" s="527"/>
      <c r="F37" s="528"/>
      <c r="G37" s="499"/>
      <c r="H37" s="500"/>
      <c r="I37" s="500"/>
      <c r="J37" s="500"/>
      <c r="K37" s="500"/>
      <c r="L37" s="459" t="e">
        <f>IF(AND('Mapa final'!#REF!="Baja",'Mapa final'!#REF!="Leve"),CONCATENATE("R",'Mapa final'!#REF!),"")</f>
        <v>#REF!</v>
      </c>
      <c r="M37" s="460"/>
      <c r="N37" s="460" t="e">
        <f>IF(AND('Mapa final'!#REF!="Baja",'Mapa final'!#REF!="Leve"),CONCATENATE("R",'Mapa final'!#REF!),"")</f>
        <v>#REF!</v>
      </c>
      <c r="O37" s="460"/>
      <c r="P37" s="460" t="e">
        <f>IF(AND('Mapa final'!#REF!="Baja",'Mapa final'!#REF!="Leve"),CONCATENATE("R",'Mapa final'!#REF!),"")</f>
        <v>#REF!</v>
      </c>
      <c r="Q37" s="461"/>
      <c r="R37" s="468" t="e">
        <f>IF(AND('Mapa final'!#REF!="Baja",'Mapa final'!#REF!="Menor"),CONCATENATE("R",'Mapa final'!#REF!),"")</f>
        <v>#REF!</v>
      </c>
      <c r="S37" s="469"/>
      <c r="T37" s="469" t="e">
        <f>IF(AND('Mapa final'!#REF!="Baja",'Mapa final'!#REF!="Menor"),CONCATENATE("R",'Mapa final'!#REF!),"")</f>
        <v>#REF!</v>
      </c>
      <c r="U37" s="469"/>
      <c r="V37" s="469" t="e">
        <f>IF(AND('Mapa final'!#REF!="Baja",'Mapa final'!#REF!="Menor"),CONCATENATE("R",'Mapa final'!#REF!),"")</f>
        <v>#REF!</v>
      </c>
      <c r="W37" s="470"/>
      <c r="X37" s="468" t="e">
        <f>IF(AND('Mapa final'!#REF!="Baja",'Mapa final'!#REF!="Moderado"),CONCATENATE("R",'Mapa final'!#REF!),"")</f>
        <v>#REF!</v>
      </c>
      <c r="Y37" s="469"/>
      <c r="Z37" s="469" t="e">
        <f>IF(AND('Mapa final'!#REF!="Baja",'Mapa final'!#REF!="Moderado"),CONCATENATE("R",'Mapa final'!#REF!),"")</f>
        <v>#REF!</v>
      </c>
      <c r="AA37" s="469"/>
      <c r="AB37" s="469" t="e">
        <f>IF(AND('Mapa final'!#REF!="Baja",'Mapa final'!#REF!="Moderado"),CONCATENATE("R",'Mapa final'!#REF!),"")</f>
        <v>#REF!</v>
      </c>
      <c r="AC37" s="470"/>
      <c r="AD37" s="486" t="e">
        <f>IF(AND('Mapa final'!#REF!="Baja",'Mapa final'!#REF!="Mayor"),CONCATENATE("R",'Mapa final'!#REF!),"")</f>
        <v>#REF!</v>
      </c>
      <c r="AE37" s="487"/>
      <c r="AF37" s="487" t="e">
        <f>IF(AND('Mapa final'!#REF!="Baja",'Mapa final'!#REF!="Mayor"),CONCATENATE("R",'Mapa final'!#REF!),"")</f>
        <v>#REF!</v>
      </c>
      <c r="AG37" s="487"/>
      <c r="AH37" s="487" t="e">
        <f>IF(AND('Mapa final'!#REF!="Baja",'Mapa final'!#REF!="Mayor"),CONCATENATE("R",'Mapa final'!#REF!),"")</f>
        <v>#REF!</v>
      </c>
      <c r="AI37" s="487"/>
      <c r="AJ37" s="477" t="e">
        <f>IF(AND('Mapa final'!#REF!="Baja",'Mapa final'!#REF!="Catastrófico"),CONCATENATE("R",'Mapa final'!#REF!),"")</f>
        <v>#REF!</v>
      </c>
      <c r="AK37" s="478"/>
      <c r="AL37" s="478" t="e">
        <f>IF(AND('Mapa final'!#REF!="Baja",'Mapa final'!#REF!="Catastrófico"),CONCATENATE("R",'Mapa final'!#REF!),"")</f>
        <v>#REF!</v>
      </c>
      <c r="AM37" s="478"/>
      <c r="AN37" s="478" t="e">
        <f>IF(AND('Mapa final'!#REF!="Baja",'Mapa final'!#REF!="Catastrófico"),CONCATENATE("R",'Mapa final'!#REF!),"")</f>
        <v>#REF!</v>
      </c>
      <c r="AO37" s="479"/>
      <c r="AP37" s="68"/>
      <c r="AQ37" s="559"/>
      <c r="AR37" s="560"/>
      <c r="AS37" s="560"/>
      <c r="AT37" s="560"/>
      <c r="AU37" s="560"/>
      <c r="AV37" s="561"/>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row>
    <row r="38" spans="3:82" ht="15" customHeight="1">
      <c r="C38" s="68"/>
      <c r="D38" s="527"/>
      <c r="E38" s="527"/>
      <c r="F38" s="528"/>
      <c r="G38" s="499"/>
      <c r="H38" s="500"/>
      <c r="I38" s="500"/>
      <c r="J38" s="500"/>
      <c r="K38" s="500"/>
      <c r="L38" s="459"/>
      <c r="M38" s="460"/>
      <c r="N38" s="460"/>
      <c r="O38" s="460"/>
      <c r="P38" s="460"/>
      <c r="Q38" s="461"/>
      <c r="R38" s="468"/>
      <c r="S38" s="469"/>
      <c r="T38" s="469"/>
      <c r="U38" s="469"/>
      <c r="V38" s="469"/>
      <c r="W38" s="470"/>
      <c r="X38" s="468"/>
      <c r="Y38" s="469"/>
      <c r="Z38" s="469"/>
      <c r="AA38" s="469"/>
      <c r="AB38" s="469"/>
      <c r="AC38" s="470"/>
      <c r="AD38" s="486"/>
      <c r="AE38" s="487"/>
      <c r="AF38" s="487"/>
      <c r="AG38" s="487"/>
      <c r="AH38" s="487"/>
      <c r="AI38" s="487"/>
      <c r="AJ38" s="477"/>
      <c r="AK38" s="478"/>
      <c r="AL38" s="478"/>
      <c r="AM38" s="478"/>
      <c r="AN38" s="478"/>
      <c r="AO38" s="479"/>
      <c r="AP38" s="68"/>
      <c r="AQ38" s="559"/>
      <c r="AR38" s="560"/>
      <c r="AS38" s="560"/>
      <c r="AT38" s="560"/>
      <c r="AU38" s="560"/>
      <c r="AV38" s="561"/>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row>
    <row r="39" spans="3:82" ht="15" customHeight="1">
      <c r="C39" s="68"/>
      <c r="D39" s="527"/>
      <c r="E39" s="527"/>
      <c r="F39" s="528"/>
      <c r="G39" s="499"/>
      <c r="H39" s="500"/>
      <c r="I39" s="500"/>
      <c r="J39" s="500"/>
      <c r="K39" s="500"/>
      <c r="L39" s="459" t="e">
        <f>IF(AND('Mapa final'!#REF!="Baja",'Mapa final'!#REF!="Leve"),CONCATENATE("R",'Mapa final'!#REF!),"")</f>
        <v>#REF!</v>
      </c>
      <c r="M39" s="460"/>
      <c r="N39" s="460" t="e">
        <f>IF(AND('Mapa final'!#REF!="Baja",'Mapa final'!#REF!="Leve"),CONCATENATE("R",'Mapa final'!#REF!),"")</f>
        <v>#REF!</v>
      </c>
      <c r="O39" s="460"/>
      <c r="P39" s="460" t="str">
        <f>IF(AND('Mapa final'!$K$24="Baja",'Mapa final'!$O$24="Leve"),CONCATENATE("R",'Mapa final'!$A$24),"")</f>
        <v/>
      </c>
      <c r="Q39" s="461"/>
      <c r="R39" s="468" t="e">
        <f>IF(AND('Mapa final'!#REF!="Baja",'Mapa final'!#REF!="Menor"),CONCATENATE("R",'Mapa final'!#REF!),"")</f>
        <v>#REF!</v>
      </c>
      <c r="S39" s="469"/>
      <c r="T39" s="469" t="e">
        <f>IF(AND('Mapa final'!#REF!="Baja",'Mapa final'!#REF!="Menor"),CONCATENATE("R",'Mapa final'!#REF!),"")</f>
        <v>#REF!</v>
      </c>
      <c r="U39" s="469"/>
      <c r="V39" s="469" t="str">
        <f>IF(AND('Mapa final'!$P$24="Baja",'Mapa final'!$S$24="Menor"),CONCATENATE("R",'Mapa final'!$A$24),"")</f>
        <v/>
      </c>
      <c r="W39" s="470"/>
      <c r="X39" s="468" t="e">
        <f>IF(AND('Mapa final'!#REF!="Baja",'Mapa final'!#REF!="Moderado"),CONCATENATE("R",'Mapa final'!#REF!),"")</f>
        <v>#REF!</v>
      </c>
      <c r="Y39" s="469"/>
      <c r="Z39" s="469" t="e">
        <f>IF(AND('Mapa final'!#REF!="Baja",'Mapa final'!#REF!="Moderado"),CONCATENATE("R",'Mapa final'!#REF!),"")</f>
        <v>#REF!</v>
      </c>
      <c r="AA39" s="469"/>
      <c r="AB39" s="469" t="str">
        <f>IF(AND('Mapa final'!$P$24="Baja",'Mapa final'!$S$24="Moderado"),CONCATENATE("R",'Mapa final'!$A$24),"")</f>
        <v/>
      </c>
      <c r="AC39" s="470"/>
      <c r="AD39" s="486" t="e">
        <f>IF(AND('Mapa final'!#REF!="Baja",'Mapa final'!#REF!="Mayor"),CONCATENATE("R",'Mapa final'!#REF!),"")</f>
        <v>#REF!</v>
      </c>
      <c r="AE39" s="487"/>
      <c r="AF39" s="487" t="e">
        <f>IF(AND('Mapa final'!#REF!="Baja",'Mapa final'!#REF!="Mayor"),CONCATENATE("R",'Mapa final'!#REF!),"")</f>
        <v>#REF!</v>
      </c>
      <c r="AG39" s="487"/>
      <c r="AH39" s="487" t="str">
        <f>IF(AND('Mapa final'!$P$24="Baja",'Mapa final'!$S$24="Mayor"),CONCATENATE("R",'Mapa final'!$A$24),"")</f>
        <v/>
      </c>
      <c r="AI39" s="487"/>
      <c r="AJ39" s="477" t="e">
        <f>IF(AND('Mapa final'!#REF!="Baja",'Mapa final'!#REF!="Catastrófico"),CONCATENATE("R",'Mapa final'!#REF!),"")</f>
        <v>#REF!</v>
      </c>
      <c r="AK39" s="478"/>
      <c r="AL39" s="478" t="e">
        <f>IF(AND('Mapa final'!#REF!="Baja",'Mapa final'!#REF!="Catastrófico"),CONCATENATE("R",'Mapa final'!#REF!),"")</f>
        <v>#REF!</v>
      </c>
      <c r="AM39" s="478"/>
      <c r="AN39" s="478" t="str">
        <f>IF(AND('Mapa final'!$P$24="Baja",'Mapa final'!$S$24="Catastrófico"),CONCATENATE("R",'Mapa final'!$A$24),"")</f>
        <v/>
      </c>
      <c r="AO39" s="479"/>
      <c r="AP39" s="68"/>
      <c r="AQ39" s="559"/>
      <c r="AR39" s="560"/>
      <c r="AS39" s="560"/>
      <c r="AT39" s="560"/>
      <c r="AU39" s="560"/>
      <c r="AV39" s="561"/>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row>
    <row r="40" spans="3:82" ht="15" customHeight="1">
      <c r="C40" s="68"/>
      <c r="D40" s="527"/>
      <c r="E40" s="527"/>
      <c r="F40" s="528"/>
      <c r="G40" s="499"/>
      <c r="H40" s="500"/>
      <c r="I40" s="500"/>
      <c r="J40" s="500"/>
      <c r="K40" s="500"/>
      <c r="L40" s="459"/>
      <c r="M40" s="460"/>
      <c r="N40" s="460"/>
      <c r="O40" s="460"/>
      <c r="P40" s="460"/>
      <c r="Q40" s="461"/>
      <c r="R40" s="468"/>
      <c r="S40" s="469"/>
      <c r="T40" s="469"/>
      <c r="U40" s="469"/>
      <c r="V40" s="469"/>
      <c r="W40" s="470"/>
      <c r="X40" s="468"/>
      <c r="Y40" s="469"/>
      <c r="Z40" s="469"/>
      <c r="AA40" s="469"/>
      <c r="AB40" s="469"/>
      <c r="AC40" s="470"/>
      <c r="AD40" s="486"/>
      <c r="AE40" s="487"/>
      <c r="AF40" s="487"/>
      <c r="AG40" s="487"/>
      <c r="AH40" s="487"/>
      <c r="AI40" s="487"/>
      <c r="AJ40" s="477"/>
      <c r="AK40" s="478"/>
      <c r="AL40" s="478"/>
      <c r="AM40" s="478"/>
      <c r="AN40" s="478"/>
      <c r="AO40" s="479"/>
      <c r="AP40" s="68"/>
      <c r="AQ40" s="559"/>
      <c r="AR40" s="560"/>
      <c r="AS40" s="560"/>
      <c r="AT40" s="560"/>
      <c r="AU40" s="560"/>
      <c r="AV40" s="561"/>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row>
    <row r="41" spans="3:82" ht="15" customHeight="1">
      <c r="C41" s="68"/>
      <c r="D41" s="527"/>
      <c r="E41" s="527"/>
      <c r="F41" s="528"/>
      <c r="G41" s="499"/>
      <c r="H41" s="500"/>
      <c r="I41" s="500"/>
      <c r="J41" s="500"/>
      <c r="K41" s="500"/>
      <c r="L41" s="459" t="str">
        <f>IF(AND('Mapa final'!$P$25="Baja",'Mapa final'!$S$25="Leve"),CONCATENATE("R",'Mapa final'!$A$25),"")</f>
        <v/>
      </c>
      <c r="M41" s="460"/>
      <c r="N41" s="460" t="str">
        <f>IF(AND('Mapa final'!$K$26="Baja",'Mapa final'!$O$26="Leve"),CONCATENATE("R",'Mapa final'!$A$26),"")</f>
        <v/>
      </c>
      <c r="O41" s="460"/>
      <c r="P41" s="460" t="str">
        <f>IF(AND('Mapa final'!$K$27="Baja",'Mapa final'!$O$27="Leve"),CONCATENATE("R",'Mapa final'!$A$27),"")</f>
        <v/>
      </c>
      <c r="Q41" s="461"/>
      <c r="R41" s="468" t="str">
        <f>IF(AND('Mapa final'!$P$25="Baja",'Mapa final'!$S$25="Menor"),CONCATENATE("R",'Mapa final'!$A$25),"")</f>
        <v/>
      </c>
      <c r="S41" s="469"/>
      <c r="T41" s="469" t="str">
        <f>IF(AND('Mapa final'!$P$26="Baja",'Mapa final'!$S$26="Menor"),CONCATENATE("R",'Mapa final'!$A$26),"")</f>
        <v/>
      </c>
      <c r="U41" s="469"/>
      <c r="V41" s="469" t="str">
        <f>IF(AND('Mapa final'!$P$27="Baja",'Mapa final'!$S$27="Menor"),CONCATENATE("R",'Mapa final'!$A$27),"")</f>
        <v/>
      </c>
      <c r="W41" s="470"/>
      <c r="X41" s="468" t="str">
        <f>IF(AND('Mapa final'!$P$25="Baja",'Mapa final'!$S$25="Moderado"),CONCATENATE("R",'Mapa final'!$A$25),"")</f>
        <v/>
      </c>
      <c r="Y41" s="469"/>
      <c r="Z41" s="469" t="str">
        <f>IF(AND('Mapa final'!$P$26="Baja",'Mapa final'!$S$26="Moderado"),CONCATENATE("R",'Mapa final'!$A$26),"")</f>
        <v/>
      </c>
      <c r="AA41" s="469"/>
      <c r="AB41" s="469" t="str">
        <f>IF(AND('Mapa final'!$P$27="Baja",'Mapa final'!$S$27="Moderado"),CONCATENATE("R",'Mapa final'!$A$27),"")</f>
        <v/>
      </c>
      <c r="AC41" s="470"/>
      <c r="AD41" s="486" t="str">
        <f>IF(AND('Mapa final'!$P$25="Baja",'Mapa final'!$S$25="Mayor"),CONCATENATE("R",'Mapa final'!$A$25),"")</f>
        <v/>
      </c>
      <c r="AE41" s="487"/>
      <c r="AF41" s="487" t="str">
        <f>IF(AND('Mapa final'!$P$26="Baja",'Mapa final'!$S$26="Mayor"),CONCATENATE("R",'Mapa final'!$A$26),"")</f>
        <v/>
      </c>
      <c r="AG41" s="487"/>
      <c r="AH41" s="487" t="str">
        <f>IF(AND('Mapa final'!$P$27="Baja",'Mapa final'!$S$27="Mayor"),CONCATENATE("R",'Mapa final'!$A$27),"")</f>
        <v/>
      </c>
      <c r="AI41" s="487"/>
      <c r="AJ41" s="477" t="str">
        <f>IF(AND('Mapa final'!$P$25="Baja",'Mapa final'!$S$25="Catastrófico"),CONCATENATE("R",'Mapa final'!$A$25),"")</f>
        <v/>
      </c>
      <c r="AK41" s="478"/>
      <c r="AL41" s="478" t="str">
        <f>IF(AND('Mapa final'!$P$26="Baja",'Mapa final'!$S$26="Catastrófico"),CONCATENATE("R",'Mapa final'!$A$26),"")</f>
        <v/>
      </c>
      <c r="AM41" s="478"/>
      <c r="AN41" s="478" t="str">
        <f>IF(AND('Mapa final'!$P$27="Baja",'Mapa final'!$S$27="Catastrófico"),CONCATENATE("R",'Mapa final'!$A$27),"")</f>
        <v/>
      </c>
      <c r="AO41" s="479"/>
      <c r="AP41" s="68"/>
      <c r="AQ41" s="559"/>
      <c r="AR41" s="560"/>
      <c r="AS41" s="560"/>
      <c r="AT41" s="560"/>
      <c r="AU41" s="560"/>
      <c r="AV41" s="561"/>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row>
    <row r="42" spans="3:82" ht="15.75" customHeight="1" thickBot="1">
      <c r="C42" s="68"/>
      <c r="D42" s="527"/>
      <c r="E42" s="527"/>
      <c r="F42" s="528"/>
      <c r="G42" s="502"/>
      <c r="H42" s="503"/>
      <c r="I42" s="503"/>
      <c r="J42" s="503"/>
      <c r="K42" s="503"/>
      <c r="L42" s="467"/>
      <c r="M42" s="462"/>
      <c r="N42" s="462"/>
      <c r="O42" s="462"/>
      <c r="P42" s="462"/>
      <c r="Q42" s="463"/>
      <c r="R42" s="471"/>
      <c r="S42" s="472"/>
      <c r="T42" s="472"/>
      <c r="U42" s="472"/>
      <c r="V42" s="472"/>
      <c r="W42" s="473"/>
      <c r="X42" s="471"/>
      <c r="Y42" s="472"/>
      <c r="Z42" s="472"/>
      <c r="AA42" s="472"/>
      <c r="AB42" s="472"/>
      <c r="AC42" s="473"/>
      <c r="AD42" s="489"/>
      <c r="AE42" s="490"/>
      <c r="AF42" s="490"/>
      <c r="AG42" s="490"/>
      <c r="AH42" s="490"/>
      <c r="AI42" s="490"/>
      <c r="AJ42" s="480"/>
      <c r="AK42" s="481"/>
      <c r="AL42" s="481"/>
      <c r="AM42" s="481"/>
      <c r="AN42" s="481"/>
      <c r="AO42" s="482"/>
      <c r="AP42" s="68"/>
      <c r="AQ42" s="562"/>
      <c r="AR42" s="563"/>
      <c r="AS42" s="563"/>
      <c r="AT42" s="563"/>
      <c r="AU42" s="563"/>
      <c r="AV42" s="564"/>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row>
    <row r="43" spans="3:82" ht="15" customHeight="1">
      <c r="C43" s="68"/>
      <c r="D43" s="527"/>
      <c r="E43" s="527"/>
      <c r="F43" s="528"/>
      <c r="G43" s="495" t="s">
        <v>259</v>
      </c>
      <c r="H43" s="497"/>
      <c r="I43" s="497"/>
      <c r="J43" s="497"/>
      <c r="K43" s="497"/>
      <c r="L43" s="464"/>
      <c r="M43" s="465"/>
      <c r="N43" s="465" t="str">
        <f>IF(AND('Mapa final'!$K$15="Muy Baja",'Mapa final'!$O$15="Leve"),CONCATENATE("R",'Mapa final'!#REF!),"")</f>
        <v/>
      </c>
      <c r="O43" s="465"/>
      <c r="P43" s="465" t="e">
        <f>IF(AND('Mapa final'!#REF!="Muy Baja",'Mapa final'!#REF!="Leve"),CONCATENATE("R",'Mapa final'!#REF!),"")</f>
        <v>#REF!</v>
      </c>
      <c r="Q43" s="466"/>
      <c r="R43" s="464"/>
      <c r="S43" s="465"/>
      <c r="T43" s="465" t="str">
        <f>IF(AND('Mapa final'!$P$15="Muy Baja",'Mapa final'!$S$15="Menor"),CONCATENATE("R",'Mapa final'!#REF!),"")</f>
        <v/>
      </c>
      <c r="U43" s="465"/>
      <c r="V43" s="465" t="e">
        <f>IF(AND('Mapa final'!#REF!="Muy Baja",'Mapa final'!#REF!="Menor"),CONCATENATE("R",'Mapa final'!#REF!),"")</f>
        <v>#REF!</v>
      </c>
      <c r="W43" s="466"/>
      <c r="X43" s="474"/>
      <c r="Y43" s="475"/>
      <c r="Z43" s="475" t="str">
        <f>IF(AND('Mapa final'!P$15="Muy Baja",'Mapa final'!$S$15="Moderado"),CONCATENATE("R",'Mapa final'!$D$15),"")</f>
        <v/>
      </c>
      <c r="AA43" s="475"/>
      <c r="AB43" s="475" t="e">
        <f>IF(AND('Mapa final'!#REF!="Muy Baja",'Mapa final'!#REF!="Moderado"),CONCATENATE("R",'Mapa final'!#REF!),"")</f>
        <v>#REF!</v>
      </c>
      <c r="AC43" s="476"/>
      <c r="AD43" s="492"/>
      <c r="AE43" s="493"/>
      <c r="AF43" s="493" t="str">
        <f>IF(AND('Mapa final'!$P$15="Muy Baja",'Mapa final'!$S$15="Mayor"),CONCATENATE("R",'Mapa final'!#REF!),"")</f>
        <v/>
      </c>
      <c r="AG43" s="493"/>
      <c r="AH43" s="493" t="e">
        <f>IF(AND('Mapa final'!#REF!="Muy Baja",'Mapa final'!#REF!="Mayor"),CONCATENATE("R",'Mapa final'!#REF!),"")</f>
        <v>#REF!</v>
      </c>
      <c r="AI43" s="494"/>
      <c r="AJ43" s="477"/>
      <c r="AK43" s="478"/>
      <c r="AL43" s="478" t="str">
        <f>IF(AND('Mapa final'!$P$15="Muy Baja",'Mapa final'!$S$15="Catastrófico"),CONCATENATE("R",'Mapa final'!$D$15),"")</f>
        <v/>
      </c>
      <c r="AM43" s="478"/>
      <c r="AN43" s="478" t="e">
        <f>IF(AND('Mapa final'!#REF!="Muy Baja",'Mapa final'!#REF!="Catastrófico"),CONCATENATE("R",'Mapa final'!#REF!),"")</f>
        <v>#REF!</v>
      </c>
      <c r="AO43" s="479"/>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row>
    <row r="44" spans="3:82" ht="15" customHeight="1">
      <c r="C44" s="68"/>
      <c r="D44" s="527"/>
      <c r="E44" s="527"/>
      <c r="F44" s="528"/>
      <c r="G44" s="499"/>
      <c r="H44" s="500"/>
      <c r="I44" s="500"/>
      <c r="J44" s="500"/>
      <c r="K44" s="500"/>
      <c r="L44" s="459"/>
      <c r="M44" s="460"/>
      <c r="N44" s="460"/>
      <c r="O44" s="460"/>
      <c r="P44" s="460"/>
      <c r="Q44" s="461"/>
      <c r="R44" s="459"/>
      <c r="S44" s="460"/>
      <c r="T44" s="460"/>
      <c r="U44" s="460"/>
      <c r="V44" s="460"/>
      <c r="W44" s="461"/>
      <c r="X44" s="468"/>
      <c r="Y44" s="469"/>
      <c r="Z44" s="469"/>
      <c r="AA44" s="469"/>
      <c r="AB44" s="469"/>
      <c r="AC44" s="470"/>
      <c r="AD44" s="486"/>
      <c r="AE44" s="487"/>
      <c r="AF44" s="487"/>
      <c r="AG44" s="487"/>
      <c r="AH44" s="487"/>
      <c r="AI44" s="488"/>
      <c r="AJ44" s="477"/>
      <c r="AK44" s="478"/>
      <c r="AL44" s="478"/>
      <c r="AM44" s="478"/>
      <c r="AN44" s="478"/>
      <c r="AO44" s="479"/>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row>
    <row r="45" spans="3:82" ht="15" customHeight="1">
      <c r="C45" s="68"/>
      <c r="D45" s="527"/>
      <c r="E45" s="527"/>
      <c r="F45" s="528"/>
      <c r="G45" s="499"/>
      <c r="H45" s="500"/>
      <c r="I45" s="500"/>
      <c r="J45" s="500"/>
      <c r="K45" s="500"/>
      <c r="L45" s="459" t="e">
        <f>IF(AND('Mapa final'!#REF!="Muy Baja",'Mapa final'!#REF!="Leve"),CONCATENATE("R",'Mapa final'!#REF!),"")</f>
        <v>#REF!</v>
      </c>
      <c r="M45" s="460"/>
      <c r="N45" s="460" t="e">
        <f>IF(AND('Mapa final'!#REF!="Muy Baja",'Mapa final'!#REF!="Leve"),CONCATENATE("R",'Mapa final'!#REF!),"")</f>
        <v>#REF!</v>
      </c>
      <c r="O45" s="460"/>
      <c r="P45" s="460" t="e">
        <f>IF(AND('Mapa final'!#REF!="Muy Baja",'Mapa final'!#REF!="Leve"),CONCATENATE("R",'Mapa final'!#REF!),"")</f>
        <v>#REF!</v>
      </c>
      <c r="Q45" s="461"/>
      <c r="R45" s="459" t="e">
        <f>IF(AND('Mapa final'!#REF!="Muy Baja",'Mapa final'!#REF!="Menor"),CONCATENATE("R",'Mapa final'!#REF!),"")</f>
        <v>#REF!</v>
      </c>
      <c r="S45" s="460"/>
      <c r="T45" s="460" t="e">
        <f>IF(AND('Mapa final'!#REF!="Muy Baja",'Mapa final'!#REF!="Menor"),CONCATENATE("R",'Mapa final'!#REF!),"")</f>
        <v>#REF!</v>
      </c>
      <c r="U45" s="460"/>
      <c r="V45" s="460" t="e">
        <f>IF(AND('Mapa final'!#REF!="Muy Baja",'Mapa final'!#REF!="Menor"),CONCATENATE("R",'Mapa final'!#REF!),"")</f>
        <v>#REF!</v>
      </c>
      <c r="W45" s="461"/>
      <c r="X45" s="468" t="e">
        <f>IF(AND('Mapa final'!#REF!="Muy Baja",'Mapa final'!#REF!="Moderado"),CONCATENATE("R",'Mapa final'!#REF!),"")</f>
        <v>#REF!</v>
      </c>
      <c r="Y45" s="469"/>
      <c r="Z45" s="469" t="e">
        <f>IF(AND('Mapa final'!#REF!="Muy Baja",'Mapa final'!#REF!="Moderado"),CONCATENATE("R",'Mapa final'!#REF!),"")</f>
        <v>#REF!</v>
      </c>
      <c r="AA45" s="469"/>
      <c r="AB45" s="469" t="e">
        <f>IF(AND('Mapa final'!#REF!="Muy Baja",'Mapa final'!#REF!="Moderado"),CONCATENATE("R",'Mapa final'!#REF!),"")</f>
        <v>#REF!</v>
      </c>
      <c r="AC45" s="470"/>
      <c r="AD45" s="486" t="e">
        <f>IF(AND('Mapa final'!#REF!="Muy Baja",'Mapa final'!#REF!="Mayor"),CONCATENATE("R",'Mapa final'!#REF!),"")</f>
        <v>#REF!</v>
      </c>
      <c r="AE45" s="487"/>
      <c r="AF45" s="487" t="e">
        <f>IF(AND('Mapa final'!#REF!="Muy Baja",'Mapa final'!#REF!="Mayor"),CONCATENATE("R",'Mapa final'!#REF!),"")</f>
        <v>#REF!</v>
      </c>
      <c r="AG45" s="487"/>
      <c r="AH45" s="487" t="e">
        <f>IF(AND('Mapa final'!#REF!="Muy Baja",'Mapa final'!#REF!="Mayor"),CONCATENATE("R",'Mapa final'!#REF!),"")</f>
        <v>#REF!</v>
      </c>
      <c r="AI45" s="488"/>
      <c r="AJ45" s="477" t="e">
        <f>IF(AND('Mapa final'!#REF!="Muy Baja",'Mapa final'!#REF!="Catastrófico"),CONCATENATE("R",'Mapa final'!#REF!),"")</f>
        <v>#REF!</v>
      </c>
      <c r="AK45" s="478"/>
      <c r="AL45" s="478" t="e">
        <f>IF(AND('Mapa final'!#REF!="Muy Baja",'Mapa final'!#REF!="Catastrófico"),CONCATENATE("R",'Mapa final'!#REF!),"")</f>
        <v>#REF!</v>
      </c>
      <c r="AM45" s="478"/>
      <c r="AN45" s="478" t="e">
        <f>IF(AND('Mapa final'!#REF!="Muy Baja",'Mapa final'!#REF!="Catastrófico"),CONCATENATE("R",'Mapa final'!#REF!),"")</f>
        <v>#REF!</v>
      </c>
      <c r="AO45" s="479"/>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row>
    <row r="46" spans="3:82" ht="15" customHeight="1">
      <c r="C46" s="68"/>
      <c r="D46" s="527"/>
      <c r="E46" s="527"/>
      <c r="F46" s="528"/>
      <c r="G46" s="499"/>
      <c r="H46" s="500"/>
      <c r="I46" s="500"/>
      <c r="J46" s="500"/>
      <c r="K46" s="500"/>
      <c r="L46" s="459"/>
      <c r="M46" s="460"/>
      <c r="N46" s="460"/>
      <c r="O46" s="460"/>
      <c r="P46" s="460"/>
      <c r="Q46" s="461"/>
      <c r="R46" s="459"/>
      <c r="S46" s="460"/>
      <c r="T46" s="460"/>
      <c r="U46" s="460"/>
      <c r="V46" s="460"/>
      <c r="W46" s="461"/>
      <c r="X46" s="468"/>
      <c r="Y46" s="469"/>
      <c r="Z46" s="469"/>
      <c r="AA46" s="469"/>
      <c r="AB46" s="469"/>
      <c r="AC46" s="470"/>
      <c r="AD46" s="486"/>
      <c r="AE46" s="487"/>
      <c r="AF46" s="487"/>
      <c r="AG46" s="487"/>
      <c r="AH46" s="487"/>
      <c r="AI46" s="488"/>
      <c r="AJ46" s="477"/>
      <c r="AK46" s="478"/>
      <c r="AL46" s="478"/>
      <c r="AM46" s="478"/>
      <c r="AN46" s="478"/>
      <c r="AO46" s="479"/>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row>
    <row r="47" spans="3:82" ht="15" customHeight="1">
      <c r="C47" s="68"/>
      <c r="D47" s="527"/>
      <c r="E47" s="527"/>
      <c r="F47" s="528"/>
      <c r="G47" s="499"/>
      <c r="H47" s="500"/>
      <c r="I47" s="500"/>
      <c r="J47" s="500"/>
      <c r="K47" s="500"/>
      <c r="L47" s="459" t="e">
        <f>IF(AND('Mapa final'!#REF!="Muy Baja",'Mapa final'!#REF!="Leve"),CONCATENATE("R",'Mapa final'!#REF!),"")</f>
        <v>#REF!</v>
      </c>
      <c r="M47" s="460"/>
      <c r="N47" s="460" t="e">
        <f>IF(AND('Mapa final'!#REF!="Muy Baja",'Mapa final'!#REF!="Leve"),CONCATENATE("R",'Mapa final'!#REF!),"")</f>
        <v>#REF!</v>
      </c>
      <c r="O47" s="460"/>
      <c r="P47" s="460" t="str">
        <f>IF(AND('Mapa final'!$K$24="Muy Baja",'Mapa final'!$O$24="Leve"),CONCATENATE("R",'Mapa final'!$A$24),"")</f>
        <v/>
      </c>
      <c r="Q47" s="461"/>
      <c r="R47" s="459" t="e">
        <f>IF(AND('Mapa final'!#REF!="Muy Baja",'Mapa final'!#REF!="Menor"),CONCATENATE("R",'Mapa final'!#REF!),"")</f>
        <v>#REF!</v>
      </c>
      <c r="S47" s="460"/>
      <c r="T47" s="460" t="e">
        <f>IF(AND('Mapa final'!#REF!="Muy Baja",'Mapa final'!#REF!="Menor"),CONCATENATE("R",'Mapa final'!#REF!),"")</f>
        <v>#REF!</v>
      </c>
      <c r="U47" s="460"/>
      <c r="V47" s="460" t="str">
        <f>IF(AND('Mapa final'!$P$24="Muy Baja",'Mapa final'!$S$24="Menor"),CONCATENATE("R",'Mapa final'!$A$24),"")</f>
        <v/>
      </c>
      <c r="W47" s="461"/>
      <c r="X47" s="468" t="e">
        <f>IF(AND('Mapa final'!#REF!="Muy Baja",'Mapa final'!#REF!="Moderado"),CONCATENATE("R",'Mapa final'!#REF!),"")</f>
        <v>#REF!</v>
      </c>
      <c r="Y47" s="469"/>
      <c r="Z47" s="469" t="e">
        <f>IF(AND('Mapa final'!#REF!="Muy Baja",'Mapa final'!#REF!="Moderado"),CONCATENATE("R",'Mapa final'!#REF!),"")</f>
        <v>#REF!</v>
      </c>
      <c r="AA47" s="469"/>
      <c r="AB47" s="469" t="str">
        <f>IF(AND('Mapa final'!$P$24="Muy Baja",'Mapa final'!$S$24="Moderado"),CONCATENATE("R",'Mapa final'!$A$24),"")</f>
        <v/>
      </c>
      <c r="AC47" s="470"/>
      <c r="AD47" s="486" t="e">
        <f>IF(AND('Mapa final'!#REF!="Muy Baja",'Mapa final'!#REF!="Mayor"),CONCATENATE("R",'Mapa final'!#REF!),"")</f>
        <v>#REF!</v>
      </c>
      <c r="AE47" s="487"/>
      <c r="AF47" s="487" t="e">
        <f>IF(AND('Mapa final'!#REF!="Muy Baja",'Mapa final'!#REF!="Mayor"),CONCATENATE("R",'Mapa final'!#REF!),"")</f>
        <v>#REF!</v>
      </c>
      <c r="AG47" s="487"/>
      <c r="AH47" s="487" t="str">
        <f>IF(AND('Mapa final'!$P$24="Muy Baja",'Mapa final'!$S$24="Mayor"),CONCATENATE("R",'Mapa final'!$A$24),"")</f>
        <v/>
      </c>
      <c r="AI47" s="488"/>
      <c r="AJ47" s="477" t="e">
        <f>IF(AND('Mapa final'!#REF!="Muy Baja",'Mapa final'!#REF!="Catastrófico"),CONCATENATE("R",'Mapa final'!#REF!),"")</f>
        <v>#REF!</v>
      </c>
      <c r="AK47" s="478"/>
      <c r="AL47" s="478" t="e">
        <f>IF(AND('Mapa final'!#REF!="Muy Baja",'Mapa final'!#REF!="Catastrófico"),CONCATENATE("R",'Mapa final'!#REF!),"")</f>
        <v>#REF!</v>
      </c>
      <c r="AM47" s="478"/>
      <c r="AN47" s="478" t="str">
        <f>IF(AND('Mapa final'!$P$24="Muy Baja",'Mapa final'!$S$24="Catastrófico"),CONCATENATE("R",'Mapa final'!$A$24),"")</f>
        <v/>
      </c>
      <c r="AO47" s="479"/>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row>
    <row r="48" spans="3:82" ht="15" customHeight="1">
      <c r="C48" s="68"/>
      <c r="D48" s="527"/>
      <c r="E48" s="527"/>
      <c r="F48" s="528"/>
      <c r="G48" s="499"/>
      <c r="H48" s="500"/>
      <c r="I48" s="500"/>
      <c r="J48" s="500"/>
      <c r="K48" s="500"/>
      <c r="L48" s="459"/>
      <c r="M48" s="460"/>
      <c r="N48" s="460"/>
      <c r="O48" s="460"/>
      <c r="P48" s="460"/>
      <c r="Q48" s="461"/>
      <c r="R48" s="459"/>
      <c r="S48" s="460"/>
      <c r="T48" s="460"/>
      <c r="U48" s="460"/>
      <c r="V48" s="460"/>
      <c r="W48" s="461"/>
      <c r="X48" s="468"/>
      <c r="Y48" s="469"/>
      <c r="Z48" s="469"/>
      <c r="AA48" s="469"/>
      <c r="AB48" s="469"/>
      <c r="AC48" s="470"/>
      <c r="AD48" s="486"/>
      <c r="AE48" s="487"/>
      <c r="AF48" s="487"/>
      <c r="AG48" s="487"/>
      <c r="AH48" s="487"/>
      <c r="AI48" s="488"/>
      <c r="AJ48" s="477"/>
      <c r="AK48" s="478"/>
      <c r="AL48" s="478"/>
      <c r="AM48" s="478"/>
      <c r="AN48" s="478"/>
      <c r="AO48" s="479"/>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row>
    <row r="49" spans="3:82" ht="15" customHeight="1">
      <c r="C49" s="68"/>
      <c r="D49" s="527"/>
      <c r="E49" s="527"/>
      <c r="F49" s="528"/>
      <c r="G49" s="499"/>
      <c r="H49" s="500"/>
      <c r="I49" s="500"/>
      <c r="J49" s="500"/>
      <c r="K49" s="500"/>
      <c r="L49" s="459" t="str">
        <f>IF(AND('Mapa final'!$P$25="Muy Baja",'Mapa final'!$S$25="Leve"),CONCATENATE("R",'Mapa final'!$A$25),"")</f>
        <v/>
      </c>
      <c r="M49" s="460"/>
      <c r="N49" s="460" t="str">
        <f>IF(AND('Mapa final'!$K$26="Muy Baja",'Mapa final'!$O$26="Leve"),CONCATENATE("R",'Mapa final'!$A$26),"")</f>
        <v/>
      </c>
      <c r="O49" s="460"/>
      <c r="P49" s="460" t="str">
        <f>IF(AND('Mapa final'!$K$27="Muy Baja",'Mapa final'!$O$27="Leve"),CONCATENATE("R",'Mapa final'!$A$27),"")</f>
        <v/>
      </c>
      <c r="Q49" s="461"/>
      <c r="R49" s="460" t="str">
        <f>IF(AND('Mapa final'!$P$25="Muy Baja",'Mapa final'!$S$25="Menor"),CONCATENATE("R",'Mapa final'!$A$25),"")</f>
        <v/>
      </c>
      <c r="S49" s="460"/>
      <c r="T49" s="460" t="str">
        <f>IF(AND('Mapa final'!$P$26="Muy Baja",'Mapa final'!$S$26="Menor"),CONCATENATE("R",'Mapa final'!$A$26),"")</f>
        <v/>
      </c>
      <c r="U49" s="460"/>
      <c r="V49" s="460" t="str">
        <f>IF(AND('Mapa final'!$P$27="Muy Baja",'Mapa final'!$S$27="Menor"),CONCATENATE("R",'Mapa final'!$A$27),"")</f>
        <v/>
      </c>
      <c r="W49" s="461"/>
      <c r="X49" s="468" t="str">
        <f>IF(AND('Mapa final'!$P$25="Muy Baja",'Mapa final'!$S$25="Moderado"),CONCATENATE("R",'Mapa final'!$A$25),"")</f>
        <v/>
      </c>
      <c r="Y49" s="469"/>
      <c r="Z49" s="469" t="str">
        <f>IF(AND('Mapa final'!$P$26="Muy Baja",'Mapa final'!$S$26="Moderado"),CONCATENATE("R",'Mapa final'!$A$26),"")</f>
        <v/>
      </c>
      <c r="AA49" s="469"/>
      <c r="AB49" s="469" t="str">
        <f>IF(AND('Mapa final'!$P$27="Muy Baja",'Mapa final'!$S$27="Moderado"),CONCATENATE("R",'Mapa final'!$A$27),"")</f>
        <v/>
      </c>
      <c r="AC49" s="470"/>
      <c r="AD49" s="486" t="str">
        <f>IF(AND('Mapa final'!$P$25="Muy Baja",'Mapa final'!$S$25="Mayor"),CONCATENATE("R",'Mapa final'!$A$25),"")</f>
        <v/>
      </c>
      <c r="AE49" s="487"/>
      <c r="AF49" s="487" t="str">
        <f>IF(AND('Mapa final'!$P$26="Muy Baja",'Mapa final'!$S$26="Mayor"),CONCATENATE("R",'Mapa final'!$A$26),"")</f>
        <v/>
      </c>
      <c r="AG49" s="487"/>
      <c r="AH49" s="487" t="str">
        <f>IF(AND('Mapa final'!$P$27="Muy Baja",'Mapa final'!$S$27="Mayor"),CONCATENATE("R",'Mapa final'!$A$27),"")</f>
        <v/>
      </c>
      <c r="AI49" s="488"/>
      <c r="AJ49" s="477" t="str">
        <f>IF(AND('Mapa final'!$P$25="Muy Baja",'Mapa final'!$S$25="Catastrófico"),CONCATENATE("R",'Mapa final'!$A$25),"")</f>
        <v/>
      </c>
      <c r="AK49" s="478"/>
      <c r="AL49" s="478" t="str">
        <f>IF(AND('Mapa final'!$P$26="Muy Baja",'Mapa final'!$S$26="Catastrófico"),CONCATENATE("R",'Mapa final'!$A$26),"")</f>
        <v/>
      </c>
      <c r="AM49" s="478"/>
      <c r="AN49" s="478" t="str">
        <f>IF(AND('Mapa final'!$P$27="Muy Baja",'Mapa final'!$S$27="Catastrófico"),CONCATENATE("R",'Mapa final'!$A$27),"")</f>
        <v/>
      </c>
      <c r="AO49" s="479"/>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row>
    <row r="50" spans="3:82" ht="15.75" customHeight="1" thickBot="1">
      <c r="C50" s="68"/>
      <c r="D50" s="527"/>
      <c r="E50" s="527"/>
      <c r="F50" s="528"/>
      <c r="G50" s="502"/>
      <c r="H50" s="503"/>
      <c r="I50" s="503"/>
      <c r="J50" s="503"/>
      <c r="K50" s="503"/>
      <c r="L50" s="467"/>
      <c r="M50" s="462"/>
      <c r="N50" s="462"/>
      <c r="O50" s="462"/>
      <c r="P50" s="462"/>
      <c r="Q50" s="463"/>
      <c r="R50" s="462"/>
      <c r="S50" s="462"/>
      <c r="T50" s="462"/>
      <c r="U50" s="462"/>
      <c r="V50" s="462"/>
      <c r="W50" s="463"/>
      <c r="X50" s="471"/>
      <c r="Y50" s="472"/>
      <c r="Z50" s="472"/>
      <c r="AA50" s="472"/>
      <c r="AB50" s="472"/>
      <c r="AC50" s="473"/>
      <c r="AD50" s="489"/>
      <c r="AE50" s="490"/>
      <c r="AF50" s="490"/>
      <c r="AG50" s="490"/>
      <c r="AH50" s="490"/>
      <c r="AI50" s="491"/>
      <c r="AJ50" s="480"/>
      <c r="AK50" s="481"/>
      <c r="AL50" s="481"/>
      <c r="AM50" s="481"/>
      <c r="AN50" s="481"/>
      <c r="AO50" s="482"/>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row>
    <row r="51" spans="3:82">
      <c r="C51" s="68"/>
      <c r="D51" s="68"/>
      <c r="E51" s="68"/>
      <c r="F51" s="68"/>
      <c r="G51" s="68"/>
      <c r="H51" s="68"/>
      <c r="I51" s="68"/>
      <c r="J51" s="68"/>
      <c r="K51" s="68"/>
      <c r="L51" s="505" t="s">
        <v>260</v>
      </c>
      <c r="M51" s="500"/>
      <c r="N51" s="500"/>
      <c r="O51" s="500"/>
      <c r="P51" s="500"/>
      <c r="Q51" s="501"/>
      <c r="R51" s="495" t="s">
        <v>261</v>
      </c>
      <c r="S51" s="497"/>
      <c r="T51" s="497"/>
      <c r="U51" s="497"/>
      <c r="V51" s="497"/>
      <c r="W51" s="498"/>
      <c r="X51" s="495" t="s">
        <v>262</v>
      </c>
      <c r="Y51" s="497"/>
      <c r="Z51" s="497"/>
      <c r="AA51" s="497"/>
      <c r="AB51" s="497"/>
      <c r="AC51" s="498"/>
      <c r="AD51" s="495" t="s">
        <v>263</v>
      </c>
      <c r="AE51" s="496"/>
      <c r="AF51" s="497"/>
      <c r="AG51" s="497"/>
      <c r="AH51" s="497"/>
      <c r="AI51" s="498"/>
      <c r="AJ51" s="495" t="s">
        <v>264</v>
      </c>
      <c r="AK51" s="497"/>
      <c r="AL51" s="497"/>
      <c r="AM51" s="497"/>
      <c r="AN51" s="497"/>
      <c r="AO51" s="49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row>
    <row r="52" spans="3:82">
      <c r="C52" s="68"/>
      <c r="D52" s="68"/>
      <c r="E52" s="68"/>
      <c r="F52" s="68"/>
      <c r="G52" s="68"/>
      <c r="H52" s="68"/>
      <c r="I52" s="68"/>
      <c r="J52" s="68"/>
      <c r="K52" s="68"/>
      <c r="L52" s="499"/>
      <c r="M52" s="500"/>
      <c r="N52" s="500"/>
      <c r="O52" s="500"/>
      <c r="P52" s="500"/>
      <c r="Q52" s="501"/>
      <c r="R52" s="499"/>
      <c r="S52" s="500"/>
      <c r="T52" s="500"/>
      <c r="U52" s="500"/>
      <c r="V52" s="500"/>
      <c r="W52" s="501"/>
      <c r="X52" s="499"/>
      <c r="Y52" s="500"/>
      <c r="Z52" s="500"/>
      <c r="AA52" s="500"/>
      <c r="AB52" s="500"/>
      <c r="AC52" s="501"/>
      <c r="AD52" s="499"/>
      <c r="AE52" s="500"/>
      <c r="AF52" s="500"/>
      <c r="AG52" s="500"/>
      <c r="AH52" s="500"/>
      <c r="AI52" s="501"/>
      <c r="AJ52" s="499"/>
      <c r="AK52" s="500"/>
      <c r="AL52" s="500"/>
      <c r="AM52" s="500"/>
      <c r="AN52" s="500"/>
      <c r="AO52" s="501"/>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row>
    <row r="53" spans="3:82">
      <c r="C53" s="68"/>
      <c r="D53" s="68"/>
      <c r="E53" s="68"/>
      <c r="F53" s="68"/>
      <c r="G53" s="68"/>
      <c r="H53" s="68"/>
      <c r="I53" s="68"/>
      <c r="J53" s="68"/>
      <c r="K53" s="68"/>
      <c r="L53" s="499"/>
      <c r="M53" s="500"/>
      <c r="N53" s="500"/>
      <c r="O53" s="500"/>
      <c r="P53" s="500"/>
      <c r="Q53" s="501"/>
      <c r="R53" s="499"/>
      <c r="S53" s="500"/>
      <c r="T53" s="500"/>
      <c r="U53" s="500"/>
      <c r="V53" s="500"/>
      <c r="W53" s="501"/>
      <c r="X53" s="499"/>
      <c r="Y53" s="500"/>
      <c r="Z53" s="500"/>
      <c r="AA53" s="500"/>
      <c r="AB53" s="500"/>
      <c r="AC53" s="501"/>
      <c r="AD53" s="499"/>
      <c r="AE53" s="500"/>
      <c r="AF53" s="500"/>
      <c r="AG53" s="500"/>
      <c r="AH53" s="500"/>
      <c r="AI53" s="501"/>
      <c r="AJ53" s="499"/>
      <c r="AK53" s="500"/>
      <c r="AL53" s="500"/>
      <c r="AM53" s="500"/>
      <c r="AN53" s="500"/>
      <c r="AO53" s="501"/>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row>
    <row r="54" spans="3:82">
      <c r="C54" s="68"/>
      <c r="D54" s="68"/>
      <c r="E54" s="68"/>
      <c r="F54" s="68"/>
      <c r="G54" s="68"/>
      <c r="H54" s="68"/>
      <c r="I54" s="68"/>
      <c r="J54" s="68"/>
      <c r="K54" s="68"/>
      <c r="L54" s="499"/>
      <c r="M54" s="500"/>
      <c r="N54" s="500"/>
      <c r="O54" s="500"/>
      <c r="P54" s="500"/>
      <c r="Q54" s="501"/>
      <c r="R54" s="499"/>
      <c r="S54" s="500"/>
      <c r="T54" s="500"/>
      <c r="U54" s="500"/>
      <c r="V54" s="500"/>
      <c r="W54" s="501"/>
      <c r="X54" s="499"/>
      <c r="Y54" s="500"/>
      <c r="Z54" s="500"/>
      <c r="AA54" s="500"/>
      <c r="AB54" s="500"/>
      <c r="AC54" s="501"/>
      <c r="AD54" s="499"/>
      <c r="AE54" s="500"/>
      <c r="AF54" s="500"/>
      <c r="AG54" s="500"/>
      <c r="AH54" s="500"/>
      <c r="AI54" s="501"/>
      <c r="AJ54" s="499"/>
      <c r="AK54" s="500"/>
      <c r="AL54" s="500"/>
      <c r="AM54" s="500"/>
      <c r="AN54" s="500"/>
      <c r="AO54" s="501"/>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row>
    <row r="55" spans="3:82">
      <c r="C55" s="68"/>
      <c r="D55" s="68"/>
      <c r="E55" s="68"/>
      <c r="F55" s="68"/>
      <c r="G55" s="68"/>
      <c r="H55" s="68"/>
      <c r="I55" s="68"/>
      <c r="J55" s="68"/>
      <c r="K55" s="68"/>
      <c r="L55" s="499"/>
      <c r="M55" s="500"/>
      <c r="N55" s="500"/>
      <c r="O55" s="500"/>
      <c r="P55" s="500"/>
      <c r="Q55" s="501"/>
      <c r="R55" s="499"/>
      <c r="S55" s="500"/>
      <c r="T55" s="500"/>
      <c r="U55" s="500"/>
      <c r="V55" s="500"/>
      <c r="W55" s="501"/>
      <c r="X55" s="499"/>
      <c r="Y55" s="500"/>
      <c r="Z55" s="500"/>
      <c r="AA55" s="500"/>
      <c r="AB55" s="500"/>
      <c r="AC55" s="501"/>
      <c r="AD55" s="499"/>
      <c r="AE55" s="500"/>
      <c r="AF55" s="500"/>
      <c r="AG55" s="500"/>
      <c r="AH55" s="500"/>
      <c r="AI55" s="501"/>
      <c r="AJ55" s="499"/>
      <c r="AK55" s="500"/>
      <c r="AL55" s="500"/>
      <c r="AM55" s="500"/>
      <c r="AN55" s="500"/>
      <c r="AO55" s="501"/>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row>
    <row r="56" spans="3:82" ht="16" thickBot="1">
      <c r="C56" s="68"/>
      <c r="D56" s="68"/>
      <c r="E56" s="68"/>
      <c r="F56" s="68"/>
      <c r="G56" s="68"/>
      <c r="H56" s="68"/>
      <c r="I56" s="68"/>
      <c r="J56" s="68"/>
      <c r="K56" s="68"/>
      <c r="L56" s="502"/>
      <c r="M56" s="503"/>
      <c r="N56" s="503"/>
      <c r="O56" s="503"/>
      <c r="P56" s="503"/>
      <c r="Q56" s="504"/>
      <c r="R56" s="502"/>
      <c r="S56" s="503"/>
      <c r="T56" s="503"/>
      <c r="U56" s="503"/>
      <c r="V56" s="503"/>
      <c r="W56" s="504"/>
      <c r="X56" s="502"/>
      <c r="Y56" s="503"/>
      <c r="Z56" s="503"/>
      <c r="AA56" s="503"/>
      <c r="AB56" s="503"/>
      <c r="AC56" s="504"/>
      <c r="AD56" s="502"/>
      <c r="AE56" s="503"/>
      <c r="AF56" s="503"/>
      <c r="AG56" s="503"/>
      <c r="AH56" s="503"/>
      <c r="AI56" s="504"/>
      <c r="AJ56" s="502"/>
      <c r="AK56" s="503"/>
      <c r="AL56" s="503"/>
      <c r="AM56" s="503"/>
      <c r="AN56" s="503"/>
      <c r="AO56" s="504"/>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row>
    <row r="57" spans="3:82">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row>
    <row r="58" spans="3:82" ht="15" customHeight="1">
      <c r="C58" s="68"/>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row>
    <row r="59" spans="3:82" ht="15" customHeight="1">
      <c r="C59" s="68"/>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row>
    <row r="60" spans="3:82">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row>
    <row r="61" spans="3:82">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row>
    <row r="62" spans="3:82">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row>
    <row r="63" spans="3:82">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row>
    <row r="64" spans="3:82">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row>
    <row r="65" spans="3:82">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row>
    <row r="66" spans="3:82">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row>
    <row r="67" spans="3:82">
      <c r="C67" s="68"/>
      <c r="D67" s="68"/>
      <c r="E67" s="68"/>
      <c r="F67" s="68"/>
      <c r="G67" s="68"/>
      <c r="H67" s="68" t="s">
        <v>265</v>
      </c>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row>
    <row r="68" spans="3:82">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row>
    <row r="69" spans="3:82">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row>
    <row r="70" spans="3:82">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row>
    <row r="71" spans="3:82">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row>
    <row r="72" spans="3:82">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row>
    <row r="73" spans="3:82">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row>
    <row r="74" spans="3:82">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row>
    <row r="75" spans="3:82">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row>
    <row r="76" spans="3:82">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row>
    <row r="77" spans="3:82">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row>
    <row r="78" spans="3:82">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row>
    <row r="79" spans="3:82">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row>
    <row r="80" spans="3:82">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row>
    <row r="81" spans="3:82">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row>
    <row r="82" spans="3:82">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row>
    <row r="83" spans="3:82">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row>
    <row r="84" spans="3:82">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row>
    <row r="85" spans="3:82">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row>
    <row r="86" spans="3:82">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row>
    <row r="87" spans="3:82">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row>
    <row r="88" spans="3:82">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row>
    <row r="89" spans="3:82">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row>
    <row r="90" spans="3:82">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row>
    <row r="91" spans="3:82">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row>
    <row r="92" spans="3:82">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row>
    <row r="93" spans="3:82">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row>
    <row r="94" spans="3:82">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row>
    <row r="95" spans="3:82">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row>
    <row r="96" spans="3:82">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row>
    <row r="97" spans="3:65">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row>
    <row r="98" spans="3:65">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row>
    <row r="99" spans="3:65">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row>
    <row r="100" spans="3:65">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row>
    <row r="101" spans="3:65">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row>
    <row r="102" spans="3:65">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row>
    <row r="103" spans="3:65">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row>
    <row r="104" spans="3:65">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row>
    <row r="105" spans="3:65">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row>
    <row r="106" spans="3:65">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row>
    <row r="107" spans="3:65">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row>
    <row r="108" spans="3:65">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row>
    <row r="109" spans="3:65">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row>
    <row r="110" spans="3:65">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row>
    <row r="111" spans="3:65">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row>
    <row r="112" spans="3:65">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row>
    <row r="113" spans="3:65">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row>
    <row r="114" spans="3:65">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row>
    <row r="115" spans="3:65">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row>
    <row r="116" spans="3:65">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row>
    <row r="117" spans="3:65">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row>
    <row r="118" spans="3:65">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row>
    <row r="119" spans="3:65">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row>
    <row r="120" spans="3:65">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row>
    <row r="121" spans="3:65">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row>
    <row r="122" spans="3:65">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row>
    <row r="123" spans="3:65">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row>
    <row r="124" spans="3:65">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row>
    <row r="125" spans="3:65">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row>
    <row r="126" spans="3:6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row>
    <row r="127" spans="3:65">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row>
    <row r="128" spans="3:65">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row>
    <row r="129" spans="4:65">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row>
    <row r="130" spans="4:65">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row>
    <row r="131" spans="4:65">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row>
    <row r="132" spans="4:65">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row>
    <row r="133" spans="4:65">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row>
    <row r="134" spans="4:65">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row>
    <row r="135" spans="4:65">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row>
    <row r="136" spans="4:65">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row>
    <row r="137" spans="4:65">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row>
    <row r="138" spans="4:65">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row>
    <row r="139" spans="4:65">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row>
    <row r="140" spans="4:65">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row>
    <row r="141" spans="4:65">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row>
    <row r="142" spans="4:65">
      <c r="D142" s="68"/>
      <c r="E142" s="68"/>
      <c r="F142" s="68"/>
      <c r="G142" s="68"/>
      <c r="H142" s="68"/>
      <c r="I142" s="68"/>
      <c r="J142" s="68"/>
      <c r="K142" s="68"/>
    </row>
    <row r="143" spans="4:65">
      <c r="D143" s="68"/>
      <c r="E143" s="68"/>
      <c r="F143" s="68"/>
      <c r="G143" s="68"/>
      <c r="H143" s="68"/>
      <c r="I143" s="68"/>
      <c r="J143" s="68"/>
      <c r="K143" s="68"/>
    </row>
    <row r="144" spans="4:65">
      <c r="D144" s="68"/>
      <c r="E144" s="68"/>
      <c r="F144" s="68"/>
      <c r="G144" s="68"/>
      <c r="H144" s="68"/>
      <c r="I144" s="68"/>
      <c r="J144" s="68"/>
      <c r="K144" s="68"/>
    </row>
    <row r="145" spans="4:11">
      <c r="D145" s="68"/>
      <c r="E145" s="68"/>
      <c r="F145" s="68"/>
      <c r="G145" s="68"/>
      <c r="H145" s="68"/>
      <c r="I145" s="68"/>
      <c r="J145" s="68"/>
      <c r="K145" s="68"/>
    </row>
  </sheetData>
  <mergeCells count="324">
    <mergeCell ref="AP2:AV2"/>
    <mergeCell ref="AP3:AV3"/>
    <mergeCell ref="AP4:AV4"/>
    <mergeCell ref="AP5:AV5"/>
    <mergeCell ref="L2:AO5"/>
    <mergeCell ref="D2:K5"/>
    <mergeCell ref="D11:F50"/>
    <mergeCell ref="AQ11:AV18"/>
    <mergeCell ref="AQ19:AV26"/>
    <mergeCell ref="AQ27:AV34"/>
    <mergeCell ref="AQ35:AV42"/>
    <mergeCell ref="G27:K34"/>
    <mergeCell ref="G43:K50"/>
    <mergeCell ref="L7:AO9"/>
    <mergeCell ref="G11:K18"/>
    <mergeCell ref="G19:K26"/>
    <mergeCell ref="G35:K42"/>
    <mergeCell ref="AF15:AG16"/>
    <mergeCell ref="AH15:AI16"/>
    <mergeCell ref="AD11:AE12"/>
    <mergeCell ref="AF11:AG12"/>
    <mergeCell ref="AD17:AE18"/>
    <mergeCell ref="AF17:AG18"/>
    <mergeCell ref="AH17:AI18"/>
    <mergeCell ref="L51:Q56"/>
    <mergeCell ref="R51:W56"/>
    <mergeCell ref="X51:AC56"/>
    <mergeCell ref="P15:Q16"/>
    <mergeCell ref="P17:Q18"/>
    <mergeCell ref="T17:U18"/>
    <mergeCell ref="V17:W18"/>
    <mergeCell ref="X11:Y12"/>
    <mergeCell ref="Z11:AA12"/>
    <mergeCell ref="AB11:AC12"/>
    <mergeCell ref="X13:Y14"/>
    <mergeCell ref="Z13:AA14"/>
    <mergeCell ref="AB13:AC14"/>
    <mergeCell ref="X15:Y16"/>
    <mergeCell ref="Z15:AA16"/>
    <mergeCell ref="T11:U12"/>
    <mergeCell ref="V11:W12"/>
    <mergeCell ref="L11:M12"/>
    <mergeCell ref="AB15:AC16"/>
    <mergeCell ref="X17:Y18"/>
    <mergeCell ref="Z17:AA18"/>
    <mergeCell ref="AB17:AC18"/>
    <mergeCell ref="L23:M24"/>
    <mergeCell ref="N23:O24"/>
    <mergeCell ref="AD51:AI56"/>
    <mergeCell ref="AJ51:AO56"/>
    <mergeCell ref="R11:S12"/>
    <mergeCell ref="R17:S18"/>
    <mergeCell ref="N11:O12"/>
    <mergeCell ref="P11:Q12"/>
    <mergeCell ref="P13:Q14"/>
    <mergeCell ref="N13:O14"/>
    <mergeCell ref="L13:M14"/>
    <mergeCell ref="L15:M16"/>
    <mergeCell ref="R13:S14"/>
    <mergeCell ref="T13:U14"/>
    <mergeCell ref="V13:W14"/>
    <mergeCell ref="R15:S16"/>
    <mergeCell ref="T15:U16"/>
    <mergeCell ref="V15:W16"/>
    <mergeCell ref="L17:M18"/>
    <mergeCell ref="N15:O16"/>
    <mergeCell ref="N17:O18"/>
    <mergeCell ref="AH11:AI12"/>
    <mergeCell ref="AD13:AE14"/>
    <mergeCell ref="AF13:AG14"/>
    <mergeCell ref="AH13:AI14"/>
    <mergeCell ref="AD15:AE16"/>
    <mergeCell ref="AD19:AE20"/>
    <mergeCell ref="AF19:AG20"/>
    <mergeCell ref="AH19:AI20"/>
    <mergeCell ref="AD21:AE22"/>
    <mergeCell ref="AF21:AG22"/>
    <mergeCell ref="AH21:AI22"/>
    <mergeCell ref="X25:Y26"/>
    <mergeCell ref="Z25:AA26"/>
    <mergeCell ref="AB25:AC26"/>
    <mergeCell ref="X19:Y20"/>
    <mergeCell ref="Z19:AA20"/>
    <mergeCell ref="AB19:AC20"/>
    <mergeCell ref="X21:Y22"/>
    <mergeCell ref="Z21:AA22"/>
    <mergeCell ref="AB21:AC22"/>
    <mergeCell ref="AD23:AE24"/>
    <mergeCell ref="AF23:AG24"/>
    <mergeCell ref="X23:Y24"/>
    <mergeCell ref="Z23:AA24"/>
    <mergeCell ref="AB23:AC24"/>
    <mergeCell ref="AH23:AI24"/>
    <mergeCell ref="AD25:AE26"/>
    <mergeCell ref="AF25:AG26"/>
    <mergeCell ref="AH25:AI26"/>
    <mergeCell ref="AD31:AE32"/>
    <mergeCell ref="AF31:AG32"/>
    <mergeCell ref="AH31:AI32"/>
    <mergeCell ref="AD33:AE34"/>
    <mergeCell ref="AF33:AG34"/>
    <mergeCell ref="AH33:AI34"/>
    <mergeCell ref="AD27:AE28"/>
    <mergeCell ref="AF27:AG28"/>
    <mergeCell ref="AH27:AI28"/>
    <mergeCell ref="AD29:AE30"/>
    <mergeCell ref="AF29:AG30"/>
    <mergeCell ref="AH29:AI30"/>
    <mergeCell ref="AD39:AE40"/>
    <mergeCell ref="AF39:AG40"/>
    <mergeCell ref="AH39:AI40"/>
    <mergeCell ref="AD41:AE42"/>
    <mergeCell ref="AF41:AG42"/>
    <mergeCell ref="AH41:AI42"/>
    <mergeCell ref="AD35:AE36"/>
    <mergeCell ref="AF35:AG36"/>
    <mergeCell ref="AH35:AI36"/>
    <mergeCell ref="AD37:AE38"/>
    <mergeCell ref="AF37:AG38"/>
    <mergeCell ref="AH37:AI38"/>
    <mergeCell ref="AD47:AE48"/>
    <mergeCell ref="AF47:AG48"/>
    <mergeCell ref="AH47:AI48"/>
    <mergeCell ref="AD49:AE50"/>
    <mergeCell ref="AF49:AG50"/>
    <mergeCell ref="AH49:AI50"/>
    <mergeCell ref="AD43:AE44"/>
    <mergeCell ref="AF43:AG44"/>
    <mergeCell ref="AH43:AI44"/>
    <mergeCell ref="AD45:AE46"/>
    <mergeCell ref="AF45:AG46"/>
    <mergeCell ref="AH45:AI46"/>
    <mergeCell ref="AJ15:AK16"/>
    <mergeCell ref="AL15:AM16"/>
    <mergeCell ref="AN15:AO16"/>
    <mergeCell ref="AJ17:AK18"/>
    <mergeCell ref="AL17:AM18"/>
    <mergeCell ref="AN17:AO18"/>
    <mergeCell ref="AJ11:AK12"/>
    <mergeCell ref="AL11:AM12"/>
    <mergeCell ref="AN11:AO12"/>
    <mergeCell ref="AJ13:AK14"/>
    <mergeCell ref="AL13:AM14"/>
    <mergeCell ref="AN13:AO14"/>
    <mergeCell ref="AJ23:AK24"/>
    <mergeCell ref="AL23:AM24"/>
    <mergeCell ref="AN23:AO24"/>
    <mergeCell ref="AJ25:AK26"/>
    <mergeCell ref="AL25:AM26"/>
    <mergeCell ref="AN25:AO26"/>
    <mergeCell ref="AJ19:AK20"/>
    <mergeCell ref="AL19:AM20"/>
    <mergeCell ref="AN19:AO20"/>
    <mergeCell ref="AJ21:AK22"/>
    <mergeCell ref="AL21:AM22"/>
    <mergeCell ref="AN21:AO22"/>
    <mergeCell ref="AJ31:AK32"/>
    <mergeCell ref="AL31:AM32"/>
    <mergeCell ref="AN31:AO32"/>
    <mergeCell ref="AJ33:AK34"/>
    <mergeCell ref="AL33:AM34"/>
    <mergeCell ref="AN33:AO34"/>
    <mergeCell ref="AJ27:AK28"/>
    <mergeCell ref="AL27:AM28"/>
    <mergeCell ref="AN27:AO28"/>
    <mergeCell ref="AJ29:AK30"/>
    <mergeCell ref="AL29:AM30"/>
    <mergeCell ref="AN29:AO30"/>
    <mergeCell ref="AJ39:AK40"/>
    <mergeCell ref="AL39:AM40"/>
    <mergeCell ref="AN39:AO40"/>
    <mergeCell ref="AJ41:AK42"/>
    <mergeCell ref="AL41:AM42"/>
    <mergeCell ref="AN41:AO42"/>
    <mergeCell ref="AJ35:AK36"/>
    <mergeCell ref="AL35:AM36"/>
    <mergeCell ref="AN35:AO36"/>
    <mergeCell ref="AJ37:AK38"/>
    <mergeCell ref="AL37:AM38"/>
    <mergeCell ref="AN37:AO38"/>
    <mergeCell ref="AJ47:AK48"/>
    <mergeCell ref="AL47:AM48"/>
    <mergeCell ref="AN47:AO48"/>
    <mergeCell ref="AJ49:AK50"/>
    <mergeCell ref="AL49:AM50"/>
    <mergeCell ref="AN49:AO50"/>
    <mergeCell ref="AJ43:AK44"/>
    <mergeCell ref="AL43:AM44"/>
    <mergeCell ref="AN43:AO44"/>
    <mergeCell ref="AJ45:AK46"/>
    <mergeCell ref="AL45:AM46"/>
    <mergeCell ref="AN45:AO46"/>
    <mergeCell ref="P23:Q24"/>
    <mergeCell ref="L25:M26"/>
    <mergeCell ref="N25:O26"/>
    <mergeCell ref="P25:Q26"/>
    <mergeCell ref="L19:M20"/>
    <mergeCell ref="N19:O20"/>
    <mergeCell ref="P19:Q20"/>
    <mergeCell ref="L21:M22"/>
    <mergeCell ref="N21:O22"/>
    <mergeCell ref="P21:Q22"/>
    <mergeCell ref="R23:S24"/>
    <mergeCell ref="T23:U24"/>
    <mergeCell ref="V23:W24"/>
    <mergeCell ref="R25:S26"/>
    <mergeCell ref="T25:U26"/>
    <mergeCell ref="V25:W26"/>
    <mergeCell ref="R19:S20"/>
    <mergeCell ref="T19:U20"/>
    <mergeCell ref="V19:W20"/>
    <mergeCell ref="R21:S22"/>
    <mergeCell ref="T21:U22"/>
    <mergeCell ref="V21:W22"/>
    <mergeCell ref="L31:M32"/>
    <mergeCell ref="N31:O32"/>
    <mergeCell ref="P31:Q32"/>
    <mergeCell ref="L33:M34"/>
    <mergeCell ref="N33:O34"/>
    <mergeCell ref="P33:Q34"/>
    <mergeCell ref="L27:M28"/>
    <mergeCell ref="N27:O28"/>
    <mergeCell ref="P27:Q28"/>
    <mergeCell ref="L29:M30"/>
    <mergeCell ref="N29:O30"/>
    <mergeCell ref="P29:Q30"/>
    <mergeCell ref="R31:S32"/>
    <mergeCell ref="T31:U32"/>
    <mergeCell ref="V31:W32"/>
    <mergeCell ref="R33:S34"/>
    <mergeCell ref="T33:U34"/>
    <mergeCell ref="V33:W34"/>
    <mergeCell ref="R27:S28"/>
    <mergeCell ref="T27:U28"/>
    <mergeCell ref="V27:W28"/>
    <mergeCell ref="R29:S30"/>
    <mergeCell ref="T29:U30"/>
    <mergeCell ref="V29:W30"/>
    <mergeCell ref="X31:Y32"/>
    <mergeCell ref="Z31:AA32"/>
    <mergeCell ref="AB31:AC32"/>
    <mergeCell ref="X33:Y34"/>
    <mergeCell ref="Z33:AA34"/>
    <mergeCell ref="AB33:AC34"/>
    <mergeCell ref="X27:Y28"/>
    <mergeCell ref="Z27:AA28"/>
    <mergeCell ref="AB27:AC28"/>
    <mergeCell ref="X29:Y30"/>
    <mergeCell ref="Z29:AA30"/>
    <mergeCell ref="AB29:AC30"/>
    <mergeCell ref="X39:Y40"/>
    <mergeCell ref="Z39:AA40"/>
    <mergeCell ref="AB39:AC40"/>
    <mergeCell ref="X41:Y42"/>
    <mergeCell ref="Z41:AA42"/>
    <mergeCell ref="AB41:AC42"/>
    <mergeCell ref="X35:Y36"/>
    <mergeCell ref="Z35:AA36"/>
    <mergeCell ref="AB35:AC36"/>
    <mergeCell ref="X37:Y38"/>
    <mergeCell ref="Z37:AA38"/>
    <mergeCell ref="AB37:AC38"/>
    <mergeCell ref="R39:S40"/>
    <mergeCell ref="T39:U40"/>
    <mergeCell ref="V39:W40"/>
    <mergeCell ref="R41:S42"/>
    <mergeCell ref="T41:U42"/>
    <mergeCell ref="V41:W42"/>
    <mergeCell ref="R35:S36"/>
    <mergeCell ref="T35:U36"/>
    <mergeCell ref="V35:W36"/>
    <mergeCell ref="R37:S38"/>
    <mergeCell ref="T37:U38"/>
    <mergeCell ref="V37:W38"/>
    <mergeCell ref="X47:Y48"/>
    <mergeCell ref="Z47:AA48"/>
    <mergeCell ref="AB47:AC48"/>
    <mergeCell ref="X49:Y50"/>
    <mergeCell ref="Z49:AA50"/>
    <mergeCell ref="AB49:AC50"/>
    <mergeCell ref="X43:Y44"/>
    <mergeCell ref="Z43:AA44"/>
    <mergeCell ref="AB43:AC44"/>
    <mergeCell ref="X45:Y46"/>
    <mergeCell ref="Z45:AA46"/>
    <mergeCell ref="AB45:AC46"/>
    <mergeCell ref="N45:O46"/>
    <mergeCell ref="P45:Q46"/>
    <mergeCell ref="L39:M40"/>
    <mergeCell ref="N39:O40"/>
    <mergeCell ref="P39:Q40"/>
    <mergeCell ref="L41:M42"/>
    <mergeCell ref="N41:O42"/>
    <mergeCell ref="P41:Q42"/>
    <mergeCell ref="L35:M36"/>
    <mergeCell ref="N35:O36"/>
    <mergeCell ref="P35:Q36"/>
    <mergeCell ref="L37:M38"/>
    <mergeCell ref="N37:O38"/>
    <mergeCell ref="P37:Q38"/>
    <mergeCell ref="A8:C8"/>
    <mergeCell ref="D7:K9"/>
    <mergeCell ref="R47:S48"/>
    <mergeCell ref="T47:U48"/>
    <mergeCell ref="V47:W48"/>
    <mergeCell ref="R49:S50"/>
    <mergeCell ref="T49:U50"/>
    <mergeCell ref="V49:W50"/>
    <mergeCell ref="R43:S44"/>
    <mergeCell ref="T43:U44"/>
    <mergeCell ref="V43:W44"/>
    <mergeCell ref="R45:S46"/>
    <mergeCell ref="T45:U46"/>
    <mergeCell ref="V45:W46"/>
    <mergeCell ref="L47:M48"/>
    <mergeCell ref="N47:O48"/>
    <mergeCell ref="P47:Q48"/>
    <mergeCell ref="L49:M50"/>
    <mergeCell ref="N49:O50"/>
    <mergeCell ref="P49:Q50"/>
    <mergeCell ref="L43:M44"/>
    <mergeCell ref="N43:O44"/>
    <mergeCell ref="P43:Q44"/>
    <mergeCell ref="L45:M4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CN254"/>
  <sheetViews>
    <sheetView showGridLines="0" topLeftCell="BA1" zoomScale="60" zoomScaleNormal="60" workbookViewId="0">
      <pane ySplit="7" topLeftCell="A41" activePane="bottomLeft" state="frozen"/>
      <selection activeCell="G11" sqref="G11:K18"/>
      <selection pane="bottomLeft" activeCell="G11" sqref="G11:K18"/>
    </sheetView>
  </sheetViews>
  <sheetFormatPr baseColWidth="10" defaultColWidth="11.5" defaultRowHeight="15"/>
  <cols>
    <col min="3" max="19" width="5.6640625" customWidth="1"/>
    <col min="20" max="20" width="6.6640625" customWidth="1"/>
    <col min="21" max="23" width="5.6640625" customWidth="1"/>
    <col min="24" max="24" width="7.5" customWidth="1"/>
    <col min="25" max="25" width="8.5" customWidth="1"/>
    <col min="26" max="26" width="12" customWidth="1"/>
    <col min="27" max="27" width="5.6640625" customWidth="1"/>
    <col min="28" max="28" width="10.6640625" customWidth="1"/>
    <col min="29" max="29" width="5.6640625" customWidth="1"/>
    <col min="30" max="30" width="7.5" customWidth="1"/>
    <col min="31" max="31" width="8.5" customWidth="1"/>
    <col min="32" max="34" width="5.6640625" customWidth="1"/>
    <col min="35" max="35" width="8.5" customWidth="1"/>
    <col min="36" max="36" width="9.6640625" customWidth="1"/>
    <col min="37" max="40" width="5.6640625" customWidth="1"/>
    <col min="42" max="47" width="5.6640625" customWidth="1"/>
    <col min="51" max="51" width="11.5" customWidth="1"/>
    <col min="63" max="63" width="11.5" customWidth="1"/>
    <col min="64" max="69" width="35.6640625" customWidth="1"/>
  </cols>
  <sheetData>
    <row r="1" spans="1:92" ht="16" thickBot="1"/>
    <row r="2" spans="1:92">
      <c r="C2" s="518" t="s">
        <v>247</v>
      </c>
      <c r="D2" s="519"/>
      <c r="E2" s="519"/>
      <c r="F2" s="519"/>
      <c r="G2" s="519"/>
      <c r="H2" s="519"/>
      <c r="I2" s="519"/>
      <c r="J2" s="520"/>
      <c r="K2" s="509" t="s">
        <v>1</v>
      </c>
      <c r="L2" s="510"/>
      <c r="M2" s="510"/>
      <c r="N2" s="510"/>
      <c r="O2" s="510"/>
      <c r="P2" s="510"/>
      <c r="Q2" s="510"/>
      <c r="R2" s="510"/>
      <c r="S2" s="510"/>
      <c r="T2" s="510"/>
      <c r="U2" s="510"/>
      <c r="V2" s="510"/>
      <c r="W2" s="510"/>
      <c r="X2" s="510"/>
      <c r="Y2" s="510"/>
      <c r="Z2" s="510"/>
      <c r="AA2" s="510"/>
      <c r="AB2" s="510"/>
      <c r="AC2" s="510"/>
      <c r="AD2" s="510"/>
      <c r="AE2" s="510"/>
      <c r="AF2" s="510"/>
      <c r="AG2" s="510"/>
      <c r="AH2" s="510"/>
      <c r="AI2" s="510"/>
      <c r="AJ2" s="510"/>
      <c r="AK2" s="510"/>
      <c r="AL2" s="510"/>
      <c r="AM2" s="510"/>
      <c r="AN2" s="511"/>
      <c r="AO2" s="292" t="s">
        <v>8</v>
      </c>
      <c r="AP2" s="506"/>
      <c r="AQ2" s="506"/>
      <c r="AR2" s="506"/>
      <c r="AS2" s="506"/>
      <c r="AT2" s="506"/>
      <c r="AU2" s="293"/>
    </row>
    <row r="3" spans="1:92">
      <c r="C3" s="521"/>
      <c r="D3" s="522"/>
      <c r="E3" s="522"/>
      <c r="F3" s="522"/>
      <c r="G3" s="522"/>
      <c r="H3" s="522"/>
      <c r="I3" s="522"/>
      <c r="J3" s="523"/>
      <c r="K3" s="512"/>
      <c r="L3" s="513"/>
      <c r="M3" s="513"/>
      <c r="N3" s="513"/>
      <c r="O3" s="513"/>
      <c r="P3" s="513"/>
      <c r="Q3" s="513"/>
      <c r="R3" s="513"/>
      <c r="S3" s="513"/>
      <c r="T3" s="513"/>
      <c r="U3" s="513"/>
      <c r="V3" s="513"/>
      <c r="W3" s="513"/>
      <c r="X3" s="513"/>
      <c r="Y3" s="513"/>
      <c r="Z3" s="513"/>
      <c r="AA3" s="513"/>
      <c r="AB3" s="513"/>
      <c r="AC3" s="513"/>
      <c r="AD3" s="513"/>
      <c r="AE3" s="513"/>
      <c r="AF3" s="513"/>
      <c r="AG3" s="513"/>
      <c r="AH3" s="513"/>
      <c r="AI3" s="513"/>
      <c r="AJ3" s="513"/>
      <c r="AK3" s="513"/>
      <c r="AL3" s="513"/>
      <c r="AM3" s="513"/>
      <c r="AN3" s="514"/>
      <c r="AO3" s="294" t="s">
        <v>3</v>
      </c>
      <c r="AP3" s="507"/>
      <c r="AQ3" s="507"/>
      <c r="AR3" s="507"/>
      <c r="AS3" s="507"/>
      <c r="AT3" s="507"/>
      <c r="AU3" s="295"/>
    </row>
    <row r="4" spans="1:92">
      <c r="C4" s="521"/>
      <c r="D4" s="522"/>
      <c r="E4" s="522"/>
      <c r="F4" s="522"/>
      <c r="G4" s="522"/>
      <c r="H4" s="522"/>
      <c r="I4" s="522"/>
      <c r="J4" s="523"/>
      <c r="K4" s="512"/>
      <c r="L4" s="513"/>
      <c r="M4" s="513"/>
      <c r="N4" s="513"/>
      <c r="O4" s="513"/>
      <c r="P4" s="513"/>
      <c r="Q4" s="513"/>
      <c r="R4" s="513"/>
      <c r="S4" s="513"/>
      <c r="T4" s="513"/>
      <c r="U4" s="513"/>
      <c r="V4" s="513"/>
      <c r="W4" s="513"/>
      <c r="X4" s="513"/>
      <c r="Y4" s="513"/>
      <c r="Z4" s="513"/>
      <c r="AA4" s="513"/>
      <c r="AB4" s="513"/>
      <c r="AC4" s="513"/>
      <c r="AD4" s="513"/>
      <c r="AE4" s="513"/>
      <c r="AF4" s="513"/>
      <c r="AG4" s="513"/>
      <c r="AH4" s="513"/>
      <c r="AI4" s="513"/>
      <c r="AJ4" s="513"/>
      <c r="AK4" s="513"/>
      <c r="AL4" s="513"/>
      <c r="AM4" s="513"/>
      <c r="AN4" s="514"/>
      <c r="AO4" s="294" t="s">
        <v>4</v>
      </c>
      <c r="AP4" s="507" t="s">
        <v>249</v>
      </c>
      <c r="AQ4" s="507"/>
      <c r="AR4" s="507"/>
      <c r="AS4" s="507"/>
      <c r="AT4" s="507"/>
      <c r="AU4" s="295"/>
    </row>
    <row r="5" spans="1:92" ht="16" thickBot="1">
      <c r="C5" s="524"/>
      <c r="D5" s="525"/>
      <c r="E5" s="525"/>
      <c r="F5" s="525"/>
      <c r="G5" s="525"/>
      <c r="H5" s="525"/>
      <c r="I5" s="525"/>
      <c r="J5" s="526"/>
      <c r="K5" s="515"/>
      <c r="L5" s="516"/>
      <c r="M5" s="516"/>
      <c r="N5" s="516"/>
      <c r="O5" s="516"/>
      <c r="P5" s="516"/>
      <c r="Q5" s="516"/>
      <c r="R5" s="516"/>
      <c r="S5" s="516"/>
      <c r="T5" s="516"/>
      <c r="U5" s="516"/>
      <c r="V5" s="516"/>
      <c r="W5" s="516"/>
      <c r="X5" s="516"/>
      <c r="Y5" s="516"/>
      <c r="Z5" s="516"/>
      <c r="AA5" s="516"/>
      <c r="AB5" s="516"/>
      <c r="AC5" s="516"/>
      <c r="AD5" s="516"/>
      <c r="AE5" s="516"/>
      <c r="AF5" s="516"/>
      <c r="AG5" s="516"/>
      <c r="AH5" s="516"/>
      <c r="AI5" s="516"/>
      <c r="AJ5" s="516"/>
      <c r="AK5" s="516"/>
      <c r="AL5" s="516"/>
      <c r="AM5" s="516"/>
      <c r="AN5" s="517"/>
      <c r="AO5" s="296" t="s">
        <v>5</v>
      </c>
      <c r="AP5" s="508" t="s">
        <v>5</v>
      </c>
      <c r="AQ5" s="508"/>
      <c r="AR5" s="508"/>
      <c r="AS5" s="508"/>
      <c r="AT5" s="508"/>
      <c r="AU5" s="297"/>
    </row>
    <row r="7" spans="1:92">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row>
    <row r="8" spans="1:92" ht="18" customHeight="1">
      <c r="A8" s="566" t="s">
        <v>9</v>
      </c>
      <c r="B8" s="566"/>
      <c r="C8" s="596" t="s">
        <v>266</v>
      </c>
      <c r="D8" s="597"/>
      <c r="E8" s="597"/>
      <c r="F8" s="597"/>
      <c r="G8" s="597"/>
      <c r="H8" s="597"/>
      <c r="I8" s="597"/>
      <c r="J8" s="597"/>
      <c r="K8" s="598" t="s">
        <v>56</v>
      </c>
      <c r="L8" s="598"/>
      <c r="M8" s="598"/>
      <c r="N8" s="598"/>
      <c r="O8" s="598"/>
      <c r="P8" s="598"/>
      <c r="Q8" s="598"/>
      <c r="R8" s="598"/>
      <c r="S8" s="598"/>
      <c r="T8" s="598"/>
      <c r="U8" s="598"/>
      <c r="V8" s="598"/>
      <c r="W8" s="598"/>
      <c r="X8" s="598"/>
      <c r="Y8" s="598"/>
      <c r="Z8" s="598"/>
      <c r="AA8" s="598"/>
      <c r="AB8" s="598"/>
      <c r="AC8" s="598"/>
      <c r="AD8" s="598"/>
      <c r="AE8" s="598"/>
      <c r="AF8" s="598"/>
      <c r="AG8" s="598"/>
      <c r="AH8" s="598"/>
      <c r="AI8" s="598"/>
      <c r="AJ8" s="598"/>
      <c r="AK8" s="598"/>
      <c r="AL8" s="598"/>
      <c r="AM8" s="598"/>
      <c r="AN8" s="59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row>
    <row r="9" spans="1:92" ht="18.75" customHeight="1">
      <c r="B9" s="68"/>
      <c r="C9" s="597"/>
      <c r="D9" s="597"/>
      <c r="E9" s="597"/>
      <c r="F9" s="597"/>
      <c r="G9" s="597"/>
      <c r="H9" s="597"/>
      <c r="I9" s="597"/>
      <c r="J9" s="597"/>
      <c r="K9" s="598"/>
      <c r="L9" s="598"/>
      <c r="M9" s="598"/>
      <c r="N9" s="598"/>
      <c r="O9" s="598"/>
      <c r="P9" s="598"/>
      <c r="Q9" s="598"/>
      <c r="R9" s="598"/>
      <c r="S9" s="598"/>
      <c r="T9" s="598"/>
      <c r="U9" s="598"/>
      <c r="V9" s="598"/>
      <c r="W9" s="598"/>
      <c r="X9" s="598"/>
      <c r="Y9" s="598"/>
      <c r="Z9" s="598"/>
      <c r="AA9" s="598"/>
      <c r="AB9" s="598"/>
      <c r="AC9" s="598"/>
      <c r="AD9" s="598"/>
      <c r="AE9" s="598"/>
      <c r="AF9" s="598"/>
      <c r="AG9" s="598"/>
      <c r="AH9" s="598"/>
      <c r="AI9" s="598"/>
      <c r="AJ9" s="598"/>
      <c r="AK9" s="598"/>
      <c r="AL9" s="598"/>
      <c r="AM9" s="598"/>
      <c r="AN9" s="59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row>
    <row r="10" spans="1:92" ht="15" customHeight="1">
      <c r="B10" s="68"/>
      <c r="C10" s="597"/>
      <c r="D10" s="597"/>
      <c r="E10" s="597"/>
      <c r="F10" s="597"/>
      <c r="G10" s="597"/>
      <c r="H10" s="597"/>
      <c r="I10" s="597"/>
      <c r="J10" s="597"/>
      <c r="K10" s="598"/>
      <c r="L10" s="598"/>
      <c r="M10" s="598"/>
      <c r="N10" s="598"/>
      <c r="O10" s="598"/>
      <c r="P10" s="598"/>
      <c r="Q10" s="598"/>
      <c r="R10" s="598"/>
      <c r="S10" s="598"/>
      <c r="T10" s="598"/>
      <c r="U10" s="598"/>
      <c r="V10" s="598"/>
      <c r="W10" s="598"/>
      <c r="X10" s="598"/>
      <c r="Y10" s="598"/>
      <c r="Z10" s="598"/>
      <c r="AA10" s="598"/>
      <c r="AB10" s="598"/>
      <c r="AC10" s="598"/>
      <c r="AD10" s="598"/>
      <c r="AE10" s="598"/>
      <c r="AF10" s="598"/>
      <c r="AG10" s="598"/>
      <c r="AH10" s="598"/>
      <c r="AI10" s="598"/>
      <c r="AJ10" s="598"/>
      <c r="AK10" s="598"/>
      <c r="AL10" s="598"/>
      <c r="AM10" s="598"/>
      <c r="AN10" s="59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row>
    <row r="11" spans="1:92" ht="16" thickBot="1">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92" ht="15" customHeight="1">
      <c r="B12" s="68"/>
      <c r="C12" s="527" t="s">
        <v>251</v>
      </c>
      <c r="D12" s="527"/>
      <c r="E12" s="528"/>
      <c r="F12" s="567" t="s">
        <v>252</v>
      </c>
      <c r="G12" s="568"/>
      <c r="H12" s="568"/>
      <c r="I12" s="568"/>
      <c r="J12" s="568"/>
      <c r="K12" s="32"/>
      <c r="L12" s="33" t="e">
        <f>IF(AND('Mapa final'!#REF!="Muy Alta",'Mapa final'!#REF!="Leve"),CONCATENATE("R2C",'Mapa final'!$R$15),"")</f>
        <v>#REF!</v>
      </c>
      <c r="M12" s="33" t="e">
        <f>IF(AND('Mapa final'!#REF!="Muy Alta",'Mapa final'!#REF!="Leve"),CONCATENATE("R2C",'Mapa final'!#REF!),"")</f>
        <v>#REF!</v>
      </c>
      <c r="N12" s="33" t="e">
        <f>IF(AND('Mapa final'!#REF!="Muy Alta",'Mapa final'!#REF!="Leve"),CONCATENATE("R2C",'Mapa final'!#REF!),"")</f>
        <v>#REF!</v>
      </c>
      <c r="O12" s="33" t="e">
        <f>IF(AND('Mapa final'!#REF!="Muy Alta",'Mapa final'!#REF!="Leve"),CONCATENATE("R2C",'Mapa final'!#REF!),"")</f>
        <v>#REF!</v>
      </c>
      <c r="P12" s="34" t="e">
        <f>IF(AND('Mapa final'!#REF!="Muy Alta",'Mapa final'!#REF!="Leve"),CONCATENATE("R2C",'Mapa final'!#REF!),"")</f>
        <v>#REF!</v>
      </c>
      <c r="Q12" s="33"/>
      <c r="R12" s="33" t="e">
        <f>IF(AND('Mapa final'!#REF!="Muy Alta",'Mapa final'!#REF!="Menore"),CONCATENATE("R2C",'Mapa final'!$R$15),"")</f>
        <v>#REF!</v>
      </c>
      <c r="S12" s="33" t="e">
        <f>IF(AND('Mapa final'!#REF!="Muy Alta",'Mapa final'!#REF!="Menor"),CONCATENATE("R2C",'Mapa final'!#REF!),"")</f>
        <v>#REF!</v>
      </c>
      <c r="T12" s="33" t="e">
        <f>IF(AND('Mapa final'!#REF!="Muy Alta",'Mapa final'!#REF!="Menor"),CONCATENATE("R2C",'Mapa final'!#REF!),"")</f>
        <v>#REF!</v>
      </c>
      <c r="U12" s="33" t="e">
        <f>IF(AND('Mapa final'!#REF!="Muy Alta",'Mapa final'!#REF!="Menor"),CONCATENATE("R2C",'Mapa final'!#REF!),"")</f>
        <v>#REF!</v>
      </c>
      <c r="V12" s="34" t="e">
        <f>IF(AND('Mapa final'!#REF!="Muy Alta",'Mapa final'!#REF!="Menor"),CONCATENATE("R2C",'Mapa final'!#REF!),"")</f>
        <v>#REF!</v>
      </c>
      <c r="W12" s="32"/>
      <c r="X12" s="33" t="e">
        <f>IF(AND('Mapa final'!#REF!="Muy Alta",'Mapa final'!#REF!="Moderado"),CONCATENATE("R2C",'Mapa final'!$R$15),"")</f>
        <v>#REF!</v>
      </c>
      <c r="Y12" s="33"/>
      <c r="Z12" s="33" t="e">
        <f>IF(AND('Mapa final'!#REF!="Muy Alta",'Mapa final'!#REF!="Moderado"),CONCATENATE("R2C",'Mapa final'!#REF!),"")</f>
        <v>#REF!</v>
      </c>
      <c r="AA12" s="33" t="e">
        <f>IF(AND('Mapa final'!#REF!="Muy Alta",'Mapa final'!#REF!="Moderado"),CONCATENATE("R2C",'Mapa final'!#REF!),"")</f>
        <v>#REF!</v>
      </c>
      <c r="AB12" s="34" t="e">
        <f>IF(AND('Mapa final'!#REF!="Muy Alta",'Mapa final'!#REF!="Moderado"),CONCATENATE("R2C",'Mapa final'!#REF!),"")</f>
        <v>#REF!</v>
      </c>
      <c r="AC12" s="32"/>
      <c r="AD12" s="33" t="e">
        <f>IF(AND('Mapa final'!#REF!="Muy Alta",'Mapa final'!#REF!="Mayor"),CONCATENATE("R2C",'Mapa final'!$R$15),"")</f>
        <v>#REF!</v>
      </c>
      <c r="AE12" s="33" t="e">
        <f>IF(AND('Mapa final'!#REF!="Muy Alta",'Mapa final'!#REF!="Mayor"),CONCATENATE("R2C",'Mapa final'!#REF!),"")</f>
        <v>#REF!</v>
      </c>
      <c r="AF12" s="33" t="e">
        <f>IF(AND('Mapa final'!#REF!="Muy Alta",'Mapa final'!#REF!="Mayor"),CONCATENATE("R2C",'Mapa final'!#REF!),"")</f>
        <v>#REF!</v>
      </c>
      <c r="AG12" s="33" t="e">
        <f>IF(AND('Mapa final'!#REF!="Muy Alta",'Mapa final'!#REF!="Mayor"),CONCATENATE("R2C",'Mapa final'!#REF!),"")</f>
        <v>#REF!</v>
      </c>
      <c r="AH12" s="34" t="e">
        <f>IF(AND('Mapa final'!#REF!="Muy Alta",'Mapa final'!#REF!="Mayor"),CONCATENATE("R2C",'Mapa final'!#REF!),"")</f>
        <v>#REF!</v>
      </c>
      <c r="AI12" s="35"/>
      <c r="AJ12" s="36" t="e">
        <f>IF(AND('Mapa final'!#REF!="Muy Alta",'Mapa final'!#REF!="Catastrófico"),CONCATENATE("R2C",'Mapa final'!$R$15),"")</f>
        <v>#REF!</v>
      </c>
      <c r="AK12" s="36" t="e">
        <f>IF(AND('Mapa final'!#REF!="Muy Alta",'Mapa final'!#REF!="Catastrófico"),CONCATENATE("R2C",'Mapa final'!#REF!),"")</f>
        <v>#REF!</v>
      </c>
      <c r="AL12" s="36" t="e">
        <f>IF(AND('Mapa final'!#REF!="Muy Alta",'Mapa final'!#REF!="Catastrófico"),CONCATENATE("R2C",'Mapa final'!#REF!),"")</f>
        <v>#REF!</v>
      </c>
      <c r="AM12" s="36" t="e">
        <f>IF(AND('Mapa final'!#REF!="Muy Alta",'Mapa final'!#REF!="Catastrófico"),CONCATENATE("R2C",'Mapa final'!#REF!),"")</f>
        <v>#REF!</v>
      </c>
      <c r="AN12" s="37" t="e">
        <f>IF(AND('Mapa final'!#REF!="Muy Alta",'Mapa final'!#REF!="Catastrófico"),CONCATENATE("R2C",'Mapa final'!#REF!),"")</f>
        <v>#REF!</v>
      </c>
      <c r="AO12" s="68"/>
      <c r="AP12" s="587" t="s">
        <v>253</v>
      </c>
      <c r="AQ12" s="588"/>
      <c r="AR12" s="588"/>
      <c r="AS12" s="588"/>
      <c r="AT12" s="588"/>
      <c r="AU12" s="589"/>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row>
    <row r="13" spans="1:92" ht="15" customHeight="1">
      <c r="B13" s="68"/>
      <c r="C13" s="527"/>
      <c r="D13" s="527"/>
      <c r="E13" s="528"/>
      <c r="F13" s="570"/>
      <c r="G13" s="571"/>
      <c r="H13" s="571"/>
      <c r="I13" s="571"/>
      <c r="J13" s="571"/>
      <c r="K13" s="38" t="e">
        <f>IF(AND('Mapa final'!#REF!="Muy Alta",'Mapa final'!#REF!="Leve"),CONCATENATE("R2C",'Mapa final'!#REF!),"")</f>
        <v>#REF!</v>
      </c>
      <c r="L13" s="39" t="e">
        <f>IF(AND('Mapa final'!#REF!="Muy Alta",'Mapa final'!#REF!="Leve"),CONCATENATE("R2C",'Mapa final'!#REF!),"")</f>
        <v>#REF!</v>
      </c>
      <c r="M13" s="39" t="str">
        <f>IF(AND('Mapa final'!$AH$24="Muy Alta",'Mapa final'!$AJ$24="Leve"),CONCATENATE("R2C",'Mapa final'!$R$24),"")</f>
        <v/>
      </c>
      <c r="N13" s="39" t="str">
        <f>IF(AND('Mapa final'!$AH$25="Muy Alta",'Mapa final'!$AJ$25="Leve"),CONCATENATE("R2C",'Mapa final'!$R$25),"")</f>
        <v/>
      </c>
      <c r="O13" s="39" t="str">
        <f>IF(AND('Mapa final'!$AH$26="Muy Alta",'Mapa final'!$AJ$26="Leve"),CONCATENATE("R2C",'Mapa final'!$R$26),"")</f>
        <v/>
      </c>
      <c r="P13" s="40" t="str">
        <f>IF(AND('Mapa final'!$AH$27="Muy Alta",'Mapa final'!$AJ$27="Leve"),CONCATENATE("R2C",'Mapa final'!$R$27),"")</f>
        <v/>
      </c>
      <c r="Q13" s="39" t="e">
        <f>IF(AND('Mapa final'!#REF!="Muy Alta",'Mapa final'!#REF!="Menor"),CONCATENATE("R2C",'Mapa final'!#REF!),"")</f>
        <v>#REF!</v>
      </c>
      <c r="R13" s="39" t="e">
        <f>IF(AND('Mapa final'!#REF!="Muy Alta",'Mapa final'!#REF!="Menor"),CONCATENATE("R2C",'Mapa final'!#REF!),"")</f>
        <v>#REF!</v>
      </c>
      <c r="S13" s="39" t="str">
        <f>IF(AND('Mapa final'!$AH$24="Muy Alta",'Mapa final'!$AJ$24="Menor"),CONCATENATE("R2C",'Mapa final'!$R$24),"")</f>
        <v/>
      </c>
      <c r="T13" s="39" t="str">
        <f>IF(AND('Mapa final'!$AH$25="Muy Alta",'Mapa final'!$AJ$25="Menor"),CONCATENATE("R2C",'Mapa final'!$R$25),"")</f>
        <v/>
      </c>
      <c r="U13" s="39" t="str">
        <f>IF(AND('Mapa final'!$AH$26="Muy Alta",'Mapa final'!$AJ$26="Menor"),CONCATENATE("R2C",'Mapa final'!$R$26),"")</f>
        <v/>
      </c>
      <c r="V13" s="40" t="str">
        <f>IF(AND('Mapa final'!$AH$27="Muy Alta",'Mapa final'!$AJ$27="Menor"),CONCATENATE("R2C",'Mapa final'!$R$27),"")</f>
        <v/>
      </c>
      <c r="W13" s="38" t="e">
        <f>IF(AND('Mapa final'!#REF!="Muy Alta",'Mapa final'!#REF!="Moderado"),CONCATENATE("R2C",'Mapa final'!#REF!),"")</f>
        <v>#REF!</v>
      </c>
      <c r="X13" s="39" t="e">
        <f>IF(AND('Mapa final'!#REF!="Muy Alta",'Mapa final'!#REF!="Moderado"),CONCATENATE("R2C",'Mapa final'!#REF!),"")</f>
        <v>#REF!</v>
      </c>
      <c r="Y13" s="39" t="str">
        <f>IF(AND('Mapa final'!$AH$24="Muy Alta",'Mapa final'!$AJ$24="Moderado"),CONCATENATE("R2C",'Mapa final'!$R$24),"")</f>
        <v/>
      </c>
      <c r="Z13" s="39" t="str">
        <f>IF(AND('Mapa final'!$AH$25="Muy Alta",'Mapa final'!$AJ$25="Moderado"),CONCATENATE("R2C",'Mapa final'!$R$25),"")</f>
        <v/>
      </c>
      <c r="AA13" s="39" t="str">
        <f>IF(AND('Mapa final'!$AH$26="Muy Alta",'Mapa final'!$AJ$26="Moderado"),CONCATENATE("R2C",'Mapa final'!$R$26),"")</f>
        <v/>
      </c>
      <c r="AB13" s="40" t="str">
        <f>IF(AND('Mapa final'!$AH$27="Muy Alta",'Mapa final'!$AJ$27="Moderado"),CONCATENATE("R2C",'Mapa final'!$R$27),"")</f>
        <v/>
      </c>
      <c r="AC13" s="38" t="e">
        <f>IF(AND('Mapa final'!#REF!="Muy Alta",'Mapa final'!#REF!="Mayor"),CONCATENATE("R2C",'Mapa final'!#REF!),"")</f>
        <v>#REF!</v>
      </c>
      <c r="AD13" s="39" t="e">
        <f>IF(AND('Mapa final'!#REF!="Muy Alta",'Mapa final'!#REF!="Mayor"),CONCATENATE("R2C",'Mapa final'!#REF!),"")</f>
        <v>#REF!</v>
      </c>
      <c r="AE13" s="39" t="str">
        <f>IF(AND('Mapa final'!$AH$24="Muy Alta",'Mapa final'!$AJ$24="Mayor"),CONCATENATE("R2C",'Mapa final'!$R$24),"")</f>
        <v/>
      </c>
      <c r="AF13" s="39" t="str">
        <f>IF(AND('Mapa final'!$AH$25="Muy Alta",'Mapa final'!$AJ$25="Mayor"),CONCATENATE("R2C",'Mapa final'!$R$25),"")</f>
        <v/>
      </c>
      <c r="AG13" s="39" t="str">
        <f>IF(AND('Mapa final'!$AH$26="Muy Alta",'Mapa final'!$AJ$26="Mayor"),CONCATENATE("R2C",'Mapa final'!$R$26),"")</f>
        <v/>
      </c>
      <c r="AH13" s="40" t="str">
        <f>IF(AND('Mapa final'!$AH$27="Muy Alta",'Mapa final'!$AJ$27="Mayor"),CONCATENATE("R2C",'Mapa final'!$R$27),"")</f>
        <v/>
      </c>
      <c r="AI13" s="41" t="e">
        <f>IF(AND('Mapa final'!#REF!="Muy Alta",'Mapa final'!#REF!="Catastrófico"),CONCATENATE("R2C",'Mapa final'!#REF!),"")</f>
        <v>#REF!</v>
      </c>
      <c r="AJ13" s="42" t="e">
        <f>IF(AND('Mapa final'!#REF!="Muy Alta",'Mapa final'!#REF!="Catastrófico"),CONCATENATE("R2C",'Mapa final'!#REF!),"")</f>
        <v>#REF!</v>
      </c>
      <c r="AK13" s="42" t="str">
        <f>IF(AND('Mapa final'!$AH$24="Muy Alta",'Mapa final'!$AJ$24="Catastrófico"),CONCATENATE("R2C",'Mapa final'!$R$24),"")</f>
        <v/>
      </c>
      <c r="AL13" s="42" t="str">
        <f>IF(AND('Mapa final'!$AH$25="Muy Alta",'Mapa final'!$AJ$25="Catastrófico"),CONCATENATE("R2C",'Mapa final'!$R$25),"")</f>
        <v/>
      </c>
      <c r="AM13" s="42" t="str">
        <f>IF(AND('Mapa final'!$AH$26="Muy Alta",'Mapa final'!$AJ$26="Catastrófico"),CONCATENATE("R2C",'Mapa final'!$R$26),"")</f>
        <v/>
      </c>
      <c r="AN13" s="43" t="str">
        <f>IF(AND('Mapa final'!$AH$27="Muy Alta",'Mapa final'!$AJ$27="Catastrófico"),CONCATENATE("R2C",'Mapa final'!$R$27),"")</f>
        <v/>
      </c>
      <c r="AO13" s="68"/>
      <c r="AP13" s="590"/>
      <c r="AQ13" s="591"/>
      <c r="AR13" s="591"/>
      <c r="AS13" s="591"/>
      <c r="AT13" s="591"/>
      <c r="AU13" s="592"/>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row>
    <row r="14" spans="1:92" ht="15" customHeight="1">
      <c r="B14" s="68"/>
      <c r="C14" s="527"/>
      <c r="D14" s="527"/>
      <c r="E14" s="528"/>
      <c r="F14" s="570"/>
      <c r="G14" s="571"/>
      <c r="H14" s="571"/>
      <c r="I14" s="571"/>
      <c r="J14" s="571"/>
      <c r="K14" s="38" t="str">
        <f>IF(AND('Mapa final'!$AH$28="Muy Alta",'Mapa final'!$AJ$28="Leve"),CONCATENATE("R2C",'Mapa final'!$R$28),"")</f>
        <v/>
      </c>
      <c r="L14" s="39" t="str">
        <f>IF(AND('Mapa final'!$AH$29="Muy Alta",'Mapa final'!$AJ$29="Leve"),CONCATENATE("R2C",'Mapa final'!$R$29),"")</f>
        <v/>
      </c>
      <c r="M14" s="39" t="str">
        <f>IF(AND('Mapa final'!$AH$30="Muy Alta",'Mapa final'!$AJ$30="Leve"),CONCATENATE("R2C",'Mapa final'!$R$30),"")</f>
        <v/>
      </c>
      <c r="N14" s="39" t="str">
        <f>IF(AND('Mapa final'!$AH$31="Muy Alta",'Mapa final'!$AJ$31="Leve"),CONCATENATE("R2C",'Mapa final'!$R$31),"")</f>
        <v/>
      </c>
      <c r="O14" s="39" t="str">
        <f>IF(AND('Mapa final'!$AH$32="Muy Alta",'Mapa final'!$AJ$32="Leve"),CONCATENATE("R2C",'Mapa final'!$R$32),"")</f>
        <v/>
      </c>
      <c r="P14" s="40" t="str">
        <f>IF(AND('Mapa final'!$AH$33="Muy Alta",'Mapa final'!$AJ$33="Leve"),CONCATENATE("R2C",'Mapa final'!$R$33),"")</f>
        <v/>
      </c>
      <c r="Q14" s="39" t="str">
        <f>IF(AND('Mapa final'!$AH$28="Muy Alta",'Mapa final'!$AJ$28="Menor"),CONCATENATE("R2C",'Mapa final'!$R$28),"")</f>
        <v/>
      </c>
      <c r="R14" s="39" t="str">
        <f>IF(AND('Mapa final'!$AH$29="Muy Alta",'Mapa final'!$AJ$29="Menor"),CONCATENATE("R2C",'Mapa final'!$R$29),"")</f>
        <v/>
      </c>
      <c r="S14" s="39" t="str">
        <f>IF(AND('Mapa final'!$AH$30="Muy Alta",'Mapa final'!$AJ$30="Menor"),CONCATENATE("R2C",'Mapa final'!$R$30),"")</f>
        <v/>
      </c>
      <c r="T14" s="39" t="str">
        <f>IF(AND('Mapa final'!$AH$31="Muy Alta",'Mapa final'!$AJ$31="Menor"),CONCATENATE("R2C",'Mapa final'!$R$31),"")</f>
        <v/>
      </c>
      <c r="U14" s="39" t="str">
        <f>IF(AND('Mapa final'!$AH$32="Muy Alta",'Mapa final'!$AJ$32="Menor"),CONCATENATE("R2C",'Mapa final'!$R$32),"")</f>
        <v/>
      </c>
      <c r="V14" s="40" t="str">
        <f>IF(AND('Mapa final'!$AH$33="Muy Alta",'Mapa final'!$AJ$33="Menor"),CONCATENATE("R2C",'Mapa final'!$R$33),"")</f>
        <v/>
      </c>
      <c r="W14" s="38" t="str">
        <f>IF(AND('Mapa final'!$AH$28="Muy Alta",'Mapa final'!$AJ$28="Moderado"),CONCATENATE("R2C",'Mapa final'!$R$28),"")</f>
        <v/>
      </c>
      <c r="X14" s="39" t="str">
        <f>IF(AND('Mapa final'!$AH$29="Muy Alta",'Mapa final'!$AJ$29="Moderado"),CONCATENATE("R2C",'Mapa final'!$R$29),"")</f>
        <v/>
      </c>
      <c r="Y14" s="39" t="str">
        <f>IF(AND('Mapa final'!$AH$30="Muy Alta",'Mapa final'!$AJ$30="Moderado"),CONCATENATE("R2C",'Mapa final'!$R$30),"")</f>
        <v/>
      </c>
      <c r="Z14" s="39" t="str">
        <f>IF(AND('Mapa final'!$AH$31="Muy Alta",'Mapa final'!$AJ$31="Moderado"),CONCATENATE("R2C",'Mapa final'!$R$31),"")</f>
        <v/>
      </c>
      <c r="AA14" s="39" t="str">
        <f>IF(AND('Mapa final'!$AH$32="Muy Alta",'Mapa final'!$AJ$32="Moderado"),CONCATENATE("R2C",'Mapa final'!$R$32),"")</f>
        <v/>
      </c>
      <c r="AB14" s="40" t="str">
        <f>IF(AND('Mapa final'!$AH$33="Muy Alta",'Mapa final'!$AJ$33="Moderado"),CONCATENATE("R2C",'Mapa final'!$R$33),"")</f>
        <v/>
      </c>
      <c r="AC14" s="38" t="str">
        <f>IF(AND('Mapa final'!$AH$28="Muy Alta",'Mapa final'!$AJ$28="Mayor"),CONCATENATE("R2C",'Mapa final'!$R$28),"")</f>
        <v/>
      </c>
      <c r="AD14" s="39" t="str">
        <f>IF(AND('Mapa final'!$AH$29="Muy Alta",'Mapa final'!$AJ$29="Mayor"),CONCATENATE("R2C",'Mapa final'!$R$29),"")</f>
        <v/>
      </c>
      <c r="AE14" s="39" t="str">
        <f>IF(AND('Mapa final'!$AH$30="Muy Alta",'Mapa final'!$AJ$30="Mayor"),CONCATENATE("R2C",'Mapa final'!$R$30),"")</f>
        <v/>
      </c>
      <c r="AF14" s="39" t="str">
        <f>IF(AND('Mapa final'!$AH$31="Muy Alta",'Mapa final'!$AJ$31="Mayor"),CONCATENATE("R2C",'Mapa final'!$R$31),"")</f>
        <v/>
      </c>
      <c r="AG14" s="39" t="str">
        <f>IF(AND('Mapa final'!$AH$32="Muy Alta",'Mapa final'!$AJ$32="Mayor"),CONCATENATE("R2C",'Mapa final'!$R$32),"")</f>
        <v/>
      </c>
      <c r="AH14" s="40" t="str">
        <f>IF(AND('Mapa final'!$AH$33="Muy Alta",'Mapa final'!$AJ$33="Mayor"),CONCATENATE("R2C",'Mapa final'!$R$33),"")</f>
        <v/>
      </c>
      <c r="AI14" s="41" t="str">
        <f>IF(AND('Mapa final'!$AH$28="Muy Alta",'Mapa final'!$AJ$28="Catastrófico"),CONCATENATE("R2C",'Mapa final'!$R$28),"")</f>
        <v/>
      </c>
      <c r="AJ14" s="42" t="str">
        <f>IF(AND('Mapa final'!$AH$29="Muy Alta",'Mapa final'!$AJ$29="Catastrófico"),CONCATENATE("R2C",'Mapa final'!$R$29),"")</f>
        <v/>
      </c>
      <c r="AK14" s="42" t="str">
        <f>IF(AND('Mapa final'!$AH$30="Muy Alta",'Mapa final'!$AJ$30="Catastrófico"),CONCATENATE("R2C",'Mapa final'!$R$30),"")</f>
        <v/>
      </c>
      <c r="AL14" s="42" t="str">
        <f>IF(AND('Mapa final'!$AH$31="Muy Alta",'Mapa final'!$AJ$31="Catastrófico"),CONCATENATE("R2C",'Mapa final'!$R$31),"")</f>
        <v/>
      </c>
      <c r="AM14" s="42" t="str">
        <f>IF(AND('Mapa final'!$AH$32="Muy Alta",'Mapa final'!$AJ$32="Catastrófico"),CONCATENATE("R2C",'Mapa final'!$R$32),"")</f>
        <v/>
      </c>
      <c r="AN14" s="43" t="str">
        <f>IF(AND('Mapa final'!$AH$33="Muy Alta",'Mapa final'!$AJ$33="Catastrófico"),CONCATENATE("R2C",'Mapa final'!$R$33),"")</f>
        <v/>
      </c>
      <c r="AO14" s="68"/>
      <c r="AP14" s="590"/>
      <c r="AQ14" s="591"/>
      <c r="AR14" s="591"/>
      <c r="AS14" s="591"/>
      <c r="AT14" s="591"/>
      <c r="AU14" s="592"/>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row>
    <row r="15" spans="1:92" ht="15" customHeight="1">
      <c r="B15" s="68"/>
      <c r="C15" s="527"/>
      <c r="D15" s="527"/>
      <c r="E15" s="528"/>
      <c r="F15" s="570"/>
      <c r="G15" s="571"/>
      <c r="H15" s="571"/>
      <c r="I15" s="571"/>
      <c r="J15" s="571"/>
      <c r="K15" s="38" t="str">
        <f>IF(AND('Mapa final'!$AH$34="Muy Alta",'Mapa final'!$AJ$34="Leve"),CONCATENATE("R2C",'Mapa final'!$R$34),"")</f>
        <v/>
      </c>
      <c r="L15" s="39" t="str">
        <f>IF(AND('Mapa final'!$AH$35="Muy Alta",'Mapa final'!$AJ$35="Leve"),CONCATENATE("R2C",'Mapa final'!$R$35),"")</f>
        <v/>
      </c>
      <c r="M15" s="39" t="str">
        <f>IF(AND('Mapa final'!$AH$36="Muy Alta",'Mapa final'!$AJ$36="Leve"),CONCATENATE("R2C",'Mapa final'!$R$36),"")</f>
        <v/>
      </c>
      <c r="N15" s="39" t="str">
        <f>IF(AND('Mapa final'!$AH$37="Muy Alta",'Mapa final'!$AJ$37="Leve"),CONCATENATE("R2C",'Mapa final'!$R$37),"")</f>
        <v/>
      </c>
      <c r="O15" s="39" t="str">
        <f>IF(AND('Mapa final'!$AH$38="Muy Alta",'Mapa final'!$AJ$38="Leve"),CONCATENATE("R2C",'Mapa final'!$R$38),"")</f>
        <v/>
      </c>
      <c r="P15" s="40" t="str">
        <f>IF(AND('Mapa final'!$AH$39="Muy Alta",'Mapa final'!$AJ$39="Leve"),CONCATENATE("R2C",'Mapa final'!$R$39),"")</f>
        <v/>
      </c>
      <c r="Q15" s="39" t="str">
        <f>IF(AND('Mapa final'!$AH$34="Muy Alta",'Mapa final'!$AJ$34="Menor"),CONCATENATE("R2C",'Mapa final'!$R$34),"")</f>
        <v/>
      </c>
      <c r="R15" s="39" t="str">
        <f>IF(AND('Mapa final'!$AH$35="Muy Alta",'Mapa final'!$AJ$35="Menor"),CONCATENATE("R2C",'Mapa final'!$R$35),"")</f>
        <v/>
      </c>
      <c r="S15" s="39" t="str">
        <f>IF(AND('Mapa final'!$AH$36="Muy Alta",'Mapa final'!$AJ$36="Menor"),CONCATENATE("R2C",'Mapa final'!$R$36),"")</f>
        <v/>
      </c>
      <c r="T15" s="39" t="str">
        <f>IF(AND('Mapa final'!$AH$37="Muy Alta",'Mapa final'!$AJ$37="Menor"),CONCATENATE("R2C",'Mapa final'!$R$37),"")</f>
        <v/>
      </c>
      <c r="U15" s="39" t="str">
        <f>IF(AND('Mapa final'!$AH$38="Muy Alta",'Mapa final'!$AJ$38="LMenor"),CONCATENATE("R2C",'Mapa final'!$R$38),"")</f>
        <v/>
      </c>
      <c r="V15" s="40" t="str">
        <f>IF(AND('Mapa final'!$AH$39="Muy Alta",'Mapa final'!$AJ$39="Menor"),CONCATENATE("R2C",'Mapa final'!$R$39),"")</f>
        <v/>
      </c>
      <c r="W15" s="38" t="str">
        <f>IF(AND('Mapa final'!$AH$34="Muy Alta",'Mapa final'!$AJ$34="Moderado"),CONCATENATE("R2C",'Mapa final'!$R$34),"")</f>
        <v/>
      </c>
      <c r="X15" s="39" t="str">
        <f>IF(AND('Mapa final'!$AH$35="Muy Alta",'Mapa final'!$AJ$35="Moderado"),CONCATENATE("R2C",'Mapa final'!$R$35),"")</f>
        <v/>
      </c>
      <c r="Y15" s="39" t="str">
        <f>IF(AND('Mapa final'!$AH$36="Muy Alta",'Mapa final'!$AJ$36="Moderado"),CONCATENATE("R2C",'Mapa final'!$R$36),"")</f>
        <v/>
      </c>
      <c r="Z15" s="39" t="str">
        <f>IF(AND('Mapa final'!$AH$37="Muy Alta",'Mapa final'!$AJ$37="Moderado"),CONCATENATE("R2C",'Mapa final'!$R$37),"")</f>
        <v/>
      </c>
      <c r="AA15" s="39" t="str">
        <f>IF(AND('Mapa final'!$AH$38="Muy Alta",'Mapa final'!$AJ$38="Moderado"),CONCATENATE("R2C",'Mapa final'!$R$38),"")</f>
        <v/>
      </c>
      <c r="AB15" s="40" t="str">
        <f>IF(AND('Mapa final'!$AH$39="Muy Alta",'Mapa final'!$AJ$39="Moderado"),CONCATENATE("R2C",'Mapa final'!$R$39),"")</f>
        <v/>
      </c>
      <c r="AC15" s="38" t="str">
        <f>IF(AND('Mapa final'!$AH$34="Muy Alta",'Mapa final'!$AJ$34="Mayor"),CONCATENATE("R2C",'Mapa final'!$R$34),"")</f>
        <v/>
      </c>
      <c r="AD15" s="39" t="str">
        <f>IF(AND('Mapa final'!$AH$35="Muy Alta",'Mapa final'!$AJ$35="Mayor"),CONCATENATE("R2C",'Mapa final'!$R$35),"")</f>
        <v/>
      </c>
      <c r="AE15" s="39" t="str">
        <f>IF(AND('Mapa final'!$AH$36="Muy Alta",'Mapa final'!$AJ$36="Mayor"),CONCATENATE("R2C",'Mapa final'!$R$36),"")</f>
        <v/>
      </c>
      <c r="AF15" s="39" t="str">
        <f>IF(AND('Mapa final'!$AH$37="Muy Alta",'Mapa final'!$AJ$37="Mayor"),CONCATENATE("R2C",'Mapa final'!$R$37),"")</f>
        <v/>
      </c>
      <c r="AG15" s="39" t="str">
        <f>IF(AND('Mapa final'!$AH$38="Muy Alta",'Mapa final'!$AJ$38="Mayor"),CONCATENATE("R2C",'Mapa final'!$R$38),"")</f>
        <v/>
      </c>
      <c r="AH15" s="40" t="str">
        <f>IF(AND('Mapa final'!$AH$39="Muy Alta",'Mapa final'!$AJ$39="Mayor"),CONCATENATE("R2C",'Mapa final'!$R$39),"")</f>
        <v/>
      </c>
      <c r="AI15" s="41" t="str">
        <f>IF(AND('Mapa final'!$AH$34="Muy Alta",'Mapa final'!$AJ$34="Catastrófico"),CONCATENATE("R2C",'Mapa final'!$R$34),"")</f>
        <v/>
      </c>
      <c r="AJ15" s="42" t="str">
        <f>IF(AND('Mapa final'!$AH$35="Muy Alta",'Mapa final'!$AJ$35="Catastrófico"),CONCATENATE("R2C",'Mapa final'!$R$35),"")</f>
        <v/>
      </c>
      <c r="AK15" s="42" t="str">
        <f>IF(AND('Mapa final'!$AH$36="Muy Alta",'Mapa final'!$AJ$36="Catastrófico"),CONCATENATE("R2C",'Mapa final'!$R$36),"")</f>
        <v/>
      </c>
      <c r="AL15" s="42" t="str">
        <f>IF(AND('Mapa final'!$AH$37="Muy Alta",'Mapa final'!$AJ$37="Catastrófico"),CONCATENATE("R2C",'Mapa final'!$R$37),"")</f>
        <v/>
      </c>
      <c r="AM15" s="42" t="str">
        <f>IF(AND('Mapa final'!$AH$38="Muy Alta",'Mapa final'!$AJ$38="LCatastrófico"),CONCATENATE("R2C",'Mapa final'!$R$38),"")</f>
        <v/>
      </c>
      <c r="AN15" s="43" t="str">
        <f>IF(AND('Mapa final'!$AH$39="Muy Alta",'Mapa final'!$AJ$39="Catastrófico"),CONCATENATE("R2C",'Mapa final'!$R$39),"")</f>
        <v/>
      </c>
      <c r="AO15" s="68"/>
      <c r="AP15" s="590"/>
      <c r="AQ15" s="591"/>
      <c r="AR15" s="591"/>
      <c r="AS15" s="591"/>
      <c r="AT15" s="591"/>
      <c r="AU15" s="592"/>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row>
    <row r="16" spans="1:92" ht="15" customHeight="1">
      <c r="B16" s="68"/>
      <c r="C16" s="527"/>
      <c r="D16" s="527"/>
      <c r="E16" s="528"/>
      <c r="F16" s="570"/>
      <c r="G16" s="571"/>
      <c r="H16" s="571"/>
      <c r="I16" s="571"/>
      <c r="J16" s="571"/>
      <c r="K16" s="38" t="str">
        <f>IF(AND('Mapa final'!$AH$40="Muy Alta",'Mapa final'!$AJ$40="Leve"),CONCATENATE("R2C",'Mapa final'!$R$40),"")</f>
        <v/>
      </c>
      <c r="L16" s="39" t="str">
        <f>IF(AND('Mapa final'!$AH$41="Muy Alta",'Mapa final'!$AJ$41="Leve"),CONCATENATE("R2C",'Mapa final'!$R$41),"")</f>
        <v/>
      </c>
      <c r="M16" s="39" t="str">
        <f>IF(AND('Mapa final'!$AH$42="Muy Alta",'Mapa final'!$AJ$42="Leve"),CONCATENATE("R2C",'Mapa final'!$R$42),"")</f>
        <v/>
      </c>
      <c r="N16" s="39" t="str">
        <f>IF(AND('Mapa final'!$AH$43="Muy Alta",'Mapa final'!$AJ$43="Leve"),CONCATENATE("R2C",'Mapa final'!$R$43),"")</f>
        <v/>
      </c>
      <c r="O16" s="39" t="str">
        <f>IF(AND('Mapa final'!$AH$44="Muy Alta",'Mapa final'!$AJ$44="Leve"),CONCATENATE("R2C",'Mapa final'!$R$44),"")</f>
        <v/>
      </c>
      <c r="P16" s="40" t="str">
        <f>IF(AND('Mapa final'!$AH$45="Muy Alta",'Mapa final'!$AJ$45="Leve"),CONCATENATE("R2C",'Mapa final'!$R$45),"")</f>
        <v/>
      </c>
      <c r="Q16" s="39" t="str">
        <f>IF(AND('Mapa final'!$AH$40="Muy Alta",'Mapa final'!$AJ$40="Menor"),CONCATENATE("R2C",'Mapa final'!$R$40),"")</f>
        <v/>
      </c>
      <c r="R16" s="39" t="str">
        <f>IF(AND('Mapa final'!$AH$41="Muy Alta",'Mapa final'!$AJ$41="Menor"),CONCATENATE("R2C",'Mapa final'!$R$41),"")</f>
        <v/>
      </c>
      <c r="S16" s="39" t="str">
        <f>IF(AND('Mapa final'!$AH$42="Muy Alta",'Mapa final'!$AJ$42="Menor"),CONCATENATE("R2C",'Mapa final'!$R$42),"")</f>
        <v/>
      </c>
      <c r="T16" s="39" t="str">
        <f>IF(AND('Mapa final'!$AH$43="Muy Alta",'Mapa final'!$AJ$43="Menor"),CONCATENATE("R2C",'Mapa final'!$R$43),"")</f>
        <v/>
      </c>
      <c r="U16" s="39" t="str">
        <f>IF(AND('Mapa final'!$AH$44="Muy Alta",'Mapa final'!$AJ$44="Menor"),CONCATENATE("R2C",'Mapa final'!$R$44),"")</f>
        <v/>
      </c>
      <c r="V16" s="40" t="str">
        <f>IF(AND('Mapa final'!$AH$45="Muy Alta",'Mapa final'!$AJ$45="Menor"),CONCATENATE("R2C",'Mapa final'!$R$45),"")</f>
        <v/>
      </c>
      <c r="W16" s="38" t="str">
        <f>IF(AND('Mapa final'!$AH$40="Muy Alta",'Mapa final'!$AJ$40="Moderado"),CONCATENATE("R2C",'Mapa final'!$R$40),"")</f>
        <v/>
      </c>
      <c r="X16" s="39" t="str">
        <f>IF(AND('Mapa final'!$AH$41="Muy Alta",'Mapa final'!$AJ$41="Moderado"),CONCATENATE("R2C",'Mapa final'!$R$41),"")</f>
        <v/>
      </c>
      <c r="Y16" s="39" t="str">
        <f>IF(AND('Mapa final'!$AH$42="Muy Alta",'Mapa final'!$AJ$42="Moderado"),CONCATENATE("R2C",'Mapa final'!$R$42),"")</f>
        <v/>
      </c>
      <c r="Z16" s="39" t="str">
        <f>IF(AND('Mapa final'!$AH$43="Muy Alta",'Mapa final'!$AJ$43="Moderado"),CONCATENATE("R2C",'Mapa final'!$R$43),"")</f>
        <v/>
      </c>
      <c r="AA16" s="39" t="str">
        <f>IF(AND('Mapa final'!$AH$44="Muy Alta",'Mapa final'!$AJ$44="Moderado"),CONCATENATE("R2C",'Mapa final'!$R$44),"")</f>
        <v/>
      </c>
      <c r="AB16" s="40" t="str">
        <f>IF(AND('Mapa final'!$AH$45="Muy Alta",'Mapa final'!$AJ$45="Moderado"),CONCATENATE("R2C",'Mapa final'!$R$45),"")</f>
        <v/>
      </c>
      <c r="AC16" s="38" t="str">
        <f>IF(AND('Mapa final'!$AH$40="Muy Alta",'Mapa final'!$AJ$40="Mayor"),CONCATENATE("R2C",'Mapa final'!$R$40),"")</f>
        <v/>
      </c>
      <c r="AD16" s="39" t="str">
        <f>IF(AND('Mapa final'!$AH$41="Muy Alta",'Mapa final'!$AJ$41="Mayor"),CONCATENATE("R2C",'Mapa final'!$R$41),"")</f>
        <v/>
      </c>
      <c r="AE16" s="39" t="str">
        <f>IF(AND('Mapa final'!$AH$42="Muy Alta",'Mapa final'!$AJ$42="Mayor"),CONCATENATE("R2C",'Mapa final'!$R$42),"")</f>
        <v/>
      </c>
      <c r="AF16" s="39" t="str">
        <f>IF(AND('Mapa final'!$AH$43="Muy Alta",'Mapa final'!$AJ$43="Mayor"),CONCATENATE("R2C",'Mapa final'!$R$43),"")</f>
        <v/>
      </c>
      <c r="AG16" s="39" t="str">
        <f>IF(AND('Mapa final'!$AH$44="Muy Alta",'Mapa final'!$AJ$44="Mayor"),CONCATENATE("R2C",'Mapa final'!$R$44),"")</f>
        <v/>
      </c>
      <c r="AH16" s="40" t="str">
        <f>IF(AND('Mapa final'!$AH$45="Muy Alta",'Mapa final'!$AJ$45="Mayor"),CONCATENATE("R2C",'Mapa final'!$R$45),"")</f>
        <v/>
      </c>
      <c r="AI16" s="41" t="str">
        <f>IF(AND('Mapa final'!$AH$40="Muy Alta",'Mapa final'!$AJ$40="Catastrófico"),CONCATENATE("R2C",'Mapa final'!$R$40),"")</f>
        <v/>
      </c>
      <c r="AJ16" s="42" t="str">
        <f>IF(AND('Mapa final'!$AH$41="Muy Alta",'Mapa final'!$AJ$41="Catastrófico"),CONCATENATE("R2C",'Mapa final'!$R$41),"")</f>
        <v/>
      </c>
      <c r="AK16" s="42" t="str">
        <f>IF(AND('Mapa final'!$AH$42="Muy Alta",'Mapa final'!$AJ$42="Catastrófico"),CONCATENATE("R2C",'Mapa final'!$R$42),"")</f>
        <v/>
      </c>
      <c r="AL16" s="42" t="str">
        <f>IF(AND('Mapa final'!$AH$43="Muy Alta",'Mapa final'!$AJ$43="Catastrófico"),CONCATENATE("R2C",'Mapa final'!$R$43),"")</f>
        <v/>
      </c>
      <c r="AM16" s="42" t="str">
        <f>IF(AND('Mapa final'!$AH$44="Muy Alta",'Mapa final'!$AJ$44="Catastrófico"),CONCATENATE("R2C",'Mapa final'!$R$44),"")</f>
        <v/>
      </c>
      <c r="AN16" s="43" t="str">
        <f>IF(AND('Mapa final'!$AH$45="Muy Alta",'Mapa final'!$AJ$45="Catastrófico"),CONCATENATE("R2C",'Mapa final'!$R$45),"")</f>
        <v/>
      </c>
      <c r="AO16" s="68"/>
      <c r="AP16" s="590"/>
      <c r="AQ16" s="591"/>
      <c r="AR16" s="591"/>
      <c r="AS16" s="591"/>
      <c r="AT16" s="591"/>
      <c r="AU16" s="592"/>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row>
    <row r="17" spans="2:77" ht="15" customHeight="1">
      <c r="B17" s="68"/>
      <c r="C17" s="527"/>
      <c r="D17" s="527"/>
      <c r="E17" s="528"/>
      <c r="F17" s="570"/>
      <c r="G17" s="571"/>
      <c r="H17" s="571"/>
      <c r="I17" s="571"/>
      <c r="J17" s="571"/>
      <c r="K17" s="38" t="str">
        <f>IF(AND('Mapa final'!$AH$46="Muy Alta",'Mapa final'!$AJ$46="Leve"),CONCATENATE("R2C",'Mapa final'!$R$46),"")</f>
        <v/>
      </c>
      <c r="L17" s="39" t="str">
        <f>IF(AND('Mapa final'!$AH$47="Muy Alta",'Mapa final'!$AJ$47="Leve"),CONCATENATE("R2C",'Mapa final'!$R$47),"")</f>
        <v/>
      </c>
      <c r="M17" s="39" t="str">
        <f>IF(AND('Mapa final'!$AH$48="Muy Alta",'Mapa final'!$AJ$48="Leve"),CONCATENATE("R2C",'Mapa final'!$R$48),"")</f>
        <v/>
      </c>
      <c r="N17" s="39" t="str">
        <f>IF(AND('Mapa final'!$AH$49="Muy Alta",'Mapa final'!$AJ$49="Leve"),CONCATENATE("R2C",'Mapa final'!$R$49),"")</f>
        <v/>
      </c>
      <c r="O17" s="39" t="str">
        <f>IF(AND('Mapa final'!$AH$50="Muy Alta",'Mapa final'!$AJ$50="Leve"),CONCATENATE("R2C",'Mapa final'!$R$50),"")</f>
        <v/>
      </c>
      <c r="P17" s="40" t="str">
        <f>IF(AND('Mapa final'!$AH$61="Muy Alta",'Mapa final'!$AJ$51="Leve"),CONCATENATE("R2C",'Mapa final'!$R$51),"")</f>
        <v/>
      </c>
      <c r="Q17" s="39" t="str">
        <f>IF(AND('Mapa final'!$AH$46="Muy Alta",'Mapa final'!$AJ$46="Menor"),CONCATENATE("R2C",'Mapa final'!$R$46),"")</f>
        <v/>
      </c>
      <c r="R17" s="39" t="str">
        <f>IF(AND('Mapa final'!$AH$47="Muy Alta",'Mapa final'!$AJ$47="Menor"),CONCATENATE("R2C",'Mapa final'!$R$47),"")</f>
        <v/>
      </c>
      <c r="S17" s="39" t="str">
        <f>IF(AND('Mapa final'!$AH$48="Muy Alta",'Mapa final'!$AJ$48="Menor"),CONCATENATE("R2C",'Mapa final'!$R$48),"")</f>
        <v/>
      </c>
      <c r="T17" s="39" t="str">
        <f>IF(AND('Mapa final'!$AH$49="Muy Alta",'Mapa final'!$AJ$49="Menor"),CONCATENATE("R2C",'Mapa final'!$R$49),"")</f>
        <v/>
      </c>
      <c r="U17" s="39" t="str">
        <f>IF(AND('Mapa final'!$AH$50="Muy Alta",'Mapa final'!$AJ$50="Menor"),CONCATENATE("R2C",'Mapa final'!$R$50),"")</f>
        <v/>
      </c>
      <c r="V17" s="40" t="str">
        <f>IF(AND('Mapa final'!$AH$61="Muy Alta",'Mapa final'!$AJ$51="Menor"),CONCATENATE("R2C",'Mapa final'!$R$51),"")</f>
        <v/>
      </c>
      <c r="W17" s="38" t="str">
        <f>IF(AND('Mapa final'!$AH$46="Muy Alta",'Mapa final'!$AJ$46="Moderado"),CONCATENATE("R2C",'Mapa final'!$R$46),"")</f>
        <v/>
      </c>
      <c r="X17" s="39" t="str">
        <f>IF(AND('Mapa final'!$AH$47="Muy Alta",'Mapa final'!$AJ$47="Moderado"),CONCATENATE("R2C",'Mapa final'!$R$47),"")</f>
        <v/>
      </c>
      <c r="Y17" s="39" t="str">
        <f>IF(AND('Mapa final'!$AH$48="Muy Alta",'Mapa final'!$AJ$48="Moderado"),CONCATENATE("R2C",'Mapa final'!$R$48),"")</f>
        <v/>
      </c>
      <c r="Z17" s="39" t="str">
        <f>IF(AND('Mapa final'!$AH$49="Muy Alta",'Mapa final'!$AJ$49="Moderado"),CONCATENATE("R2C",'Mapa final'!$R$49),"")</f>
        <v/>
      </c>
      <c r="AA17" s="39" t="str">
        <f>IF(AND('Mapa final'!$AH$50="Muy Alta",'Mapa final'!$AJ$50="Moderado"),CONCATENATE("R2C",'Mapa final'!$R$50),"")</f>
        <v/>
      </c>
      <c r="AB17" s="40" t="str">
        <f>IF(AND('Mapa final'!$AH$61="Muy Alta",'Mapa final'!$AJ$51="Moderado"),CONCATENATE("R2C",'Mapa final'!$R$51),"")</f>
        <v/>
      </c>
      <c r="AC17" s="38" t="str">
        <f>IF(AND('Mapa final'!$AH$46="Muy Alta",'Mapa final'!$AJ$46="Mayor"),CONCATENATE("R2C",'Mapa final'!$R$46),"")</f>
        <v/>
      </c>
      <c r="AD17" s="39" t="str">
        <f>IF(AND('Mapa final'!$AH$47="Muy Alta",'Mapa final'!$AJ$47="Mayor"),CONCATENATE("R2C",'Mapa final'!$R$47),"")</f>
        <v/>
      </c>
      <c r="AE17" s="39" t="str">
        <f>IF(AND('Mapa final'!$AH$48="Muy Alta",'Mapa final'!$AJ$48="Mayor"),CONCATENATE("R2C",'Mapa final'!$R$48),"")</f>
        <v/>
      </c>
      <c r="AF17" s="39" t="str">
        <f>IF(AND('Mapa final'!$AH$49="Muy Alta",'Mapa final'!$AJ$49="Mayor"),CONCATENATE("R2C",'Mapa final'!$R$49),"")</f>
        <v/>
      </c>
      <c r="AG17" s="39" t="str">
        <f>IF(AND('Mapa final'!$AH$50="Muy Alta",'Mapa final'!$AJ$50="Mayor"),CONCATENATE("R2C",'Mapa final'!$R$50),"")</f>
        <v/>
      </c>
      <c r="AH17" s="40" t="str">
        <f>IF(AND('Mapa final'!$AH$61="Muy Alta",'Mapa final'!$AJ$51="Mayor"),CONCATENATE("R2C",'Mapa final'!$R$51),"")</f>
        <v/>
      </c>
      <c r="AI17" s="41" t="str">
        <f>IF(AND('Mapa final'!$AH$46="Muy Alta",'Mapa final'!$AJ$46="Catastrófico"),CONCATENATE("R2C",'Mapa final'!$R$46),"")</f>
        <v/>
      </c>
      <c r="AJ17" s="42" t="str">
        <f>IF(AND('Mapa final'!$AH$47="Muy Alta",'Mapa final'!$AJ$47="Catastrófico"),CONCATENATE("R2C",'Mapa final'!$R$47),"")</f>
        <v/>
      </c>
      <c r="AK17" s="42" t="str">
        <f>IF(AND('Mapa final'!$AH$48="Muy Alta",'Mapa final'!$AJ$48="Catastrófico"),CONCATENATE("R2C",'Mapa final'!$R$48),"")</f>
        <v/>
      </c>
      <c r="AL17" s="42" t="str">
        <f>IF(AND('Mapa final'!$AH$49="Muy Alta",'Mapa final'!$AJ$49="Catastrófico"),CONCATENATE("R2C",'Mapa final'!$R$49),"")</f>
        <v/>
      </c>
      <c r="AM17" s="42" t="str">
        <f>IF(AND('Mapa final'!$AH$50="Muy Alta",'Mapa final'!$AJ$50="Catastrófico"),CONCATENATE("R2C",'Mapa final'!$R$50),"")</f>
        <v/>
      </c>
      <c r="AN17" s="43" t="str">
        <f>IF(AND('Mapa final'!$AH$61="Muy Alta",'Mapa final'!$AJ$51="Catastrófico"),CONCATENATE("R2C",'Mapa final'!$R$51),"")</f>
        <v/>
      </c>
      <c r="AO17" s="68"/>
      <c r="AP17" s="590"/>
      <c r="AQ17" s="591"/>
      <c r="AR17" s="591"/>
      <c r="AS17" s="591"/>
      <c r="AT17" s="591"/>
      <c r="AU17" s="592"/>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2:77" ht="15" customHeight="1">
      <c r="B18" s="68"/>
      <c r="C18" s="527"/>
      <c r="D18" s="527"/>
      <c r="E18" s="528"/>
      <c r="F18" s="570"/>
      <c r="G18" s="571"/>
      <c r="H18" s="571"/>
      <c r="I18" s="571"/>
      <c r="J18" s="571"/>
      <c r="K18" s="38" t="str">
        <f>IF(AND('Mapa final'!$AH$52="Muy Alta",'Mapa final'!$AJ$52="Leve"),CONCATENATE("R2C",'Mapa final'!$R$52),"")</f>
        <v/>
      </c>
      <c r="L18" s="39" t="str">
        <f>IF(AND('Mapa final'!$AH$53="Muy Alta",'Mapa final'!$AJ$53="Leve"),CONCATENATE("R2C",'Mapa final'!$R$53),"")</f>
        <v/>
      </c>
      <c r="M18" s="39" t="str">
        <f>IF(AND('Mapa final'!$AH$54="Muy Alta",'Mapa final'!$AJ$54="Leve"),CONCATENATE("R2C",'Mapa final'!$R$54),"")</f>
        <v/>
      </c>
      <c r="N18" s="39" t="str">
        <f>IF(AND('Mapa final'!$AH$55="Muy Alta",'Mapa final'!$AJ$55="Leve"),CONCATENATE("R2C",'Mapa final'!$R$55),"")</f>
        <v/>
      </c>
      <c r="O18" s="39" t="str">
        <f>IF(AND('Mapa final'!$AH$56="Muy Alta",'Mapa final'!$AJ$56="Leve"),CONCATENATE("R2C",'Mapa final'!$R$56),"")</f>
        <v/>
      </c>
      <c r="P18" s="40" t="str">
        <f>IF(AND('Mapa final'!$AH$57="Muy Alta",'Mapa final'!$AJ$57="Leve"),CONCATENATE("R2C",'Mapa final'!$R$57),"")</f>
        <v/>
      </c>
      <c r="Q18" s="39" t="str">
        <f>IF(AND('Mapa final'!$AH$52="Muy Alta",'Mapa final'!$AJ$52="Menor"),CONCATENATE("R2C",'Mapa final'!$R$52),"")</f>
        <v/>
      </c>
      <c r="R18" s="39" t="str">
        <f>IF(AND('Mapa final'!$AH$53="Muy Alta",'Mapa final'!$AJ$53="Menor"),CONCATENATE("R2C",'Mapa final'!$R$53),"")</f>
        <v/>
      </c>
      <c r="S18" s="39" t="str">
        <f>IF(AND('Mapa final'!$AH$54="Muy Alta",'Mapa final'!$AJ$54="Menor"),CONCATENATE("R2C",'Mapa final'!$R$54),"")</f>
        <v/>
      </c>
      <c r="T18" s="39" t="str">
        <f>IF(AND('Mapa final'!$AH$55="Muy Alta",'Mapa final'!$AJ$55="Menor"),CONCATENATE("R2C",'Mapa final'!$R$55),"")</f>
        <v/>
      </c>
      <c r="U18" s="39" t="str">
        <f>IF(AND('Mapa final'!$AH$56="Muy Alta",'Mapa final'!$AJ$56="Menor"),CONCATENATE("R2C",'Mapa final'!$R$56),"")</f>
        <v/>
      </c>
      <c r="V18" s="40" t="str">
        <f>IF(AND('Mapa final'!$AH$57="Muy Alta",'Mapa final'!$AJ$57="Menor"),CONCATENATE("R2C",'Mapa final'!$R$57),"")</f>
        <v/>
      </c>
      <c r="W18" s="38" t="str">
        <f>IF(AND('Mapa final'!$AH$52="Muy Alta",'Mapa final'!$AJ$52="Moderado"),CONCATENATE("R2C",'Mapa final'!$R$52),"")</f>
        <v/>
      </c>
      <c r="X18" s="39" t="str">
        <f>IF(AND('Mapa final'!$AH$53="Muy Alta",'Mapa final'!$AJ$53="Moderado"),CONCATENATE("R2C",'Mapa final'!$R$53),"")</f>
        <v/>
      </c>
      <c r="Y18" s="39" t="str">
        <f>IF(AND('Mapa final'!$AH$54="Muy Alta",'Mapa final'!$AJ$54="Moderado"),CONCATENATE("R2C",'Mapa final'!$R$54),"")</f>
        <v/>
      </c>
      <c r="Z18" s="39" t="str">
        <f>IF(AND('Mapa final'!$AH$55="Muy Alta",'Mapa final'!$AJ$55="Moderado"),CONCATENATE("R2C",'Mapa final'!$R$55),"")</f>
        <v/>
      </c>
      <c r="AA18" s="39" t="str">
        <f>IF(AND('Mapa final'!$AH$56="Muy Alta",'Mapa final'!$AJ$56="Moderado"),CONCATENATE("R2C",'Mapa final'!$R$56),"")</f>
        <v/>
      </c>
      <c r="AB18" s="40" t="str">
        <f>IF(AND('Mapa final'!$AH$57="Muy Alta",'Mapa final'!$AJ$57="Moderado"),CONCATENATE("R2C",'Mapa final'!$R$57),"")</f>
        <v/>
      </c>
      <c r="AC18" s="38" t="str">
        <f>IF(AND('Mapa final'!$AH$52="Muy Alta",'Mapa final'!$AJ$52="Mayor"),CONCATENATE("R2C",'Mapa final'!$R$52),"")</f>
        <v/>
      </c>
      <c r="AD18" s="39" t="str">
        <f>IF(AND('Mapa final'!$AH$53="Muy Alta",'Mapa final'!$AJ$53="Mayor"),CONCATENATE("R2C",'Mapa final'!$R$53),"")</f>
        <v/>
      </c>
      <c r="AE18" s="39" t="str">
        <f>IF(AND('Mapa final'!$AH$54="Muy Alta",'Mapa final'!$AJ$54="Mayor"),CONCATENATE("R2C",'Mapa final'!$R$54),"")</f>
        <v/>
      </c>
      <c r="AF18" s="39" t="str">
        <f>IF(AND('Mapa final'!$AH$55="Muy Alta",'Mapa final'!$AJ$55="Mayor"),CONCATENATE("R2C",'Mapa final'!$R$55),"")</f>
        <v/>
      </c>
      <c r="AG18" s="39" t="str">
        <f>IF(AND('Mapa final'!$AH$56="Muy Alta",'Mapa final'!$AJ$56="Mayor"),CONCATENATE("R2C",'Mapa final'!$R$56),"")</f>
        <v/>
      </c>
      <c r="AH18" s="40" t="str">
        <f>IF(AND('Mapa final'!$AH$57="Muy Alta",'Mapa final'!$AJ$57="Mayor"),CONCATENATE("R2C",'Mapa final'!$R$57),"")</f>
        <v/>
      </c>
      <c r="AI18" s="41" t="str">
        <f>IF(AND('Mapa final'!$AH$52="Muy Alta",'Mapa final'!$AJ$52="Catastrófico"),CONCATENATE("R2C",'Mapa final'!$R$52),"")</f>
        <v/>
      </c>
      <c r="AJ18" s="42" t="str">
        <f>IF(AND('Mapa final'!$AH$53="Muy Alta",'Mapa final'!$AJ$53="Catastrófico"),CONCATENATE("R2C",'Mapa final'!$R$53),"")</f>
        <v/>
      </c>
      <c r="AK18" s="42" t="str">
        <f>IF(AND('Mapa final'!$AH$54="Muy Alta",'Mapa final'!$AJ$54="Catastrófico"),CONCATENATE("R2C",'Mapa final'!$R$54),"")</f>
        <v/>
      </c>
      <c r="AL18" s="42" t="str">
        <f>IF(AND('Mapa final'!$AH$55="Muy Alta",'Mapa final'!$AJ$55="Catastrófico"),CONCATENATE("R2C",'Mapa final'!$R$55),"")</f>
        <v/>
      </c>
      <c r="AM18" s="42" t="str">
        <f>IF(AND('Mapa final'!$AH$56="Muy Alta",'Mapa final'!$AJ$56="Catastrófico"),CONCATENATE("R2C",'Mapa final'!$R$56),"")</f>
        <v/>
      </c>
      <c r="AN18" s="43" t="str">
        <f>IF(AND('Mapa final'!$AH$57="Muy Alta",'Mapa final'!$AJ$57="Catastrófico"),CONCATENATE("R2C",'Mapa final'!$R$57),"")</f>
        <v/>
      </c>
      <c r="AO18" s="68"/>
      <c r="AP18" s="590"/>
      <c r="AQ18" s="591"/>
      <c r="AR18" s="591"/>
      <c r="AS18" s="591"/>
      <c r="AT18" s="591"/>
      <c r="AU18" s="592"/>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row>
    <row r="19" spans="2:77" ht="15" customHeight="1">
      <c r="B19" s="68"/>
      <c r="C19" s="527"/>
      <c r="D19" s="527"/>
      <c r="E19" s="528"/>
      <c r="F19" s="570"/>
      <c r="G19" s="571"/>
      <c r="H19" s="571"/>
      <c r="I19" s="571"/>
      <c r="J19" s="571"/>
      <c r="K19" s="38" t="str">
        <f>IF(AND('Mapa final'!$AH$58="Muy Alta",'Mapa final'!$AJ$58="Leve"),CONCATENATE("R2C",'Mapa final'!$R$58),"")</f>
        <v/>
      </c>
      <c r="L19" s="39" t="str">
        <f>IF(AND('Mapa final'!$AH$59="Muy Alta",'Mapa final'!$AJ$59="Leve"),CONCATENATE("R2C",'Mapa final'!$R$59),"")</f>
        <v/>
      </c>
      <c r="M19" s="39" t="str">
        <f>IF(AND('Mapa final'!$AH$60="Muy Alta",'Mapa final'!$AJ$60="Leve"),CONCATENATE("R2C",'Mapa final'!$R$60),"")</f>
        <v/>
      </c>
      <c r="N19" s="39" t="str">
        <f>IF(AND('Mapa final'!$AH$61="Muy Alta",'Mapa final'!$AJ$61="Leve"),CONCATENATE("R2C",'Mapa final'!$R$61),"")</f>
        <v/>
      </c>
      <c r="O19" s="39" t="str">
        <f>IF(AND('Mapa final'!$AH$62="Muy Alta",'Mapa final'!$AJ$62="Leve"),CONCATENATE("R2C",'Mapa final'!$R$62),"")</f>
        <v/>
      </c>
      <c r="P19" s="40" t="str">
        <f>IF(AND('Mapa final'!$AH$63="Muy Alta",'Mapa final'!$AJ$63="Leve"),CONCATENATE("R2C",'Mapa final'!$R$63),"")</f>
        <v/>
      </c>
      <c r="Q19" s="39" t="str">
        <f>IF(AND('Mapa final'!$AH$58="Muy Alta",'Mapa final'!$AJ$58="Menor"),CONCATENATE("R2C",'Mapa final'!$R$58),"")</f>
        <v/>
      </c>
      <c r="R19" s="39" t="str">
        <f>IF(AND('Mapa final'!$AH$59="Muy Alta",'Mapa final'!$AJ$59="Menor"),CONCATENATE("R2C",'Mapa final'!$R$59),"")</f>
        <v/>
      </c>
      <c r="S19" s="39" t="str">
        <f>IF(AND('Mapa final'!$AH$60="Muy Alta",'Mapa final'!$AJ$60="Menor"),CONCATENATE("R2C",'Mapa final'!$R$60),"")</f>
        <v/>
      </c>
      <c r="T19" s="39" t="str">
        <f>IF(AND('Mapa final'!$AH$61="Muy Alta",'Mapa final'!$AJ$61="Menor"),CONCATENATE("R2C",'Mapa final'!$R$61),"")</f>
        <v/>
      </c>
      <c r="U19" s="39" t="str">
        <f>IF(AND('Mapa final'!$AH$62="Muy Alta",'Mapa final'!$AJ$62="Menor"),CONCATENATE("R2C",'Mapa final'!$R$62),"")</f>
        <v/>
      </c>
      <c r="V19" s="40" t="str">
        <f>IF(AND('Mapa final'!$AH$63="Muy Alta",'Mapa final'!$AJ$63="Menor"),CONCATENATE("R2C",'Mapa final'!$R$63),"")</f>
        <v/>
      </c>
      <c r="W19" s="38" t="str">
        <f>IF(AND('Mapa final'!$AH$58="Muy Alta",'Mapa final'!$AJ$58="Moderado"),CONCATENATE("R2C",'Mapa final'!$R$58),"")</f>
        <v/>
      </c>
      <c r="X19" s="39" t="str">
        <f>IF(AND('Mapa final'!$AH$59="Muy Alta",'Mapa final'!$AJ$59="Moderado"),CONCATENATE("R2C",'Mapa final'!$R$59),"")</f>
        <v/>
      </c>
      <c r="Y19" s="39" t="str">
        <f>IF(AND('Mapa final'!$AH$60="Muy Alta",'Mapa final'!$AJ$60="Moderado"),CONCATENATE("R2C",'Mapa final'!$R$60),"")</f>
        <v/>
      </c>
      <c r="Z19" s="39" t="str">
        <f>IF(AND('Mapa final'!$AH$61="Muy Alta",'Mapa final'!$AJ$61="Moderado"),CONCATENATE("R2C",'Mapa final'!$R$61),"")</f>
        <v/>
      </c>
      <c r="AA19" s="39" t="str">
        <f>IF(AND('Mapa final'!$AH$62="Muy Alta",'Mapa final'!$AJ$62="Moderado"),CONCATENATE("R2C",'Mapa final'!$R$62),"")</f>
        <v/>
      </c>
      <c r="AB19" s="40" t="str">
        <f>IF(AND('Mapa final'!$AH$63="Muy Alta",'Mapa final'!$AJ$63="Moderado"),CONCATENATE("R2C",'Mapa final'!$R$63),"")</f>
        <v/>
      </c>
      <c r="AC19" s="38" t="str">
        <f>IF(AND('Mapa final'!$AH$58="Muy Alta",'Mapa final'!$AJ$58="Mayor"),CONCATENATE("R2C",'Mapa final'!$R$58),"")</f>
        <v/>
      </c>
      <c r="AD19" s="39" t="str">
        <f>IF(AND('Mapa final'!$AH$59="Muy Alta",'Mapa final'!$AJ$59="Mayor"),CONCATENATE("R2C",'Mapa final'!$R$59),"")</f>
        <v/>
      </c>
      <c r="AE19" s="39" t="str">
        <f>IF(AND('Mapa final'!$AH$60="Muy Alta",'Mapa final'!$AJ$60="Mayor"),CONCATENATE("R2C",'Mapa final'!$R$60),"")</f>
        <v/>
      </c>
      <c r="AF19" s="39" t="str">
        <f>IF(AND('Mapa final'!$AH$61="Muy Alta",'Mapa final'!$AJ$61="Mayor"),CONCATENATE("R2C",'Mapa final'!$R$61),"")</f>
        <v/>
      </c>
      <c r="AG19" s="39" t="str">
        <f>IF(AND('Mapa final'!$AH$62="Muy Alta",'Mapa final'!$AJ$62="Mayor"),CONCATENATE("R2C",'Mapa final'!$R$62),"")</f>
        <v/>
      </c>
      <c r="AH19" s="40" t="str">
        <f>IF(AND('Mapa final'!$AH$63="Muy Alta",'Mapa final'!$AJ$63="Mayor"),CONCATENATE("R2C",'Mapa final'!$R$63),"")</f>
        <v/>
      </c>
      <c r="AI19" s="41" t="str">
        <f>IF(AND('Mapa final'!$AH$58="Muy Alta",'Mapa final'!$AJ$58="Catastrófico"),CONCATENATE("R2C",'Mapa final'!$R$58),"")</f>
        <v/>
      </c>
      <c r="AJ19" s="42" t="str">
        <f>IF(AND('Mapa final'!$AH$59="Muy Alta",'Mapa final'!$AJ$59="Catastrófico"),CONCATENATE("R2C",'Mapa final'!$R$59),"")</f>
        <v/>
      </c>
      <c r="AK19" s="42" t="str">
        <f>IF(AND('Mapa final'!$AH$60="Muy Alta",'Mapa final'!$AJ$60="Catastrófico"),CONCATENATE("R2C",'Mapa final'!$R$60),"")</f>
        <v/>
      </c>
      <c r="AL19" s="42" t="str">
        <f>IF(AND('Mapa final'!$AH$61="Muy Alta",'Mapa final'!$AJ$61="Catastrófico"),CONCATENATE("R2C",'Mapa final'!$R$61),"")</f>
        <v/>
      </c>
      <c r="AM19" s="42" t="str">
        <f>IF(AND('Mapa final'!$AH$62="Muy Alta",'Mapa final'!$AJ$62="Catastrófico"),CONCATENATE("R2C",'Mapa final'!$R$62),"")</f>
        <v/>
      </c>
      <c r="AN19" s="43" t="str">
        <f>IF(AND('Mapa final'!$AH$63="Muy Alta",'Mapa final'!$AJ$63="Catastrófico"),CONCATENATE("R2C",'Mapa final'!$R$63),"")</f>
        <v/>
      </c>
      <c r="AO19" s="68"/>
      <c r="AP19" s="590"/>
      <c r="AQ19" s="591"/>
      <c r="AR19" s="591"/>
      <c r="AS19" s="591"/>
      <c r="AT19" s="591"/>
      <c r="AU19" s="592"/>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row>
    <row r="20" spans="2:77" ht="15" customHeight="1">
      <c r="B20" s="68"/>
      <c r="C20" s="527"/>
      <c r="D20" s="527"/>
      <c r="E20" s="528"/>
      <c r="F20" s="570"/>
      <c r="G20" s="571"/>
      <c r="H20" s="571"/>
      <c r="I20" s="571"/>
      <c r="J20" s="571"/>
      <c r="K20" s="38" t="str">
        <f>IF(AND('Mapa final'!$AH$64="Muy Alta",'Mapa final'!$AJ$64="Leve"),CONCATENATE("R2C",'Mapa final'!$R$64),"")</f>
        <v/>
      </c>
      <c r="L20" s="39" t="str">
        <f>IF(AND('Mapa final'!$AH$65="Muy Alta",'Mapa final'!$AJ$65="Leve"),CONCATENATE("R2C",'Mapa final'!$R$65),"")</f>
        <v/>
      </c>
      <c r="M20" s="39" t="str">
        <f>IF(AND('Mapa final'!$AH$66="Muy Alta",'Mapa final'!$AJ$66="Leve"),CONCATENATE("R2C",'Mapa final'!$R$66),"")</f>
        <v/>
      </c>
      <c r="N20" s="39" t="str">
        <f>IF(AND('Mapa final'!$AH$67="Muy Alta",'Mapa final'!$AJ$67="Leve"),CONCATENATE("R2C",'Mapa final'!$R$67),"")</f>
        <v/>
      </c>
      <c r="O20" s="39" t="str">
        <f>IF(AND('Mapa final'!$AH$68="Muy Alta",'Mapa final'!$AJ$68="Leve"),CONCATENATE("R2C",'Mapa final'!$R$68),"")</f>
        <v/>
      </c>
      <c r="P20" s="40" t="str">
        <f>IF(AND('Mapa final'!$AH$69="Muy Alta",'Mapa final'!$AJ$69="Leve"),CONCATENATE("R2C",'Mapa final'!$R$69),"")</f>
        <v/>
      </c>
      <c r="Q20" s="39" t="str">
        <f>IF(AND('Mapa final'!$AH$64="Muy Alta",'Mapa final'!$AJ$64="Menor"),CONCATENATE("R2C",'Mapa final'!$R$64),"")</f>
        <v/>
      </c>
      <c r="R20" s="39" t="str">
        <f>IF(AND('Mapa final'!$AH$65="Muy Alta",'Mapa final'!$AJ$65="Menor"),CONCATENATE("R2C",'Mapa final'!$R$65),"")</f>
        <v/>
      </c>
      <c r="S20" s="39" t="str">
        <f>IF(AND('Mapa final'!$AH$66="Muy Alta",'Mapa final'!$AJ$66="Menor"),CONCATENATE("R2C",'Mapa final'!$R$66),"")</f>
        <v/>
      </c>
      <c r="T20" s="39" t="str">
        <f>IF(AND('Mapa final'!$AH$67="Muy Alta",'Mapa final'!$AJ$67="Menor"),CONCATENATE("R2C",'Mapa final'!$R$67),"")</f>
        <v/>
      </c>
      <c r="U20" s="39" t="str">
        <f>IF(AND('Mapa final'!$AH$68="Muy Alta",'Mapa final'!$AJ$68="Menor"),CONCATENATE("R2C",'Mapa final'!$R$68),"")</f>
        <v/>
      </c>
      <c r="V20" s="40" t="str">
        <f>IF(AND('Mapa final'!$AH$69="Muy Alta",'Mapa final'!$AJ$69="Menor"),CONCATENATE("R2C",'Mapa final'!$R$69),"")</f>
        <v/>
      </c>
      <c r="W20" s="38" t="str">
        <f>IF(AND('Mapa final'!$AH$64="Muy Alta",'Mapa final'!$AJ$64="Moderado"),CONCATENATE("R2C",'Mapa final'!$R$64),"")</f>
        <v/>
      </c>
      <c r="X20" s="39" t="str">
        <f>IF(AND('Mapa final'!$AH$65="Muy Alta",'Mapa final'!$AJ$65="Moderado"),CONCATENATE("R2C",'Mapa final'!$R$65),"")</f>
        <v/>
      </c>
      <c r="Y20" s="39" t="str">
        <f>IF(AND('Mapa final'!$AH$66="Muy Alta",'Mapa final'!$AJ$66="Moderado"),CONCATENATE("R2C",'Mapa final'!$R$66),"")</f>
        <v/>
      </c>
      <c r="Z20" s="39" t="str">
        <f>IF(AND('Mapa final'!$AH$67="Muy Alta",'Mapa final'!$AJ$67="Moderado"),CONCATENATE("R2C",'Mapa final'!$R$67),"")</f>
        <v/>
      </c>
      <c r="AA20" s="39" t="str">
        <f>IF(AND('Mapa final'!$AH$68="Muy Alta",'Mapa final'!$AJ$68="Moderado"),CONCATENATE("R2C",'Mapa final'!$R$68),"")</f>
        <v/>
      </c>
      <c r="AB20" s="40" t="str">
        <f>IF(AND('Mapa final'!$AH$69="Muy Alta",'Mapa final'!$AJ$69="Moderado"),CONCATENATE("R2C",'Mapa final'!$R$69),"")</f>
        <v/>
      </c>
      <c r="AC20" s="38" t="str">
        <f>IF(AND('Mapa final'!$AH$64="Muy Alta",'Mapa final'!$AJ$64="Mayor"),CONCATENATE("R2C",'Mapa final'!$R$64),"")</f>
        <v/>
      </c>
      <c r="AD20" s="39" t="str">
        <f>IF(AND('Mapa final'!$AH$65="Muy Alta",'Mapa final'!$AJ$65="Mayor"),CONCATENATE("R2C",'Mapa final'!$R$65),"")</f>
        <v/>
      </c>
      <c r="AE20" s="39" t="str">
        <f>IF(AND('Mapa final'!$AH$66="Muy Alta",'Mapa final'!$AJ$66="Mayor"),CONCATENATE("R2C",'Mapa final'!$R$66),"")</f>
        <v/>
      </c>
      <c r="AF20" s="39" t="str">
        <f>IF(AND('Mapa final'!$AH$67="Muy Alta",'Mapa final'!$AJ$67="Mayor"),CONCATENATE("R2C",'Mapa final'!$R$67),"")</f>
        <v/>
      </c>
      <c r="AG20" s="39" t="str">
        <f>IF(AND('Mapa final'!$AH$68="Muy Alta",'Mapa final'!$AJ$68="Mayor"),CONCATENATE("R2C",'Mapa final'!$R$68),"")</f>
        <v/>
      </c>
      <c r="AH20" s="40" t="str">
        <f>IF(AND('Mapa final'!$AH$69="Muy Alta",'Mapa final'!$AJ$69="Mayor"),CONCATENATE("R2C",'Mapa final'!$R$69),"")</f>
        <v/>
      </c>
      <c r="AI20" s="41" t="str">
        <f>IF(AND('Mapa final'!$AH$64="Muy Alta",'Mapa final'!$AJ$64="Catastrófico"),CONCATENATE("R2C",'Mapa final'!$R$64),"")</f>
        <v/>
      </c>
      <c r="AJ20" s="42" t="str">
        <f>IF(AND('Mapa final'!$AH$65="Muy Alta",'Mapa final'!$AJ$65="Catastrófico"),CONCATENATE("R2C",'Mapa final'!$R$65),"")</f>
        <v/>
      </c>
      <c r="AK20" s="42" t="str">
        <f>IF(AND('Mapa final'!$AH$66="Muy Alta",'Mapa final'!$AJ$66="Catastrófico"),CONCATENATE("R2C",'Mapa final'!$R$66),"")</f>
        <v/>
      </c>
      <c r="AL20" s="42" t="str">
        <f>IF(AND('Mapa final'!$AH$67="Muy Alta",'Mapa final'!$AJ$67="Catastrófico"),CONCATENATE("R2C",'Mapa final'!$R$67),"")</f>
        <v/>
      </c>
      <c r="AM20" s="42" t="str">
        <f>IF(AND('Mapa final'!$AH$68="Muy Alta",'Mapa final'!$AJ$68="Catastrófico"),CONCATENATE("R2C",'Mapa final'!$R$68),"")</f>
        <v/>
      </c>
      <c r="AN20" s="43" t="str">
        <f>IF(AND('Mapa final'!$AH$69="Muy Alta",'Mapa final'!$AJ$69="Catastrófico"),CONCATENATE("R2C",'Mapa final'!$R$69),"")</f>
        <v/>
      </c>
      <c r="AO20" s="68"/>
      <c r="AP20" s="590"/>
      <c r="AQ20" s="591"/>
      <c r="AR20" s="591"/>
      <c r="AS20" s="591"/>
      <c r="AT20" s="591"/>
      <c r="AU20" s="592"/>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row>
    <row r="21" spans="2:77" ht="15.75" customHeight="1" thickBot="1">
      <c r="B21" s="68"/>
      <c r="C21" s="527"/>
      <c r="D21" s="527"/>
      <c r="E21" s="528"/>
      <c r="F21" s="573"/>
      <c r="G21" s="574"/>
      <c r="H21" s="574"/>
      <c r="I21" s="574"/>
      <c r="J21" s="574"/>
      <c r="K21" s="44" t="str">
        <f>IF(AND('Mapa final'!$AH$70="Muy Alta",'Mapa final'!$AJ$70="Leve"),CONCATENATE("R2C",'Mapa final'!$R$70),"")</f>
        <v/>
      </c>
      <c r="L21" s="45" t="str">
        <f>IF(AND('Mapa final'!$AH$71="Muy Alta",'Mapa final'!$AJ$71="Leve"),CONCATENATE("R2C",'Mapa final'!$R$71),"")</f>
        <v/>
      </c>
      <c r="M21" s="45" t="str">
        <f>IF(AND('Mapa final'!$AH$72="Muy Alta",'Mapa final'!$AJ$72="Leve"),CONCATENATE("R2C",'Mapa final'!$R$72),"")</f>
        <v/>
      </c>
      <c r="N21" s="45" t="str">
        <f>IF(AND('Mapa final'!$AH$73="Muy Alta",'Mapa final'!$AJ$73="Leve"),CONCATENATE("R2C",'Mapa final'!$R$73),"")</f>
        <v/>
      </c>
      <c r="O21" s="45" t="str">
        <f>IF(AND('Mapa final'!$AH$75="Muy Alta",'Mapa final'!$AJ$75="Leve"),CONCATENATE("R2C",'Mapa final'!$R$75),"")</f>
        <v/>
      </c>
      <c r="P21" s="46" t="str">
        <f>IF(AND('Mapa final'!$AH$76="Muy Alta",'Mapa final'!$AJ$76="Leve"),CONCATENATE("R2C",'Mapa final'!$R$76),"")</f>
        <v/>
      </c>
      <c r="Q21" s="39" t="str">
        <f>IF(AND('Mapa final'!$AH$70="Muy Alta",'Mapa final'!$AJ$70="Menor"),CONCATENATE("R2C",'Mapa final'!$R$70),"")</f>
        <v/>
      </c>
      <c r="R21" s="39" t="str">
        <f>IF(AND('Mapa final'!$AH$71="Muy Alta",'Mapa final'!$AJ$71="Menor"),CONCATENATE("R2C",'Mapa final'!$R$71),"")</f>
        <v/>
      </c>
      <c r="S21" s="39" t="str">
        <f>IF(AND('Mapa final'!$AH$72="Muy Alta",'Mapa final'!$AJ$72="Menor"),CONCATENATE("R2C",'Mapa final'!$R$72),"")</f>
        <v/>
      </c>
      <c r="T21" s="39" t="str">
        <f>IF(AND('Mapa final'!$AH$73="Muy Alta",'Mapa final'!$AJ$73="Menor"),CONCATENATE("R2C",'Mapa final'!$R$73),"")</f>
        <v/>
      </c>
      <c r="U21" s="39" t="str">
        <f>IF(AND('Mapa final'!$AH$75="Muy Alta",'Mapa final'!$AJ$75="Menor"),CONCATENATE("R2C",'Mapa final'!$R$75),"")</f>
        <v/>
      </c>
      <c r="V21" s="40" t="str">
        <f>IF(AND('Mapa final'!$AH$76="Muy Alta",'Mapa final'!$AJ$76="Menor"),CONCATENATE("R2C",'Mapa final'!$R$76),"")</f>
        <v/>
      </c>
      <c r="W21" s="44" t="str">
        <f>IF(AND('Mapa final'!$AH$70="Muy Alta",'Mapa final'!$AJ$70="Moderado"),CONCATENATE("R2C",'Mapa final'!$R$70),"")</f>
        <v/>
      </c>
      <c r="X21" s="45" t="str">
        <f>IF(AND('Mapa final'!$AH$71="Muy Alta",'Mapa final'!$AJ$71="Moderado"),CONCATENATE("R2C",'Mapa final'!$R$71),"")</f>
        <v/>
      </c>
      <c r="Y21" s="45" t="str">
        <f>IF(AND('Mapa final'!$AH$72="Muy Alta",'Mapa final'!$AJ$72="Moderado"),CONCATENATE("R2C",'Mapa final'!$R$72),"")</f>
        <v/>
      </c>
      <c r="Z21" s="45" t="str">
        <f>IF(AND('Mapa final'!$AH$73="Muy Alta",'Mapa final'!$AJ$73="Moderado"),CONCATENATE("R2C",'Mapa final'!$R$73),"")</f>
        <v/>
      </c>
      <c r="AA21" s="45" t="str">
        <f>IF(AND('Mapa final'!$AH$75="Muy Alta",'Mapa final'!$AJ$75="Moderado"),CONCATENATE("R2C",'Mapa final'!$R$75),"")</f>
        <v/>
      </c>
      <c r="AB21" s="46" t="str">
        <f>IF(AND('Mapa final'!$AH$76="Muy Alta",'Mapa final'!$AJ$76="Moderado"),CONCATENATE("R2C",'Mapa final'!$R$76),"")</f>
        <v/>
      </c>
      <c r="AC21" s="38" t="str">
        <f>IF(AND('Mapa final'!$AH$70="Muy Alta",'Mapa final'!$AJ$70="Mayor"),CONCATENATE("R2C",'Mapa final'!$R$70),"")</f>
        <v/>
      </c>
      <c r="AD21" s="39" t="str">
        <f>IF(AND('Mapa final'!$AH$71="Muy Alta",'Mapa final'!$AJ$71="Mayor"),CONCATENATE("R2C",'Mapa final'!$R$71),"")</f>
        <v/>
      </c>
      <c r="AE21" s="39" t="str">
        <f>IF(AND('Mapa final'!$AH$72="Muy Alta",'Mapa final'!$AJ$72="Mayor"),CONCATENATE("R2C",'Mapa final'!$R$72),"")</f>
        <v/>
      </c>
      <c r="AF21" s="39" t="str">
        <f>IF(AND('Mapa final'!$AH$73="Muy Alta",'Mapa final'!$AJ$73="Mayor"),CONCATENATE("R2C",'Mapa final'!$R$73),"")</f>
        <v/>
      </c>
      <c r="AG21" s="39" t="str">
        <f>IF(AND('Mapa final'!$AH$75="Muy Alta",'Mapa final'!$AJ$75="Mayor"),CONCATENATE("R2C",'Mapa final'!$R$75),"")</f>
        <v/>
      </c>
      <c r="AH21" s="40" t="str">
        <f>IF(AND('Mapa final'!$AH$76="Muy Alta",'Mapa final'!$AJ$76="Mayor"),CONCATENATE("R2C",'Mapa final'!$R$76),"")</f>
        <v/>
      </c>
      <c r="AI21" s="47" t="str">
        <f>IF(AND('Mapa final'!$AH$70="Muy Alta",'Mapa final'!$AJ$70="Catastrófico"),CONCATENATE("R2C",'Mapa final'!$R$70),"")</f>
        <v/>
      </c>
      <c r="AJ21" s="48" t="str">
        <f>IF(AND('Mapa final'!$AH$71="Muy Alta",'Mapa final'!$AJ$71="Catastrófico"),CONCATENATE("R2C",'Mapa final'!$R$71),"")</f>
        <v/>
      </c>
      <c r="AK21" s="48" t="str">
        <f>IF(AND('Mapa final'!$AH$72="Muy Alta",'Mapa final'!$AJ$72="Catastrófico"),CONCATENATE("R2C",'Mapa final'!$R$72),"")</f>
        <v/>
      </c>
      <c r="AL21" s="48" t="str">
        <f>IF(AND('Mapa final'!$AH$73="Muy Alta",'Mapa final'!$AJ$73="Catastrófico"),CONCATENATE("R2C",'Mapa final'!$R$73),"")</f>
        <v/>
      </c>
      <c r="AM21" s="48" t="str">
        <f>IF(AND('Mapa final'!$AH$75="Muy Alta",'Mapa final'!$AJ$75="Catastrófico"),CONCATENATE("R2C",'Mapa final'!$R$75),"")</f>
        <v/>
      </c>
      <c r="AN21" s="49" t="str">
        <f>IF(AND('Mapa final'!$AH$76="Muy Alta",'Mapa final'!$AJ$76="Catastrófico"),CONCATENATE("R2C",'Mapa final'!$R$76),"")</f>
        <v/>
      </c>
      <c r="AO21" s="68"/>
      <c r="AP21" s="593"/>
      <c r="AQ21" s="594"/>
      <c r="AR21" s="594"/>
      <c r="AS21" s="594"/>
      <c r="AT21" s="594"/>
      <c r="AU21" s="595"/>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row>
    <row r="22" spans="2:77" ht="15" customHeight="1">
      <c r="B22" s="68"/>
      <c r="C22" s="527"/>
      <c r="D22" s="527"/>
      <c r="E22" s="528"/>
      <c r="F22" s="567" t="s">
        <v>254</v>
      </c>
      <c r="G22" s="568"/>
      <c r="H22" s="568"/>
      <c r="I22" s="568"/>
      <c r="J22" s="568"/>
      <c r="K22" s="53"/>
      <c r="L22" s="54" t="e">
        <f>IF(AND('Mapa final'!#REF!="Alta",'Mapa final'!#REF!="Leve"),CONCATENATE("R2C",'Mapa final'!$R$15),"")</f>
        <v>#REF!</v>
      </c>
      <c r="M22" s="54" t="e">
        <f>IF(AND('Mapa final'!#REF!="Alta",'Mapa final'!#REF!="Leve"),CONCATENATE("R2C",'Mapa final'!#REF!),"")</f>
        <v>#REF!</v>
      </c>
      <c r="N22" s="54" t="e">
        <f>IF(AND('Mapa final'!#REF!="Alta",'Mapa final'!#REF!="Leve"),CONCATENATE("R2C",'Mapa final'!#REF!),"")</f>
        <v>#REF!</v>
      </c>
      <c r="O22" s="54" t="e">
        <f>IF(AND('Mapa final'!#REF!="Alta",'Mapa final'!#REF!="Leve"),CONCATENATE("R2C",'Mapa final'!#REF!),"")</f>
        <v>#REF!</v>
      </c>
      <c r="P22" s="55" t="e">
        <f>IF(AND('Mapa final'!#REF!="Alta",'Mapa final'!#REF!="Leve"),CONCATENATE("R2C",'Mapa final'!#REF!),"")</f>
        <v>#REF!</v>
      </c>
      <c r="Q22" s="50"/>
      <c r="R22" s="51" t="e">
        <f>IF(AND('Mapa final'!#REF!="Alta",'Mapa final'!#REF!="Menore"),CONCATENATE("R2C",'Mapa final'!$R$15),"")</f>
        <v>#REF!</v>
      </c>
      <c r="S22" s="51" t="e">
        <f>IF(AND('Mapa final'!#REF!="Alta",'Mapa final'!#REF!="Menor"),CONCATENATE("R2C",'Mapa final'!#REF!),"")</f>
        <v>#REF!</v>
      </c>
      <c r="T22" s="51" t="e">
        <f>IF(AND('Mapa final'!#REF!="Alta",'Mapa final'!#REF!="Menor"),CONCATENATE("R2C",'Mapa final'!#REF!),"")</f>
        <v>#REF!</v>
      </c>
      <c r="U22" s="51" t="e">
        <f>IF(AND('Mapa final'!#REF!="Alta",'Mapa final'!#REF!="Menor"),CONCATENATE("R2C",'Mapa final'!#REF!),"")</f>
        <v>#REF!</v>
      </c>
      <c r="V22" s="52" t="e">
        <f>IF(AND('Mapa final'!#REF!="Alta",'Mapa final'!#REF!="Menor"),CONCATENATE("R2C",'Mapa final'!#REF!),"")</f>
        <v>#REF!</v>
      </c>
      <c r="W22" s="32"/>
      <c r="X22" s="33" t="e">
        <f>IF(AND('Mapa final'!#REF!="Alta",'Mapa final'!#REF!="Moderado"),CONCATENATE("R2C",'Mapa final'!$R$15),"")</f>
        <v>#REF!</v>
      </c>
      <c r="Y22" s="33"/>
      <c r="Z22" s="33" t="e">
        <f>IF(AND('Mapa final'!#REF!="Alta",'Mapa final'!#REF!="Moderado"),CONCATENATE("R2C",'Mapa final'!#REF!),"")</f>
        <v>#REF!</v>
      </c>
      <c r="AA22" s="33" t="e">
        <f>IF(AND('Mapa final'!#REF!="Alta",'Mapa final'!#REF!="Moderado"),CONCATENATE("R2C",'Mapa final'!#REF!),"")</f>
        <v>#REF!</v>
      </c>
      <c r="AB22" s="34" t="e">
        <f>IF(AND('Mapa final'!#REF!="Alta",'Mapa final'!#REF!="Moderado"),CONCATENATE("R2C",'Mapa final'!#REF!),"")</f>
        <v>#REF!</v>
      </c>
      <c r="AC22" s="32"/>
      <c r="AD22" s="33" t="e">
        <f>IF(AND('Mapa final'!#REF!="Alta",'Mapa final'!#REF!="Mayor"),CONCATENATE("R2C",'Mapa final'!$R$15),"")</f>
        <v>#REF!</v>
      </c>
      <c r="AE22" s="33" t="e">
        <f>IF(AND('Mapa final'!#REF!="Alta",'Mapa final'!#REF!="Mayor"),CONCATENATE("R2C",'Mapa final'!#REF!),"")</f>
        <v>#REF!</v>
      </c>
      <c r="AF22" s="33" t="e">
        <f>IF(AND('Mapa final'!#REF!="Alta",'Mapa final'!#REF!="Mayor"),CONCATENATE("R2C",'Mapa final'!#REF!),"")</f>
        <v>#REF!</v>
      </c>
      <c r="AG22" s="33" t="e">
        <f>IF(AND('Mapa final'!#REF!="Alta",'Mapa final'!#REF!="Mayor"),CONCATENATE("R2C",'Mapa final'!#REF!),"")</f>
        <v>#REF!</v>
      </c>
      <c r="AH22" s="34" t="e">
        <f>IF(AND('Mapa final'!#REF!="Alta",'Mapa final'!#REF!="Mayor"),CONCATENATE("R2C",'Mapa final'!#REF!),"")</f>
        <v>#REF!</v>
      </c>
      <c r="AI22" s="35"/>
      <c r="AJ22" s="36" t="e">
        <f>IF(AND('Mapa final'!#REF!="Alta",'Mapa final'!#REF!="Catastrófico"),CONCATENATE("R2C",'Mapa final'!$R$15),"")</f>
        <v>#REF!</v>
      </c>
      <c r="AK22" s="36" t="e">
        <f>IF(AND('Mapa final'!#REF!="Alta",'Mapa final'!#REF!="Catastrófico"),CONCATENATE("R2C",'Mapa final'!#REF!),"")</f>
        <v>#REF!</v>
      </c>
      <c r="AL22" s="36" t="e">
        <f>IF(AND('Mapa final'!#REF!="Alta",'Mapa final'!#REF!="Catastrófico"),CONCATENATE("R2C",'Mapa final'!#REF!),"")</f>
        <v>#REF!</v>
      </c>
      <c r="AM22" s="36" t="e">
        <f>IF(AND('Mapa final'!#REF!="Alta",'Mapa final'!#REF!="Catastrófico"),CONCATENATE("R2C",'Mapa final'!#REF!),"")</f>
        <v>#REF!</v>
      </c>
      <c r="AN22" s="37" t="e">
        <f>IF(AND('Mapa final'!#REF!="Alta",'Mapa final'!#REF!="Catastrófico"),CONCATENATE("R2C",'Mapa final'!#REF!),"")</f>
        <v>#REF!</v>
      </c>
      <c r="AO22" s="68"/>
      <c r="AP22" s="577" t="s">
        <v>255</v>
      </c>
      <c r="AQ22" s="578"/>
      <c r="AR22" s="578"/>
      <c r="AS22" s="578"/>
      <c r="AT22" s="578"/>
      <c r="AU22" s="579"/>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row>
    <row r="23" spans="2:77" ht="15" customHeight="1">
      <c r="B23" s="68"/>
      <c r="C23" s="527"/>
      <c r="D23" s="527"/>
      <c r="E23" s="528"/>
      <c r="F23" s="586"/>
      <c r="G23" s="571"/>
      <c r="H23" s="571"/>
      <c r="I23" s="571"/>
      <c r="J23" s="571"/>
      <c r="K23" s="53" t="e">
        <f>IF(AND('Mapa final'!#REF!="Alta",'Mapa final'!#REF!="Leve"),CONCATENATE("R2C",'Mapa final'!#REF!),"")</f>
        <v>#REF!</v>
      </c>
      <c r="L23" s="54" t="e">
        <f>IF(AND('Mapa final'!#REF!="Alta",'Mapa final'!#REF!="Leve"),CONCATENATE("R2C",'Mapa final'!#REF!),"")</f>
        <v>#REF!</v>
      </c>
      <c r="M23" s="54" t="str">
        <f>IF(AND('Mapa final'!$AH$24="Alta",'Mapa final'!$AJ$24="Leve"),CONCATENATE("R2C",'Mapa final'!$R$24),"")</f>
        <v/>
      </c>
      <c r="N23" s="54" t="e">
        <f>IF(AND('Mapa final'!#REF!="Alta",'Mapa final'!#REF!="Leve"),CONCATENATE("R2C",'Mapa final'!#REF!),"")</f>
        <v>#REF!</v>
      </c>
      <c r="O23" s="54" t="str">
        <f>IF(AND('Mapa final'!$AH$26="Alta",'Mapa final'!$AJ$26="Leve"),CONCATENATE("R2C",'Mapa final'!$R$26),"")</f>
        <v/>
      </c>
      <c r="P23" s="55" t="str">
        <f>IF(AND('Mapa final'!$AH$27="Alta",'Mapa final'!$AJ$27="Leve"),CONCATENATE("R2C",'Mapa final'!$R$27),"")</f>
        <v/>
      </c>
      <c r="Q23" s="53" t="e">
        <f>IF(AND('Mapa final'!#REF!="Alta",'Mapa final'!#REF!="Menor"),CONCATENATE("R2C",'Mapa final'!#REF!),"")</f>
        <v>#REF!</v>
      </c>
      <c r="R23" s="54" t="e">
        <f>IF(AND('Mapa final'!#REF!="Alta",'Mapa final'!#REF!="Menor"),CONCATENATE("R2C",'Mapa final'!#REF!),"")</f>
        <v>#REF!</v>
      </c>
      <c r="S23" s="54" t="str">
        <f>IF(AND('Mapa final'!$AH$24="Alta",'Mapa final'!$AJ$24="Menor"),CONCATENATE("R2C",'Mapa final'!$R$24),"")</f>
        <v/>
      </c>
      <c r="T23" s="54" t="str">
        <f>IF(AND('Mapa final'!$AH$25="Alta",'Mapa final'!$AJ$25="Menor"),CONCATENATE("R2C",'Mapa final'!$R$25),"")</f>
        <v/>
      </c>
      <c r="U23" s="54" t="str">
        <f>IF(AND('Mapa final'!$AH$26="Alta",'Mapa final'!$AJ$26="Menor"),CONCATENATE("R2C",'Mapa final'!$R$26),"")</f>
        <v/>
      </c>
      <c r="V23" s="55" t="str">
        <f>IF(AND('Mapa final'!$AH$27="Alta",'Mapa final'!$AJ$27="Menor"),CONCATENATE("R2C",'Mapa final'!$R$27),"")</f>
        <v/>
      </c>
      <c r="W23" s="38" t="e">
        <f>IF(AND('Mapa final'!#REF!="Alta",'Mapa final'!#REF!="Moderado"),CONCATENATE("R2C",'Mapa final'!#REF!),"")</f>
        <v>#REF!</v>
      </c>
      <c r="X23" s="39" t="e">
        <f>IF(AND('Mapa final'!#REF!="Alta",'Mapa final'!#REF!="Moderado"),CONCATENATE("R2C",'Mapa final'!#REF!),"")</f>
        <v>#REF!</v>
      </c>
      <c r="Y23" s="39" t="str">
        <f>IF(AND('Mapa final'!$AH$24="Alta",'Mapa final'!$AJ$24="Moderado"),CONCATENATE("R2C",'Mapa final'!$R$24),"")</f>
        <v/>
      </c>
      <c r="Z23" s="39" t="str">
        <f>IF(AND('Mapa final'!$AH$25="Alta",'Mapa final'!$AJ$25="Moderado"),CONCATENATE("R2C",'Mapa final'!$R$25),"")</f>
        <v/>
      </c>
      <c r="AA23" s="39" t="str">
        <f>IF(AND('Mapa final'!$AH$26="Alta",'Mapa final'!$AJ$26="Moderado"),CONCATENATE("R2C",'Mapa final'!$R$26),"")</f>
        <v/>
      </c>
      <c r="AB23" s="40" t="str">
        <f>IF(AND('Mapa final'!$AH$27="Alta",'Mapa final'!$AJ$27="Moderado"),CONCATENATE("R2C",'Mapa final'!$R$27),"")</f>
        <v/>
      </c>
      <c r="AC23" s="38" t="e">
        <f>IF(AND('Mapa final'!#REF!="Alta",'Mapa final'!#REF!="Mayor"),CONCATENATE("R2C",'Mapa final'!#REF!),"")</f>
        <v>#REF!</v>
      </c>
      <c r="AD23" s="39" t="e">
        <f>IF(AND('Mapa final'!#REF!="Alta",'Mapa final'!#REF!="Mayor"),CONCATENATE("R2C",'Mapa final'!#REF!),"")</f>
        <v>#REF!</v>
      </c>
      <c r="AE23" s="39" t="str">
        <f>IF(AND('Mapa final'!$AH$24="Alta",'Mapa final'!$AJ$24="Mayor"),CONCATENATE("R2C",'Mapa final'!$R$24),"")</f>
        <v/>
      </c>
      <c r="AF23" s="39" t="str">
        <f>IF(AND('Mapa final'!$AH$25="Alta",'Mapa final'!$AJ$25="Mayor"),CONCATENATE("R2C",'Mapa final'!$R$25),"")</f>
        <v/>
      </c>
      <c r="AG23" s="39" t="str">
        <f>IF(AND('Mapa final'!$AH$26="Alta",'Mapa final'!$AJ$26="Mayor"),CONCATENATE("R2C",'Mapa final'!$R$26),"")</f>
        <v/>
      </c>
      <c r="AH23" s="40" t="str">
        <f>IF(AND('Mapa final'!$AH$27="Alta",'Mapa final'!$AJ$27="Mayor"),CONCATENATE("R2C",'Mapa final'!$R$27),"")</f>
        <v/>
      </c>
      <c r="AI23" s="41" t="e">
        <f>IF(AND('Mapa final'!#REF!="Alta",'Mapa final'!#REF!="Catastrófico"),CONCATENATE("R2C",'Mapa final'!#REF!),"")</f>
        <v>#REF!</v>
      </c>
      <c r="AJ23" s="42" t="e">
        <f>IF(AND('Mapa final'!#REF!="Alta",'Mapa final'!#REF!="Catastrófico"),CONCATENATE("R2C",'Mapa final'!#REF!),"")</f>
        <v>#REF!</v>
      </c>
      <c r="AK23" s="42" t="str">
        <f>IF(AND('Mapa final'!$AH$24="Alta",'Mapa final'!$AJ$24="Catastrófico"),CONCATENATE("R2C",'Mapa final'!$R$24),"")</f>
        <v/>
      </c>
      <c r="AL23" s="42" t="str">
        <f>IF(AND('Mapa final'!$AH$25="Alta",'Mapa final'!$AJ$25="Catastrófico"),CONCATENATE("R2C",'Mapa final'!$R$25),"")</f>
        <v/>
      </c>
      <c r="AM23" s="42" t="str">
        <f>IF(AND('Mapa final'!$AH$26="Alta",'Mapa final'!$AJ$26="Catastrófico"),CONCATENATE("R2C",'Mapa final'!$R$26),"")</f>
        <v/>
      </c>
      <c r="AN23" s="43" t="str">
        <f>IF(AND('Mapa final'!$AH$27="Alta",'Mapa final'!$AJ$27="Catastrófico"),CONCATENATE("R2C",'Mapa final'!$R$27),"")</f>
        <v/>
      </c>
      <c r="AO23" s="68"/>
      <c r="AP23" s="580"/>
      <c r="AQ23" s="581"/>
      <c r="AR23" s="581"/>
      <c r="AS23" s="581"/>
      <c r="AT23" s="581"/>
      <c r="AU23" s="582"/>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row>
    <row r="24" spans="2:77" ht="15" customHeight="1">
      <c r="B24" s="68"/>
      <c r="C24" s="527"/>
      <c r="D24" s="527"/>
      <c r="E24" s="528"/>
      <c r="F24" s="570"/>
      <c r="G24" s="571"/>
      <c r="H24" s="571"/>
      <c r="I24" s="571"/>
      <c r="J24" s="571"/>
      <c r="K24" s="53" t="str">
        <f>IF(AND('Mapa final'!$AH$28="Alta",'Mapa final'!$AJ$28="Leve"),CONCATENATE("R2C",'Mapa final'!$R$28),"")</f>
        <v/>
      </c>
      <c r="L24" s="54" t="str">
        <f>IF(AND('Mapa final'!$AH$29="Alta",'Mapa final'!$AJ$29="Leve"),CONCATENATE("R2C",'Mapa final'!$R$29),"")</f>
        <v/>
      </c>
      <c r="M24" s="54" t="str">
        <f>IF(AND('Mapa final'!$AH$30="Alta",'Mapa final'!$AJ$30="Leve"),CONCATENATE("R2C",'Mapa final'!$R$30),"")</f>
        <v/>
      </c>
      <c r="N24" s="54" t="e">
        <f>IF(AND('Mapa final'!#REF!="Alta",'Mapa final'!#REF!="Leve"),CONCATENATE("R2C",'Mapa final'!#REF!),"")</f>
        <v>#REF!</v>
      </c>
      <c r="O24" s="54" t="str">
        <f>IF(AND('Mapa final'!$AH$32="Alta",'Mapa final'!$AJ$32="Leve"),CONCATENATE("R2C",'Mapa final'!$R$32),"")</f>
        <v/>
      </c>
      <c r="P24" s="55" t="str">
        <f>IF(AND('Mapa final'!$AH$33="Alta",'Mapa final'!$AJ$33="Leve"),CONCATENATE("R2C",'Mapa final'!$R$33),"")</f>
        <v/>
      </c>
      <c r="Q24" s="53" t="str">
        <f>IF(AND('Mapa final'!$AH$28="Alta",'Mapa final'!$AJ$28="Menor"),CONCATENATE("R2C",'Mapa final'!$R$28),"")</f>
        <v/>
      </c>
      <c r="R24" s="54" t="str">
        <f>IF(AND('Mapa final'!$AH$29="Alta",'Mapa final'!$AJ$29="Menor"),CONCATENATE("R2C",'Mapa final'!$R$29),"")</f>
        <v/>
      </c>
      <c r="S24" s="54" t="str">
        <f>IF(AND('Mapa final'!$AH$30="Alta",'Mapa final'!$AJ$30="Menor"),CONCATENATE("R2C",'Mapa final'!$R$30),"")</f>
        <v/>
      </c>
      <c r="T24" s="54" t="str">
        <f>IF(AND('Mapa final'!$AH$31="Alta",'Mapa final'!$AJ$31="Menor"),CONCATENATE("R2C",'Mapa final'!$R$31),"")</f>
        <v/>
      </c>
      <c r="U24" s="54" t="str">
        <f>IF(AND('Mapa final'!$AH$32="Alta",'Mapa final'!$AJ$32="Menor"),CONCATENATE("R2C",'Mapa final'!$R$32),"")</f>
        <v/>
      </c>
      <c r="V24" s="55" t="str">
        <f>IF(AND('Mapa final'!$AH$33="Alta",'Mapa final'!$AJ$33="Menor"),CONCATENATE("R2C",'Mapa final'!$R$33),"")</f>
        <v/>
      </c>
      <c r="W24" s="38" t="str">
        <f>IF(AND('Mapa final'!$AH$28="Alta",'Mapa final'!$AJ$28="Moderado"),CONCATENATE("R2C",'Mapa final'!$R$28),"")</f>
        <v/>
      </c>
      <c r="X24" s="39" t="str">
        <f>IF(AND('Mapa final'!$AH$29="Alta",'Mapa final'!$AJ$29="Moderado"),CONCATENATE("R2C",'Mapa final'!$R$29),"")</f>
        <v/>
      </c>
      <c r="Y24" s="39" t="str">
        <f>IF(AND('Mapa final'!$AH$30="Alta",'Mapa final'!$AJ$30="Moderado"),CONCATENATE("R2C",'Mapa final'!$R$30),"")</f>
        <v/>
      </c>
      <c r="Z24" s="39" t="str">
        <f>IF(AND('Mapa final'!$AH$31="Alta",'Mapa final'!$AJ$31="Moderado"),CONCATENATE("R2C",'Mapa final'!$R$31),"")</f>
        <v/>
      </c>
      <c r="AA24" s="39" t="str">
        <f>IF(AND('Mapa final'!$AH$32="Alta",'Mapa final'!$AJ$32="Moderado"),CONCATENATE("R2C",'Mapa final'!$R$32),"")</f>
        <v/>
      </c>
      <c r="AB24" s="40" t="str">
        <f>IF(AND('Mapa final'!$AH$33="Alta",'Mapa final'!$AJ$33="Moderado"),CONCATENATE("R2C",'Mapa final'!$R$33),"")</f>
        <v/>
      </c>
      <c r="AC24" s="38" t="str">
        <f>IF(AND('Mapa final'!$AH$28="Alta",'Mapa final'!$AJ$28="Mayor"),CONCATENATE("R2C",'Mapa final'!$R$28),"")</f>
        <v/>
      </c>
      <c r="AD24" s="39" t="str">
        <f>IF(AND('Mapa final'!$AH$29="Alta",'Mapa final'!$AJ$29="Mayor"),CONCATENATE("R2C",'Mapa final'!$R$29),"")</f>
        <v/>
      </c>
      <c r="AE24" s="39" t="str">
        <f>IF(AND('Mapa final'!$AH$30="Alta",'Mapa final'!$AJ$30="Mayor"),CONCATENATE("R2C",'Mapa final'!$R$30),"")</f>
        <v/>
      </c>
      <c r="AF24" s="39" t="str">
        <f>IF(AND('Mapa final'!$AH$31="Alta",'Mapa final'!$AJ$31="Mayor"),CONCATENATE("R2C",'Mapa final'!$R$31),"")</f>
        <v/>
      </c>
      <c r="AG24" s="39" t="str">
        <f>IF(AND('Mapa final'!$AH$32="Alta",'Mapa final'!$AJ$32="Mayor"),CONCATENATE("R2C",'Mapa final'!$R$32),"")</f>
        <v/>
      </c>
      <c r="AH24" s="40" t="str">
        <f>IF(AND('Mapa final'!$AH$33="Alta",'Mapa final'!$AJ$33="Mayor"),CONCATENATE("R2C",'Mapa final'!$R$33),"")</f>
        <v/>
      </c>
      <c r="AI24" s="41" t="str">
        <f>IF(AND('Mapa final'!$AH$28="Alta",'Mapa final'!$AJ$28="Catastrófico"),CONCATENATE("R2C",'Mapa final'!$R$28),"")</f>
        <v/>
      </c>
      <c r="AJ24" s="42" t="str">
        <f>IF(AND('Mapa final'!$AH$29="Alta",'Mapa final'!$AJ$29="Catastrófico"),CONCATENATE("R2C",'Mapa final'!$R$29),"")</f>
        <v/>
      </c>
      <c r="AK24" s="42" t="str">
        <f>IF(AND('Mapa final'!$AH$30="Alta",'Mapa final'!$AJ$30="Catastrófico"),CONCATENATE("R2C",'Mapa final'!$R$30),"")</f>
        <v/>
      </c>
      <c r="AL24" s="42" t="str">
        <f>IF(AND('Mapa final'!$AH$31="Alta",'Mapa final'!$AJ$31="Catastrófico"),CONCATENATE("R2C",'Mapa final'!$R$31),"")</f>
        <v/>
      </c>
      <c r="AM24" s="42" t="str">
        <f>IF(AND('Mapa final'!$AH$32="Alta",'Mapa final'!$AJ$32="Catastrófico"),CONCATENATE("R2C",'Mapa final'!$R$32),"")</f>
        <v/>
      </c>
      <c r="AN24" s="43" t="str">
        <f>IF(AND('Mapa final'!$AH$33="Alta",'Mapa final'!$AJ$33="Catastrófico"),CONCATENATE("R2C",'Mapa final'!$R$33),"")</f>
        <v/>
      </c>
      <c r="AO24" s="68"/>
      <c r="AP24" s="580"/>
      <c r="AQ24" s="581"/>
      <c r="AR24" s="581"/>
      <c r="AS24" s="581"/>
      <c r="AT24" s="581"/>
      <c r="AU24" s="582"/>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row>
    <row r="25" spans="2:77" ht="15" customHeight="1">
      <c r="B25" s="68"/>
      <c r="C25" s="527"/>
      <c r="D25" s="527"/>
      <c r="E25" s="528"/>
      <c r="F25" s="570"/>
      <c r="G25" s="571"/>
      <c r="H25" s="571"/>
      <c r="I25" s="571"/>
      <c r="J25" s="571"/>
      <c r="K25" s="53" t="str">
        <f>IF(AND('Mapa final'!$AH$34="Alta",'Mapa final'!$AJ$34="Leve"),CONCATENATE("R2C",'Mapa final'!$R$34),"")</f>
        <v/>
      </c>
      <c r="L25" s="54" t="str">
        <f>IF(AND('Mapa final'!$AH$35="Alta",'Mapa final'!$AJ$35="Leve"),CONCATENATE("R2C",'Mapa final'!$R$35),"")</f>
        <v/>
      </c>
      <c r="M25" s="54" t="str">
        <f>IF(AND('Mapa final'!$AH$36="Alta",'Mapa final'!$AJ$36="Leve"),CONCATENATE("R2C",'Mapa final'!$R$36),"")</f>
        <v/>
      </c>
      <c r="N25" s="54" t="e">
        <f>IF(AND('Mapa final'!#REF!="Alta",'Mapa final'!#REF!="Leve"),CONCATENATE("R2C",'Mapa final'!#REF!),"")</f>
        <v>#REF!</v>
      </c>
      <c r="O25" s="54" t="str">
        <f>IF(AND('Mapa final'!$AH$38="Alta",'Mapa final'!$AJ$38="Leve"),CONCATENATE("R2C",'Mapa final'!$R$38),"")</f>
        <v/>
      </c>
      <c r="P25" s="55" t="str">
        <f>IF(AND('Mapa final'!$AH$39="Alta",'Mapa final'!$AJ$39="Leve"),CONCATENATE("R2C",'Mapa final'!$R$39),"")</f>
        <v/>
      </c>
      <c r="Q25" s="53" t="str">
        <f>IF(AND('Mapa final'!$AH$34="Alta",'Mapa final'!$AJ$34="Menor"),CONCATENATE("R2C",'Mapa final'!$R$34),"")</f>
        <v/>
      </c>
      <c r="R25" s="54" t="str">
        <f>IF(AND('Mapa final'!$AH$35="Alta",'Mapa final'!$AJ$35="Menor"),CONCATENATE("R2C",'Mapa final'!$R$35),"")</f>
        <v/>
      </c>
      <c r="S25" s="54" t="str">
        <f>IF(AND('Mapa final'!$AH$36="Alta",'Mapa final'!$AJ$36="Menor"),CONCATENATE("R2C",'Mapa final'!$R$36),"")</f>
        <v/>
      </c>
      <c r="T25" s="54" t="str">
        <f>IF(AND('Mapa final'!$AH$37="Alta",'Mapa final'!$AJ$37="Menor"),CONCATENATE("R2C",'Mapa final'!$R$37),"")</f>
        <v/>
      </c>
      <c r="U25" s="54" t="str">
        <f>IF(AND('Mapa final'!$AH$38="Alta",'Mapa final'!$AJ$38="LMenor"),CONCATENATE("R2C",'Mapa final'!$R$38),"")</f>
        <v/>
      </c>
      <c r="V25" s="55" t="str">
        <f>IF(AND('Mapa final'!$AH$39="Alta",'Mapa final'!$AJ$39="Menor"),CONCATENATE("R2C",'Mapa final'!$R$39),"")</f>
        <v/>
      </c>
      <c r="W25" s="38" t="str">
        <f>IF(AND('Mapa final'!$AH$34="Alta",'Mapa final'!$AJ$34="Moderado"),CONCATENATE("R2C",'Mapa final'!$R$34),"")</f>
        <v/>
      </c>
      <c r="X25" s="39" t="str">
        <f>IF(AND('Mapa final'!$AH$35="Alta",'Mapa final'!$AJ$35="Moderado"),CONCATENATE("R2C",'Mapa final'!$R$35),"")</f>
        <v/>
      </c>
      <c r="Y25" s="39" t="str">
        <f>IF(AND('Mapa final'!$AH$36="Alta",'Mapa final'!$AJ$36="Moderado"),CONCATENATE("R2C",'Mapa final'!$R$36),"")</f>
        <v/>
      </c>
      <c r="Z25" s="39" t="str">
        <f>IF(AND('Mapa final'!$AH$37="Alta",'Mapa final'!$AJ$37="Moderado"),CONCATENATE("R2C",'Mapa final'!$R$37),"")</f>
        <v/>
      </c>
      <c r="AA25" s="39" t="str">
        <f>IF(AND('Mapa final'!$AH$38="Alta",'Mapa final'!$AJ$38="Moderado"),CONCATENATE("R2C",'Mapa final'!$R$38),"")</f>
        <v/>
      </c>
      <c r="AB25" s="40" t="str">
        <f>IF(AND('Mapa final'!$AH$39="Alta",'Mapa final'!$AJ$39="Moderado"),CONCATENATE("R2C",'Mapa final'!$R$39),"")</f>
        <v/>
      </c>
      <c r="AC25" s="38" t="str">
        <f>IF(AND('Mapa final'!$AH$34="Alta",'Mapa final'!$AJ$34="Mayor"),CONCATENATE("R2C",'Mapa final'!$R$34),"")</f>
        <v/>
      </c>
      <c r="AD25" s="39" t="str">
        <f>IF(AND('Mapa final'!$AH$35="Alta",'Mapa final'!$AJ$35="Mayor"),CONCATENATE("R2C",'Mapa final'!$R$35),"")</f>
        <v/>
      </c>
      <c r="AE25" s="39" t="str">
        <f>IF(AND('Mapa final'!$AH$36="Alta",'Mapa final'!$AJ$36="Mayor"),CONCATENATE("R2C",'Mapa final'!$R$36),"")</f>
        <v/>
      </c>
      <c r="AF25" s="39" t="str">
        <f>IF(AND('Mapa final'!$AH$37="Alta",'Mapa final'!$AJ$37="Mayor"),CONCATENATE("R2C",'Mapa final'!$R$37),"")</f>
        <v/>
      </c>
      <c r="AG25" s="39" t="str">
        <f>IF(AND('Mapa final'!$AH$38="Alta",'Mapa final'!$AJ$38="Mayor"),CONCATENATE("R2C",'Mapa final'!$R$38),"")</f>
        <v/>
      </c>
      <c r="AH25" s="40" t="str">
        <f>IF(AND('Mapa final'!$AH$39="Alta",'Mapa final'!$AJ$39="Mayor"),CONCATENATE("R2C",'Mapa final'!$R$39),"")</f>
        <v/>
      </c>
      <c r="AI25" s="41" t="str">
        <f>IF(AND('Mapa final'!$AH$34="Alta",'Mapa final'!$AJ$34="Catastrófico"),CONCATENATE("R2C",'Mapa final'!$R$34),"")</f>
        <v/>
      </c>
      <c r="AJ25" s="42" t="str">
        <f>IF(AND('Mapa final'!$AH$35="Alta",'Mapa final'!$AJ$35="Catastrófico"),CONCATENATE("R2C",'Mapa final'!$R$35),"")</f>
        <v/>
      </c>
      <c r="AK25" s="42" t="str">
        <f>IF(AND('Mapa final'!$AH$36="Alta",'Mapa final'!$AJ$36="Catastrófico"),CONCATENATE("R2C",'Mapa final'!$R$36),"")</f>
        <v/>
      </c>
      <c r="AL25" s="42" t="str">
        <f>IF(AND('Mapa final'!$AH$37="Alta",'Mapa final'!$AJ$37="Catastrófico"),CONCATENATE("R2C",'Mapa final'!$R$37),"")</f>
        <v/>
      </c>
      <c r="AM25" s="42" t="str">
        <f>IF(AND('Mapa final'!$AH$38="Alta",'Mapa final'!$AJ$38="LCatastrófico"),CONCATENATE("R2C",'Mapa final'!$R$38),"")</f>
        <v/>
      </c>
      <c r="AN25" s="43" t="str">
        <f>IF(AND('Mapa final'!$AH$39="Alta",'Mapa final'!$AJ$39="Catastrófico"),CONCATENATE("R2C",'Mapa final'!$R$39),"")</f>
        <v/>
      </c>
      <c r="AO25" s="68"/>
      <c r="AP25" s="580"/>
      <c r="AQ25" s="581"/>
      <c r="AR25" s="581"/>
      <c r="AS25" s="581"/>
      <c r="AT25" s="581"/>
      <c r="AU25" s="582"/>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row>
    <row r="26" spans="2:77" ht="15" customHeight="1">
      <c r="B26" s="68"/>
      <c r="C26" s="527"/>
      <c r="D26" s="527"/>
      <c r="E26" s="528"/>
      <c r="F26" s="570"/>
      <c r="G26" s="571"/>
      <c r="H26" s="571"/>
      <c r="I26" s="571"/>
      <c r="J26" s="571"/>
      <c r="K26" s="53" t="str">
        <f>IF(AND('Mapa final'!$AH$40="Alta",'Mapa final'!$AJ$40="Leve"),CONCATENATE("R2C",'Mapa final'!$R$40),"")</f>
        <v/>
      </c>
      <c r="L26" s="54" t="str">
        <f>IF(AND('Mapa final'!$AH$41="Alta",'Mapa final'!$AJ$41="Leve"),CONCATENATE("R2C",'Mapa final'!$R$41),"")</f>
        <v/>
      </c>
      <c r="M26" s="54" t="str">
        <f>IF(AND('Mapa final'!$AH$42="Alta",'Mapa final'!$AJ$42="Leve"),CONCATENATE("R2C",'Mapa final'!$R$42),"")</f>
        <v/>
      </c>
      <c r="N26" s="54" t="e">
        <f>IF(AND('Mapa final'!#REF!="Alta",'Mapa final'!#REF!="Leve"),CONCATENATE("R2C",'Mapa final'!#REF!),"")</f>
        <v>#REF!</v>
      </c>
      <c r="O26" s="54" t="str">
        <f>IF(AND('Mapa final'!$AH$44="Alta",'Mapa final'!$AJ$44="Leve"),CONCATENATE("R2C",'Mapa final'!$R$44),"")</f>
        <v/>
      </c>
      <c r="P26" s="55" t="str">
        <f>IF(AND('Mapa final'!$AH$45="Alta",'Mapa final'!$AJ$45="Leve"),CONCATENATE("R2C",'Mapa final'!$R$45),"")</f>
        <v/>
      </c>
      <c r="Q26" s="53" t="str">
        <f>IF(AND('Mapa final'!$AH$40="Alta",'Mapa final'!$AJ$40="Menor"),CONCATENATE("R2C",'Mapa final'!$R$40),"")</f>
        <v/>
      </c>
      <c r="R26" s="54" t="str">
        <f>IF(AND('Mapa final'!$AH$41="Alta",'Mapa final'!$AJ$41="Menor"),CONCATENATE("R2C",'Mapa final'!$R$41),"")</f>
        <v/>
      </c>
      <c r="S26" s="54" t="str">
        <f>IF(AND('Mapa final'!$AH$42="Alta",'Mapa final'!$AJ$42="Menor"),CONCATENATE("R2C",'Mapa final'!$R$42),"")</f>
        <v/>
      </c>
      <c r="T26" s="54" t="str">
        <f>IF(AND('Mapa final'!$AH$43="Alta",'Mapa final'!$AJ$43="Menor"),CONCATENATE("R2C",'Mapa final'!$R$43),"")</f>
        <v/>
      </c>
      <c r="U26" s="54" t="str">
        <f>IF(AND('Mapa final'!$AH$44="Alta",'Mapa final'!$AJ$44="Menor"),CONCATENATE("R2C",'Mapa final'!$R$44),"")</f>
        <v/>
      </c>
      <c r="V26" s="55" t="str">
        <f>IF(AND('Mapa final'!$AH$45="Alta",'Mapa final'!$AJ$45="Menor"),CONCATENATE("R2C",'Mapa final'!$R$45),"")</f>
        <v/>
      </c>
      <c r="W26" s="38" t="str">
        <f>IF(AND('Mapa final'!$AH$40="Alta",'Mapa final'!$AJ$40="Moderado"),CONCATENATE("R2C",'Mapa final'!$R$40),"")</f>
        <v/>
      </c>
      <c r="X26" s="39" t="str">
        <f>IF(AND('Mapa final'!$AH$41="Alta",'Mapa final'!$AJ$41="Moderado"),CONCATENATE("R2C",'Mapa final'!$R$41),"")</f>
        <v/>
      </c>
      <c r="Y26" s="39" t="str">
        <f>IF(AND('Mapa final'!$AH$42="Alta",'Mapa final'!$AJ$42="Moderado"),CONCATENATE("R2C",'Mapa final'!$R$42),"")</f>
        <v/>
      </c>
      <c r="Z26" s="39" t="str">
        <f>IF(AND('Mapa final'!$AH$43="Alta",'Mapa final'!$AJ$43="Moderado"),CONCATENATE("R2C",'Mapa final'!$R$43),"")</f>
        <v/>
      </c>
      <c r="AA26" s="39" t="str">
        <f>IF(AND('Mapa final'!$AH$44="Alta",'Mapa final'!$AJ$44="Moderado"),CONCATENATE("R2C",'Mapa final'!$R$44),"")</f>
        <v/>
      </c>
      <c r="AB26" s="40" t="str">
        <f>IF(AND('Mapa final'!$AH$45="Alta",'Mapa final'!$AJ$45="Moderado"),CONCATENATE("R2C",'Mapa final'!$R$45),"")</f>
        <v/>
      </c>
      <c r="AC26" s="38" t="str">
        <f>IF(AND('Mapa final'!$AH$40="Alta",'Mapa final'!$AJ$40="Mayor"),CONCATENATE("R2C",'Mapa final'!$R$40),"")</f>
        <v/>
      </c>
      <c r="AD26" s="39" t="str">
        <f>IF(AND('Mapa final'!$AH$41="Alta",'Mapa final'!$AJ$41="Mayor"),CONCATENATE("R2C",'Mapa final'!$R$41),"")</f>
        <v/>
      </c>
      <c r="AE26" s="39" t="str">
        <f>IF(AND('Mapa final'!$AH$42="Alta",'Mapa final'!$AJ$42="Mayor"),CONCATENATE("R2C",'Mapa final'!$R$42),"")</f>
        <v/>
      </c>
      <c r="AF26" s="39" t="str">
        <f>IF(AND('Mapa final'!$AH$43="Alta",'Mapa final'!$AJ$43="Mayor"),CONCATENATE("R2C",'Mapa final'!$R$43),"")</f>
        <v/>
      </c>
      <c r="AG26" s="39" t="str">
        <f>IF(AND('Mapa final'!$AH$44="Alta",'Mapa final'!$AJ$44="Mayor"),CONCATENATE("R2C",'Mapa final'!$R$44),"")</f>
        <v/>
      </c>
      <c r="AH26" s="40" t="str">
        <f>IF(AND('Mapa final'!$AH$45="Alta",'Mapa final'!$AJ$45="Mayor"),CONCATENATE("R2C",'Mapa final'!$R$45),"")</f>
        <v/>
      </c>
      <c r="AI26" s="41" t="str">
        <f>IF(AND('Mapa final'!$AH$40="Alta",'Mapa final'!$AJ$40="Catastrófico"),CONCATENATE("R2C",'Mapa final'!$R$40),"")</f>
        <v/>
      </c>
      <c r="AJ26" s="42" t="str">
        <f>IF(AND('Mapa final'!$AH$41="Alta",'Mapa final'!$AJ$41="Catastrófico"),CONCATENATE("R2C",'Mapa final'!$R$41),"")</f>
        <v/>
      </c>
      <c r="AK26" s="42" t="str">
        <f>IF(AND('Mapa final'!$AH$42="Alta",'Mapa final'!$AJ$42="Catastrófico"),CONCATENATE("R2C",'Mapa final'!$R$42),"")</f>
        <v/>
      </c>
      <c r="AL26" s="42" t="str">
        <f>IF(AND('Mapa final'!$AH$43="Alta",'Mapa final'!$AJ$43="Catastrófico"),CONCATENATE("R2C",'Mapa final'!$R$43),"")</f>
        <v/>
      </c>
      <c r="AM26" s="42" t="str">
        <f>IF(AND('Mapa final'!$AH$44="Alta",'Mapa final'!$AJ$44="Catastrófico"),CONCATENATE("R2C",'Mapa final'!$R$44),"")</f>
        <v/>
      </c>
      <c r="AN26" s="43" t="str">
        <f>IF(AND('Mapa final'!$AH$45="Alta",'Mapa final'!$AJ$45="Catastrófico"),CONCATENATE("R2C",'Mapa final'!$R$45),"")</f>
        <v/>
      </c>
      <c r="AO26" s="68"/>
      <c r="AP26" s="580"/>
      <c r="AQ26" s="581"/>
      <c r="AR26" s="581"/>
      <c r="AS26" s="581"/>
      <c r="AT26" s="581"/>
      <c r="AU26" s="582"/>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row>
    <row r="27" spans="2:77" ht="15" customHeight="1">
      <c r="B27" s="68"/>
      <c r="C27" s="527"/>
      <c r="D27" s="527"/>
      <c r="E27" s="528"/>
      <c r="F27" s="570"/>
      <c r="G27" s="571"/>
      <c r="H27" s="571"/>
      <c r="I27" s="571"/>
      <c r="J27" s="571"/>
      <c r="K27" s="53" t="str">
        <f>IF(AND('Mapa final'!$AH$46="Alta",'Mapa final'!$AJ$46="Leve"),CONCATENATE("R2C",'Mapa final'!$R$46),"")</f>
        <v/>
      </c>
      <c r="L27" s="54" t="str">
        <f>IF(AND('Mapa final'!$AH$47="Alta",'Mapa final'!$AJ$47="Leve"),CONCATENATE("R2C",'Mapa final'!$R$47),"")</f>
        <v/>
      </c>
      <c r="M27" s="54" t="str">
        <f>IF(AND('Mapa final'!$AH$48="Alta",'Mapa final'!$AJ$48="Leve"),CONCATENATE("R2C",'Mapa final'!$R$48),"")</f>
        <v/>
      </c>
      <c r="N27" s="54" t="e">
        <f>IF(AND('Mapa final'!#REF!="Alta",'Mapa final'!#REF!="Leve"),CONCATENATE("R2C",'Mapa final'!#REF!),"")</f>
        <v>#REF!</v>
      </c>
      <c r="O27" s="54" t="str">
        <f>IF(AND('Mapa final'!$AH$50="Alta",'Mapa final'!$AJ$50="Leve"),CONCATENATE("R2C",'Mapa final'!$R$50),"")</f>
        <v/>
      </c>
      <c r="P27" s="55" t="str">
        <f>IF(AND('Mapa final'!$AH$61="Alta",'Mapa final'!$AJ$51="Leve"),CONCATENATE("R2C",'Mapa final'!$R$51),"")</f>
        <v/>
      </c>
      <c r="Q27" s="53" t="str">
        <f>IF(AND('Mapa final'!$AH$46="Alta",'Mapa final'!$AJ$46="Menor"),CONCATENATE("R2C",'Mapa final'!$R$46),"")</f>
        <v/>
      </c>
      <c r="R27" s="54" t="str">
        <f>IF(AND('Mapa final'!$AH$47="Alta",'Mapa final'!$AJ$47="Menor"),CONCATENATE("R2C",'Mapa final'!$R$47),"")</f>
        <v/>
      </c>
      <c r="S27" s="54" t="str">
        <f>IF(AND('Mapa final'!$AH$48="Alta",'Mapa final'!$AJ$48="Menor"),CONCATENATE("R2C",'Mapa final'!$R$48),"")</f>
        <v/>
      </c>
      <c r="T27" s="54" t="str">
        <f>IF(AND('Mapa final'!$AH$49="Alta",'Mapa final'!$AJ$49="Menor"),CONCATENATE("R2C",'Mapa final'!$R$49),"")</f>
        <v/>
      </c>
      <c r="U27" s="54" t="str">
        <f>IF(AND('Mapa final'!$AH$50="Alta",'Mapa final'!$AJ$50="Menor"),CONCATENATE("R2C",'Mapa final'!$R$50),"")</f>
        <v/>
      </c>
      <c r="V27" s="55" t="str">
        <f>IF(AND('Mapa final'!$AH$61="Alta",'Mapa final'!$AJ$51="Menor"),CONCATENATE("R2C",'Mapa final'!$R$51),"")</f>
        <v/>
      </c>
      <c r="W27" s="38" t="str">
        <f>IF(AND('Mapa final'!$AH$46="Alta",'Mapa final'!$AJ$46="Moderado"),CONCATENATE("R2C",'Mapa final'!$R$46),"")</f>
        <v/>
      </c>
      <c r="X27" s="39" t="str">
        <f>IF(AND('Mapa final'!$AH$47="Alta",'Mapa final'!$AJ$47="Moderado"),CONCATENATE("R2C",'Mapa final'!$R$47),"")</f>
        <v/>
      </c>
      <c r="Y27" s="39" t="str">
        <f>IF(AND('Mapa final'!$AH$48="Alta",'Mapa final'!$AJ$48="Moderado"),CONCATENATE("R2C",'Mapa final'!$R$48),"")</f>
        <v/>
      </c>
      <c r="Z27" s="39" t="str">
        <f>IF(AND('Mapa final'!$AH$49="Alta",'Mapa final'!$AJ$49="Moderado"),CONCATENATE("R2C",'Mapa final'!$R$49),"")</f>
        <v/>
      </c>
      <c r="AA27" s="39" t="str">
        <f>IF(AND('Mapa final'!$AH$50="Alta",'Mapa final'!$AJ$50="Moderado"),CONCATENATE("R2C",'Mapa final'!$R$50),"")</f>
        <v/>
      </c>
      <c r="AB27" s="40" t="str">
        <f>IF(AND('Mapa final'!$AH$61="Alta",'Mapa final'!$AJ$51="Moderado"),CONCATENATE("R2C",'Mapa final'!$R$51),"")</f>
        <v/>
      </c>
      <c r="AC27" s="38" t="str">
        <f>IF(AND('Mapa final'!$AH$46="Alta",'Mapa final'!$AJ$46="Mayor"),CONCATENATE("R2C",'Mapa final'!$R$46),"")</f>
        <v/>
      </c>
      <c r="AD27" s="39" t="str">
        <f>IF(AND('Mapa final'!$AH$47="Alta",'Mapa final'!$AJ$47="Mayor"),CONCATENATE("R2C",'Mapa final'!$R$47),"")</f>
        <v/>
      </c>
      <c r="AE27" s="39" t="str">
        <f>IF(AND('Mapa final'!$AH$48="Alta",'Mapa final'!$AJ$48="Mayor"),CONCATENATE("R2C",'Mapa final'!$R$48),"")</f>
        <v/>
      </c>
      <c r="AF27" s="39" t="str">
        <f>IF(AND('Mapa final'!$AH$49="Alta",'Mapa final'!$AJ$49="Mayor"),CONCATENATE("R2C",'Mapa final'!$R$49),"")</f>
        <v/>
      </c>
      <c r="AG27" s="39" t="str">
        <f>IF(AND('Mapa final'!$AH$50="Alta",'Mapa final'!$AJ$50="Mayor"),CONCATENATE("R2C",'Mapa final'!$R$50),"")</f>
        <v/>
      </c>
      <c r="AH27" s="40" t="str">
        <f>IF(AND('Mapa final'!$AH$61="Alta",'Mapa final'!$AJ$51="Mayor"),CONCATENATE("R2C",'Mapa final'!$R$51),"")</f>
        <v/>
      </c>
      <c r="AI27" s="41" t="str">
        <f>IF(AND('Mapa final'!$AH$46="Alta",'Mapa final'!$AJ$46="Catastrófico"),CONCATENATE("R2C",'Mapa final'!$R$46),"")</f>
        <v/>
      </c>
      <c r="AJ27" s="42" t="str">
        <f>IF(AND('Mapa final'!$AH$47="Alta",'Mapa final'!$AJ$47="Catastrófico"),CONCATENATE("R2C",'Mapa final'!$R$47),"")</f>
        <v/>
      </c>
      <c r="AK27" s="42" t="str">
        <f>IF(AND('Mapa final'!$AH$48="Alta",'Mapa final'!$AJ$48="Catastrófico"),CONCATENATE("R2C",'Mapa final'!$R$48),"")</f>
        <v/>
      </c>
      <c r="AL27" s="42" t="str">
        <f>IF(AND('Mapa final'!$AH$49="Alta",'Mapa final'!$AJ$49="Catastrófico"),CONCATENATE("R2C",'Mapa final'!$R$49),"")</f>
        <v/>
      </c>
      <c r="AM27" s="42" t="str">
        <f>IF(AND('Mapa final'!$AH$50="Alta",'Mapa final'!$AJ$50="Catastrófico"),CONCATENATE("R2C",'Mapa final'!$R$50),"")</f>
        <v/>
      </c>
      <c r="AN27" s="43" t="str">
        <f>IF(AND('Mapa final'!$AH$61="Alta",'Mapa final'!$AJ$51="Catastrófico"),CONCATENATE("R2C",'Mapa final'!$R$51),"")</f>
        <v/>
      </c>
      <c r="AO27" s="68"/>
      <c r="AP27" s="580"/>
      <c r="AQ27" s="581"/>
      <c r="AR27" s="581"/>
      <c r="AS27" s="581"/>
      <c r="AT27" s="581"/>
      <c r="AU27" s="582"/>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row>
    <row r="28" spans="2:77" ht="15" customHeight="1">
      <c r="B28" s="68"/>
      <c r="C28" s="527"/>
      <c r="D28" s="527"/>
      <c r="E28" s="528"/>
      <c r="F28" s="570"/>
      <c r="G28" s="571"/>
      <c r="H28" s="571"/>
      <c r="I28" s="571"/>
      <c r="J28" s="571"/>
      <c r="K28" s="53" t="str">
        <f>IF(AND('Mapa final'!$AH$52="Alta",'Mapa final'!$AJ$52="Leve"),CONCATENATE("R2C",'Mapa final'!$R$52),"")</f>
        <v/>
      </c>
      <c r="L28" s="54" t="str">
        <f>IF(AND('Mapa final'!$AH$53="Alta",'Mapa final'!$AJ$53="Leve"),CONCATENATE("R2C",'Mapa final'!$R$53),"")</f>
        <v/>
      </c>
      <c r="M28" s="54" t="str">
        <f>IF(AND('Mapa final'!$AH$54="Alta",'Mapa final'!$AJ$54="Leve"),CONCATENATE("R2C",'Mapa final'!$R$54),"")</f>
        <v/>
      </c>
      <c r="N28" s="54" t="e">
        <f>IF(AND('Mapa final'!#REF!="Alta",'Mapa final'!#REF!="Leve"),CONCATENATE("R2C",'Mapa final'!#REF!),"")</f>
        <v>#REF!</v>
      </c>
      <c r="O28" s="54" t="str">
        <f>IF(AND('Mapa final'!$AH$56="Alta",'Mapa final'!$AJ$56="Leve"),CONCATENATE("R2C",'Mapa final'!$R$56),"")</f>
        <v/>
      </c>
      <c r="P28" s="55" t="str">
        <f>IF(AND('Mapa final'!$AH$57="Alta",'Mapa final'!$AJ$57="Leve"),CONCATENATE("R2C",'Mapa final'!$R$57),"")</f>
        <v/>
      </c>
      <c r="Q28" s="53" t="str">
        <f>IF(AND('Mapa final'!$AH$52="Alta",'Mapa final'!$AJ$52="Menor"),CONCATENATE("R2C",'Mapa final'!$R$52),"")</f>
        <v/>
      </c>
      <c r="R28" s="54" t="str">
        <f>IF(AND('Mapa final'!$AH$53="Alta",'Mapa final'!$AJ$53="Menor"),CONCATENATE("R2C",'Mapa final'!$R$53),"")</f>
        <v/>
      </c>
      <c r="S28" s="54" t="str">
        <f>IF(AND('Mapa final'!$AH$54="Alta",'Mapa final'!$AJ$54="Menor"),CONCATENATE("R2C",'Mapa final'!$R$54),"")</f>
        <v/>
      </c>
      <c r="T28" s="54" t="str">
        <f>IF(AND('Mapa final'!$AH$55="Alta",'Mapa final'!$AJ$55="Menor"),CONCATENATE("R2C",'Mapa final'!$R$55),"")</f>
        <v/>
      </c>
      <c r="U28" s="54" t="str">
        <f>IF(AND('Mapa final'!$AH$56="Alta",'Mapa final'!$AJ$56="Menor"),CONCATENATE("R2C",'Mapa final'!$R$56),"")</f>
        <v/>
      </c>
      <c r="V28" s="55" t="str">
        <f>IF(AND('Mapa final'!$AH$57="Alta",'Mapa final'!$AJ$57="Menor"),CONCATENATE("R2C",'Mapa final'!$R$57),"")</f>
        <v/>
      </c>
      <c r="W28" s="38" t="str">
        <f>IF(AND('Mapa final'!$AH$52="Alta",'Mapa final'!$AJ$52="Moderado"),CONCATENATE("R2C",'Mapa final'!$R$52),"")</f>
        <v/>
      </c>
      <c r="X28" s="39" t="str">
        <f>IF(AND('Mapa final'!$AH$53="Alta",'Mapa final'!$AJ$53="Moderado"),CONCATENATE("R2C",'Mapa final'!$R$53),"")</f>
        <v/>
      </c>
      <c r="Y28" s="39" t="str">
        <f>IF(AND('Mapa final'!$AH$54="Alta",'Mapa final'!$AJ$54="Moderado"),CONCATENATE("R2C",'Mapa final'!$R$54),"")</f>
        <v/>
      </c>
      <c r="Z28" s="39" t="str">
        <f>IF(AND('Mapa final'!$AH$55="Alta",'Mapa final'!$AJ$55="Moderado"),CONCATENATE("R2C",'Mapa final'!$R$55),"")</f>
        <v/>
      </c>
      <c r="AA28" s="39" t="str">
        <f>IF(AND('Mapa final'!$AH$56="Alta",'Mapa final'!$AJ$56="Moderado"),CONCATENATE("R2C",'Mapa final'!$R$56),"")</f>
        <v/>
      </c>
      <c r="AB28" s="40" t="str">
        <f>IF(AND('Mapa final'!$AH$57="Alta",'Mapa final'!$AJ$57="Moderado"),CONCATENATE("R2C",'Mapa final'!$R$57),"")</f>
        <v/>
      </c>
      <c r="AC28" s="38" t="str">
        <f>IF(AND('Mapa final'!$AH$52="Alta",'Mapa final'!$AJ$52="Mayor"),CONCATENATE("R2C",'Mapa final'!$R$52),"")</f>
        <v/>
      </c>
      <c r="AD28" s="39" t="str">
        <f>IF(AND('Mapa final'!$AH$53="Alta",'Mapa final'!$AJ$53="Mayor"),CONCATENATE("R2C",'Mapa final'!$R$53),"")</f>
        <v/>
      </c>
      <c r="AE28" s="39" t="str">
        <f>IF(AND('Mapa final'!$AH$54="Alta",'Mapa final'!$AJ$54="Mayor"),CONCATENATE("R2C",'Mapa final'!$R$54),"")</f>
        <v/>
      </c>
      <c r="AF28" s="39" t="str">
        <f>IF(AND('Mapa final'!$AH$55="Alta",'Mapa final'!$AJ$55="Mayor"),CONCATENATE("R2C",'Mapa final'!$R$55),"")</f>
        <v/>
      </c>
      <c r="AG28" s="39" t="str">
        <f>IF(AND('Mapa final'!$AH$56="Alta",'Mapa final'!$AJ$56="Mayor"),CONCATENATE("R2C",'Mapa final'!$R$56),"")</f>
        <v/>
      </c>
      <c r="AH28" s="40" t="str">
        <f>IF(AND('Mapa final'!$AH$57="Alta",'Mapa final'!$AJ$57="Mayor"),CONCATENATE("R2C",'Mapa final'!$R$57),"")</f>
        <v/>
      </c>
      <c r="AI28" s="41" t="str">
        <f>IF(AND('Mapa final'!$AH$52="Alta",'Mapa final'!$AJ$52="Catastrófico"),CONCATENATE("R2C",'Mapa final'!$R$52),"")</f>
        <v/>
      </c>
      <c r="AJ28" s="42" t="str">
        <f>IF(AND('Mapa final'!$AH$53="Alta",'Mapa final'!$AJ$53="Catastrófico"),CONCATENATE("R2C",'Mapa final'!$R$53),"")</f>
        <v/>
      </c>
      <c r="AK28" s="42" t="str">
        <f>IF(AND('Mapa final'!$AH$54="Alta",'Mapa final'!$AJ$54="Catastrófico"),CONCATENATE("R2C",'Mapa final'!$R$54),"")</f>
        <v/>
      </c>
      <c r="AL28" s="42" t="str">
        <f>IF(AND('Mapa final'!$AH$55="Alta",'Mapa final'!$AJ$55="Catastrófico"),CONCATENATE("R2C",'Mapa final'!$R$55),"")</f>
        <v/>
      </c>
      <c r="AM28" s="42" t="str">
        <f>IF(AND('Mapa final'!$AH$56="Alta",'Mapa final'!$AJ$56="Catastrófico"),CONCATENATE("R2C",'Mapa final'!$R$56),"")</f>
        <v/>
      </c>
      <c r="AN28" s="43" t="str">
        <f>IF(AND('Mapa final'!$AH$57="Alta",'Mapa final'!$AJ$57="Catastrófico"),CONCATENATE("R2C",'Mapa final'!$R$57),"")</f>
        <v/>
      </c>
      <c r="AO28" s="68"/>
      <c r="AP28" s="580"/>
      <c r="AQ28" s="581"/>
      <c r="AR28" s="581"/>
      <c r="AS28" s="581"/>
      <c r="AT28" s="581"/>
      <c r="AU28" s="582"/>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row>
    <row r="29" spans="2:77" ht="15" customHeight="1">
      <c r="B29" s="68"/>
      <c r="C29" s="527"/>
      <c r="D29" s="527"/>
      <c r="E29" s="528"/>
      <c r="F29" s="570"/>
      <c r="G29" s="571"/>
      <c r="H29" s="571"/>
      <c r="I29" s="571"/>
      <c r="J29" s="571"/>
      <c r="K29" s="53" t="str">
        <f>IF(AND('Mapa final'!$AH$58="Alta",'Mapa final'!$AJ$58="Leve"),CONCATENATE("R2C",'Mapa final'!$R$58),"")</f>
        <v/>
      </c>
      <c r="L29" s="54" t="str">
        <f>IF(AND('Mapa final'!$AH$59="Alta",'Mapa final'!$AJ$59="Leve"),CONCATENATE("R2C",'Mapa final'!$R$59),"")</f>
        <v/>
      </c>
      <c r="M29" s="54" t="str">
        <f>IF(AND('Mapa final'!$AH$60="Alta",'Mapa final'!$AJ$60="Leve"),CONCATENATE("R2C",'Mapa final'!$R$60),"")</f>
        <v/>
      </c>
      <c r="N29" s="54" t="e">
        <f>IF(AND('Mapa final'!#REF!="Alta",'Mapa final'!#REF!="Leve"),CONCATENATE("R2C",'Mapa final'!#REF!),"")</f>
        <v>#REF!</v>
      </c>
      <c r="O29" s="54" t="str">
        <f>IF(AND('Mapa final'!$AH$62="Alta",'Mapa final'!$AJ$62="Leve"),CONCATENATE("R2C",'Mapa final'!$R$62),"")</f>
        <v/>
      </c>
      <c r="P29" s="55" t="str">
        <f>IF(AND('Mapa final'!$AH$63="Alta",'Mapa final'!$AJ$63="Leve"),CONCATENATE("R2C",'Mapa final'!$R$63),"")</f>
        <v/>
      </c>
      <c r="Q29" s="53" t="str">
        <f>IF(AND('Mapa final'!$AH$58="Alta",'Mapa final'!$AJ$58="Menor"),CONCATENATE("R2C",'Mapa final'!$R$58),"")</f>
        <v/>
      </c>
      <c r="R29" s="54" t="str">
        <f>IF(AND('Mapa final'!$AH$59="Alta",'Mapa final'!$AJ$59="Menor"),CONCATENATE("R2C",'Mapa final'!$R$59),"")</f>
        <v/>
      </c>
      <c r="S29" s="54" t="str">
        <f>IF(AND('Mapa final'!$AH$60="Alta",'Mapa final'!$AJ$60="Menor"),CONCATENATE("R2C",'Mapa final'!$R$60),"")</f>
        <v/>
      </c>
      <c r="T29" s="54" t="str">
        <f>IF(AND('Mapa final'!$AH$61="Alta",'Mapa final'!$AJ$61="Menor"),CONCATENATE("R2C",'Mapa final'!$R$61),"")</f>
        <v/>
      </c>
      <c r="U29" s="54" t="str">
        <f>IF(AND('Mapa final'!$AH$62="Alta",'Mapa final'!$AJ$62="Menor"),CONCATENATE("R2C",'Mapa final'!$R$62),"")</f>
        <v/>
      </c>
      <c r="V29" s="55" t="str">
        <f>IF(AND('Mapa final'!$AH$63="Alta",'Mapa final'!$AJ$63="Menor"),CONCATENATE("R2C",'Mapa final'!$R$63),"")</f>
        <v/>
      </c>
      <c r="W29" s="38" t="str">
        <f>IF(AND('Mapa final'!$AH$58="Alta",'Mapa final'!$AJ$58="Moderado"),CONCATENATE("R2C",'Mapa final'!$R$58),"")</f>
        <v/>
      </c>
      <c r="X29" s="39" t="str">
        <f>IF(AND('Mapa final'!$AH$59="Alta",'Mapa final'!$AJ$59="Moderado"),CONCATENATE("R2C",'Mapa final'!$R$59),"")</f>
        <v/>
      </c>
      <c r="Y29" s="39" t="str">
        <f>IF(AND('Mapa final'!$AH$60="Alta",'Mapa final'!$AJ$60="Moderado"),CONCATENATE("R2C",'Mapa final'!$R$60),"")</f>
        <v/>
      </c>
      <c r="Z29" s="39" t="str">
        <f>IF(AND('Mapa final'!$AH$61="Alta",'Mapa final'!$AJ$61="Moderado"),CONCATENATE("R2C",'Mapa final'!$R$61),"")</f>
        <v/>
      </c>
      <c r="AA29" s="39" t="str">
        <f>IF(AND('Mapa final'!$AH$62="Alta",'Mapa final'!$AJ$62="Moderado"),CONCATENATE("R2C",'Mapa final'!$R$62),"")</f>
        <v/>
      </c>
      <c r="AB29" s="40" t="str">
        <f>IF(AND('Mapa final'!$AH$63="Alta",'Mapa final'!$AJ$63="Moderado"),CONCATENATE("R2C",'Mapa final'!$R$63),"")</f>
        <v/>
      </c>
      <c r="AC29" s="38" t="str">
        <f>IF(AND('Mapa final'!$AH$58="Alta",'Mapa final'!$AJ$58="Mayor"),CONCATENATE("R2C",'Mapa final'!$R$58),"")</f>
        <v/>
      </c>
      <c r="AD29" s="39" t="str">
        <f>IF(AND('Mapa final'!$AH$59="Alta",'Mapa final'!$AJ$59="Mayor"),CONCATENATE("R2C",'Mapa final'!$R$59),"")</f>
        <v/>
      </c>
      <c r="AE29" s="39" t="str">
        <f>IF(AND('Mapa final'!$AH$60="Alta",'Mapa final'!$AJ$60="Mayor"),CONCATENATE("R2C",'Mapa final'!$R$60),"")</f>
        <v/>
      </c>
      <c r="AF29" s="39" t="str">
        <f>IF(AND('Mapa final'!$AH$61="Alta",'Mapa final'!$AJ$61="Mayor"),CONCATENATE("R2C",'Mapa final'!$R$61),"")</f>
        <v/>
      </c>
      <c r="AG29" s="39" t="str">
        <f>IF(AND('Mapa final'!$AH$62="Alta",'Mapa final'!$AJ$62="Mayor"),CONCATENATE("R2C",'Mapa final'!$R$62),"")</f>
        <v/>
      </c>
      <c r="AH29" s="40" t="str">
        <f>IF(AND('Mapa final'!$AH$63="Alta",'Mapa final'!$AJ$63="Mayor"),CONCATENATE("R2C",'Mapa final'!$R$63),"")</f>
        <v/>
      </c>
      <c r="AI29" s="41" t="str">
        <f>IF(AND('Mapa final'!$AH$58="Alta",'Mapa final'!$AJ$58="Catastrófico"),CONCATENATE("R2C",'Mapa final'!$R$58),"")</f>
        <v/>
      </c>
      <c r="AJ29" s="42" t="str">
        <f>IF(AND('Mapa final'!$AH$59="Alta",'Mapa final'!$AJ$59="Catastrófico"),CONCATENATE("R2C",'Mapa final'!$R$59),"")</f>
        <v/>
      </c>
      <c r="AK29" s="42" t="str">
        <f>IF(AND('Mapa final'!$AH$60="Alta",'Mapa final'!$AJ$60="Catastrófico"),CONCATENATE("R2C",'Mapa final'!$R$60),"")</f>
        <v/>
      </c>
      <c r="AL29" s="42" t="str">
        <f>IF(AND('Mapa final'!$AH$61="Alta",'Mapa final'!$AJ$61="Catastrófico"),CONCATENATE("R2C",'Mapa final'!$R$61),"")</f>
        <v/>
      </c>
      <c r="AM29" s="42" t="str">
        <f>IF(AND('Mapa final'!$AH$62="Alta",'Mapa final'!$AJ$62="Catastrófico"),CONCATENATE("R2C",'Mapa final'!$R$62),"")</f>
        <v/>
      </c>
      <c r="AN29" s="43" t="str">
        <f>IF(AND('Mapa final'!$AH$63="Alta",'Mapa final'!$AJ$63="Catastrófico"),CONCATENATE("R2C",'Mapa final'!$R$63),"")</f>
        <v/>
      </c>
      <c r="AO29" s="68"/>
      <c r="AP29" s="580"/>
      <c r="AQ29" s="581"/>
      <c r="AR29" s="581"/>
      <c r="AS29" s="581"/>
      <c r="AT29" s="581"/>
      <c r="AU29" s="582"/>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row>
    <row r="30" spans="2:77" ht="15" customHeight="1">
      <c r="B30" s="68"/>
      <c r="C30" s="527"/>
      <c r="D30" s="527"/>
      <c r="E30" s="528"/>
      <c r="F30" s="570"/>
      <c r="G30" s="571"/>
      <c r="H30" s="571"/>
      <c r="I30" s="571"/>
      <c r="J30" s="571"/>
      <c r="K30" s="53" t="str">
        <f>IF(AND('Mapa final'!$AH$64="Alta",'Mapa final'!$AJ$64="Leve"),CONCATENATE("R2C",'Mapa final'!$R$64),"")</f>
        <v/>
      </c>
      <c r="L30" s="54" t="str">
        <f>IF(AND('Mapa final'!$AH$65="Alta",'Mapa final'!$AJ$65="Leve"),CONCATENATE("R2C",'Mapa final'!$R$65),"")</f>
        <v/>
      </c>
      <c r="M30" s="54" t="str">
        <f>IF(AND('Mapa final'!$AH$66="Alta",'Mapa final'!$AJ$66="Leve"),CONCATENATE("R2C",'Mapa final'!$R$66),"")</f>
        <v/>
      </c>
      <c r="N30" s="54" t="e">
        <f>IF(AND('Mapa final'!#REF!="Alta",'Mapa final'!#REF!="Leve"),CONCATENATE("R2C",'Mapa final'!#REF!),"")</f>
        <v>#REF!</v>
      </c>
      <c r="O30" s="54" t="str">
        <f>IF(AND('Mapa final'!$AH$68="Alta",'Mapa final'!$AJ$68="Leve"),CONCATENATE("R2C",'Mapa final'!$R$68),"")</f>
        <v/>
      </c>
      <c r="P30" s="55" t="str">
        <f>IF(AND('Mapa final'!$AH$69="Alta",'Mapa final'!$AJ$69="Leve"),CONCATENATE("R2C",'Mapa final'!$R$69),"")</f>
        <v/>
      </c>
      <c r="Q30" s="53" t="str">
        <f>IF(AND('Mapa final'!$AH$64="Alta",'Mapa final'!$AJ$64="Menor"),CONCATENATE("R2C",'Mapa final'!$R$64),"")</f>
        <v/>
      </c>
      <c r="R30" s="54" t="str">
        <f>IF(AND('Mapa final'!$AH$65="Alta",'Mapa final'!$AJ$65="Menor"),CONCATENATE("R2C",'Mapa final'!$R$65),"")</f>
        <v/>
      </c>
      <c r="S30" s="54" t="str">
        <f>IF(AND('Mapa final'!$AH$66="Alta",'Mapa final'!$AJ$66="Menor"),CONCATENATE("R2C",'Mapa final'!$R$66),"")</f>
        <v/>
      </c>
      <c r="T30" s="54" t="str">
        <f>IF(AND('Mapa final'!$AH$67="Alta",'Mapa final'!$AJ$67="Menor"),CONCATENATE("R2C",'Mapa final'!$R$67),"")</f>
        <v/>
      </c>
      <c r="U30" s="54" t="str">
        <f>IF(AND('Mapa final'!$AH$68="Alta",'Mapa final'!$AJ$68="Menor"),CONCATENATE("R2C",'Mapa final'!$R$68),"")</f>
        <v/>
      </c>
      <c r="V30" s="55" t="str">
        <f>IF(AND('Mapa final'!$AH$69="Alta",'Mapa final'!$AJ$69="Menor"),CONCATENATE("R2C",'Mapa final'!$R$69),"")</f>
        <v/>
      </c>
      <c r="W30" s="38" t="str">
        <f>IF(AND('Mapa final'!$AH$64="Alta",'Mapa final'!$AJ$64="Moderado"),CONCATENATE("R2C",'Mapa final'!$R$64),"")</f>
        <v/>
      </c>
      <c r="X30" s="39" t="str">
        <f>IF(AND('Mapa final'!$AH$65="Alta",'Mapa final'!$AJ$65="Moderado"),CONCATENATE("R2C",'Mapa final'!$R$65),"")</f>
        <v/>
      </c>
      <c r="Y30" s="39" t="str">
        <f>IF(AND('Mapa final'!$AH$66="Alta",'Mapa final'!$AJ$66="Moderado"),CONCATENATE("R2C",'Mapa final'!$R$66),"")</f>
        <v/>
      </c>
      <c r="Z30" s="39" t="str">
        <f>IF(AND('Mapa final'!$AH$67="Alta",'Mapa final'!$AJ$67="Moderado"),CONCATENATE("R2C",'Mapa final'!$R$67),"")</f>
        <v/>
      </c>
      <c r="AA30" s="39" t="str">
        <f>IF(AND('Mapa final'!$AH$68="Alta",'Mapa final'!$AJ$68="Moderado"),CONCATENATE("R2C",'Mapa final'!$R$68),"")</f>
        <v/>
      </c>
      <c r="AB30" s="40" t="str">
        <f>IF(AND('Mapa final'!$AH$69="Alta",'Mapa final'!$AJ$69="Moderado"),CONCATENATE("R2C",'Mapa final'!$R$69),"")</f>
        <v/>
      </c>
      <c r="AC30" s="38" t="str">
        <f>IF(AND('Mapa final'!$AH$64="Alta",'Mapa final'!$AJ$64="Mayor"),CONCATENATE("R2C",'Mapa final'!$R$64),"")</f>
        <v/>
      </c>
      <c r="AD30" s="39" t="str">
        <f>IF(AND('Mapa final'!$AH$65="Alta",'Mapa final'!$AJ$65="Mayor"),CONCATENATE("R2C",'Mapa final'!$R$65),"")</f>
        <v/>
      </c>
      <c r="AE30" s="39" t="str">
        <f>IF(AND('Mapa final'!$AH$66="Alta",'Mapa final'!$AJ$66="Mayor"),CONCATENATE("R2C",'Mapa final'!$R$66),"")</f>
        <v/>
      </c>
      <c r="AF30" s="39" t="str">
        <f>IF(AND('Mapa final'!$AH$67="Alta",'Mapa final'!$AJ$67="Mayor"),CONCATENATE("R2C",'Mapa final'!$R$67),"")</f>
        <v/>
      </c>
      <c r="AG30" s="39" t="str">
        <f>IF(AND('Mapa final'!$AH$68="Alta",'Mapa final'!$AJ$68="Mayor"),CONCATENATE("R2C",'Mapa final'!$R$68),"")</f>
        <v/>
      </c>
      <c r="AH30" s="40" t="str">
        <f>IF(AND('Mapa final'!$AH$69="Alta",'Mapa final'!$AJ$69="Mayor"),CONCATENATE("R2C",'Mapa final'!$R$69),"")</f>
        <v/>
      </c>
      <c r="AI30" s="41" t="str">
        <f>IF(AND('Mapa final'!$AH$64="Alta",'Mapa final'!$AJ$64="Catastrófico"),CONCATENATE("R2C",'Mapa final'!$R$64),"")</f>
        <v/>
      </c>
      <c r="AJ30" s="42" t="str">
        <f>IF(AND('Mapa final'!$AH$65="Alta",'Mapa final'!$AJ$65="Catastrófico"),CONCATENATE("R2C",'Mapa final'!$R$65),"")</f>
        <v/>
      </c>
      <c r="AK30" s="42" t="str">
        <f>IF(AND('Mapa final'!$AH$66="Alta",'Mapa final'!$AJ$66="Catastrófico"),CONCATENATE("R2C",'Mapa final'!$R$66),"")</f>
        <v/>
      </c>
      <c r="AL30" s="42" t="str">
        <f>IF(AND('Mapa final'!$AH$67="Alta",'Mapa final'!$AJ$67="Catastrófico"),CONCATENATE("R2C",'Mapa final'!$R$67),"")</f>
        <v/>
      </c>
      <c r="AM30" s="42" t="str">
        <f>IF(AND('Mapa final'!$AH$68="Alta",'Mapa final'!$AJ$68="Catastrófico"),CONCATENATE("R2C",'Mapa final'!$R$68),"")</f>
        <v/>
      </c>
      <c r="AN30" s="43" t="str">
        <f>IF(AND('Mapa final'!$AH$69="Alta",'Mapa final'!$AJ$69="Catastrófico"),CONCATENATE("R2C",'Mapa final'!$R$69),"")</f>
        <v/>
      </c>
      <c r="AO30" s="68"/>
      <c r="AP30" s="580"/>
      <c r="AQ30" s="581"/>
      <c r="AR30" s="581"/>
      <c r="AS30" s="581"/>
      <c r="AT30" s="581"/>
      <c r="AU30" s="582"/>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row>
    <row r="31" spans="2:77" ht="15.75" customHeight="1" thickBot="1">
      <c r="B31" s="68"/>
      <c r="C31" s="527"/>
      <c r="D31" s="527"/>
      <c r="E31" s="528"/>
      <c r="F31" s="573"/>
      <c r="G31" s="574"/>
      <c r="H31" s="574"/>
      <c r="I31" s="574"/>
      <c r="J31" s="574"/>
      <c r="K31" s="56" t="str">
        <f>IF(AND('Mapa final'!$AH$70="Alta",'Mapa final'!$AJ$70="Leve"),CONCATENATE("R2C",'Mapa final'!$R$70),"")</f>
        <v/>
      </c>
      <c r="L31" s="57" t="str">
        <f>IF(AND('Mapa final'!$AH$71="Alta",'Mapa final'!$AJ$71="Leve"),CONCATENATE("R2C",'Mapa final'!$R$71),"")</f>
        <v/>
      </c>
      <c r="M31" s="57" t="str">
        <f>IF(AND('Mapa final'!$AH$72="Alta",'Mapa final'!$AJ$72="Leve"),CONCATENATE("R2C",'Mapa final'!$R$72),"")</f>
        <v/>
      </c>
      <c r="N31" s="54" t="e">
        <f>IF(AND('Mapa final'!#REF!="Alta",'Mapa final'!#REF!="Leve"),CONCATENATE("R2C",'Mapa final'!#REF!),"")</f>
        <v>#REF!</v>
      </c>
      <c r="O31" s="57" t="str">
        <f>IF(AND('Mapa final'!$AH$75="Alta",'Mapa final'!$AJ$75="Leve"),CONCATENATE("R2C",'Mapa final'!$R$75),"")</f>
        <v/>
      </c>
      <c r="P31" s="58" t="str">
        <f>IF(AND('Mapa final'!$AH$76="Alta",'Mapa final'!$AJ$76="Leve"),CONCATENATE("R2C",'Mapa final'!$R$76),"")</f>
        <v/>
      </c>
      <c r="Q31" s="56" t="str">
        <f>IF(AND('Mapa final'!$AH$70="Alta",'Mapa final'!$AJ$70="Menor"),CONCATENATE("R2C",'Mapa final'!$R$70),"")</f>
        <v/>
      </c>
      <c r="R31" s="57" t="str">
        <f>IF(AND('Mapa final'!$AH$71="Alta",'Mapa final'!$AJ$71="Menor"),CONCATENATE("R2C",'Mapa final'!$R$71),"")</f>
        <v/>
      </c>
      <c r="S31" s="57" t="str">
        <f>IF(AND('Mapa final'!$AH$72="Alta",'Mapa final'!$AJ$72="Menor"),CONCATENATE("R2C",'Mapa final'!$R$72),"")</f>
        <v/>
      </c>
      <c r="T31" s="57" t="str">
        <f>IF(AND('Mapa final'!$AH$73="Alta",'Mapa final'!$AJ$73="Menor"),CONCATENATE("R2C",'Mapa final'!$R$73),"")</f>
        <v/>
      </c>
      <c r="U31" s="57" t="str">
        <f>IF(AND('Mapa final'!$AH$75="Alta",'Mapa final'!$AJ$75="Menor"),CONCATENATE("R2C",'Mapa final'!$R$75),"")</f>
        <v/>
      </c>
      <c r="V31" s="58" t="str">
        <f>IF(AND('Mapa final'!$AH$76="Alta",'Mapa final'!$AJ$76="Menor"),CONCATENATE("R2C",'Mapa final'!$R$76),"")</f>
        <v/>
      </c>
      <c r="W31" s="44" t="str">
        <f>IF(AND('Mapa final'!$AH$70="Alta",'Mapa final'!$AJ$70="Moderado"),CONCATENATE("R2C",'Mapa final'!$R$70),"")</f>
        <v/>
      </c>
      <c r="X31" s="45" t="str">
        <f>IF(AND('Mapa final'!$AH$71="Alta",'Mapa final'!$AJ$71="Moderado"),CONCATENATE("R2C",'Mapa final'!$R$71),"")</f>
        <v/>
      </c>
      <c r="Y31" s="45" t="str">
        <f>IF(AND('Mapa final'!$AH$72="Alta",'Mapa final'!$AJ$72="Moderado"),CONCATENATE("R2C",'Mapa final'!$R$72),"")</f>
        <v/>
      </c>
      <c r="Z31" s="45" t="str">
        <f>IF(AND('Mapa final'!$AH$73="Alta",'Mapa final'!$AJ$73="Moderado"),CONCATENATE("R2C",'Mapa final'!$R$73),"")</f>
        <v/>
      </c>
      <c r="AA31" s="45" t="str">
        <f>IF(AND('Mapa final'!$AH$75="Alta",'Mapa final'!$AJ$75="Moderado"),CONCATENATE("R2C",'Mapa final'!$R$75),"")</f>
        <v/>
      </c>
      <c r="AB31" s="46" t="str">
        <f>IF(AND('Mapa final'!$AH$76="Alta",'Mapa final'!$AJ$76="Moderado"),CONCATENATE("R2C",'Mapa final'!$R$76),"")</f>
        <v/>
      </c>
      <c r="AC31" s="44" t="str">
        <f>IF(AND('Mapa final'!$AH$70="Alta",'Mapa final'!$AJ$70="Mayor"),CONCATENATE("R2C",'Mapa final'!$R$70),"")</f>
        <v/>
      </c>
      <c r="AD31" s="45" t="str">
        <f>IF(AND('Mapa final'!$AH$71="Alta",'Mapa final'!$AJ$71="Mayor"),CONCATENATE("R2C",'Mapa final'!$R$71),"")</f>
        <v/>
      </c>
      <c r="AE31" s="45" t="str">
        <f>IF(AND('Mapa final'!$AH$72="Alta",'Mapa final'!$AJ$72="Mayor"),CONCATENATE("R2C",'Mapa final'!$R$72),"")</f>
        <v/>
      </c>
      <c r="AF31" s="45" t="str">
        <f>IF(AND('Mapa final'!$AH$73="Alta",'Mapa final'!$AJ$73="Mayor"),CONCATENATE("R2C",'Mapa final'!$R$73),"")</f>
        <v/>
      </c>
      <c r="AG31" s="45" t="str">
        <f>IF(AND('Mapa final'!$AH$75="Alta",'Mapa final'!$AJ$75="Mayor"),CONCATENATE("R2C",'Mapa final'!$R$75),"")</f>
        <v/>
      </c>
      <c r="AH31" s="46" t="str">
        <f>IF(AND('Mapa final'!$AH$76="Alta",'Mapa final'!$AJ$76="Mayor"),CONCATENATE("R2C",'Mapa final'!$R$76),"")</f>
        <v/>
      </c>
      <c r="AI31" s="47" t="str">
        <f>IF(AND('Mapa final'!$AH$70="Alta",'Mapa final'!$AJ$70="Catastrófico"),CONCATENATE("R2C",'Mapa final'!$R$70),"")</f>
        <v/>
      </c>
      <c r="AJ31" s="48" t="str">
        <f>IF(AND('Mapa final'!$AH$71="Alta",'Mapa final'!$AJ$71="Catastrófico"),CONCATENATE("R2C",'Mapa final'!$R$71),"")</f>
        <v/>
      </c>
      <c r="AK31" s="48" t="str">
        <f>IF(AND('Mapa final'!$AH$72="Alta",'Mapa final'!$AJ$72="Catastrófico"),CONCATENATE("R2C",'Mapa final'!$R$72),"")</f>
        <v/>
      </c>
      <c r="AL31" s="48" t="str">
        <f>IF(AND('Mapa final'!$AH$73="Alta",'Mapa final'!$AJ$73="Catastrófico"),CONCATENATE("R2C",'Mapa final'!$R$73),"")</f>
        <v/>
      </c>
      <c r="AM31" s="48" t="str">
        <f>IF(AND('Mapa final'!$AH$75="Alta",'Mapa final'!$AJ$75="Catastrófico"),CONCATENATE("R2C",'Mapa final'!$R$75),"")</f>
        <v/>
      </c>
      <c r="AN31" s="49" t="str">
        <f>IF(AND('Mapa final'!$AH$76="Muy Alta",'Mapa final'!$AJ$76="Catastrófico"),CONCATENATE("R2C",'Mapa final'!$R$76),"")</f>
        <v/>
      </c>
      <c r="AO31" s="68"/>
      <c r="AP31" s="583"/>
      <c r="AQ31" s="584"/>
      <c r="AR31" s="584"/>
      <c r="AS31" s="584"/>
      <c r="AT31" s="584"/>
      <c r="AU31" s="585"/>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row>
    <row r="32" spans="2:77" ht="15" customHeight="1">
      <c r="B32" s="68"/>
      <c r="C32" s="527"/>
      <c r="D32" s="527"/>
      <c r="E32" s="528"/>
      <c r="F32" s="567" t="s">
        <v>256</v>
      </c>
      <c r="G32" s="568"/>
      <c r="H32" s="568"/>
      <c r="I32" s="568"/>
      <c r="J32" s="569"/>
      <c r="K32" s="50"/>
      <c r="L32" s="51" t="e">
        <f>IF(AND('Mapa final'!#REF!="Media",'Mapa final'!#REF!="Leve"),CONCATENATE("R2C",'Mapa final'!$R$15),"")</f>
        <v>#REF!</v>
      </c>
      <c r="M32" s="51" t="e">
        <f>IF(AND('Mapa final'!#REF!="Media",'Mapa final'!#REF!="Leve"),CONCATENATE("R2C",'Mapa final'!#REF!),"")</f>
        <v>#REF!</v>
      </c>
      <c r="N32" s="54" t="e">
        <f>IF(AND('Mapa final'!#REF!="Alta",'Mapa final'!#REF!="Leve"),CONCATENATE("R2C",'Mapa final'!#REF!),"")</f>
        <v>#REF!</v>
      </c>
      <c r="O32" s="51" t="e">
        <f>IF(AND('Mapa final'!#REF!="Media",'Mapa final'!#REF!="Leve"),CONCATENATE("R2C",'Mapa final'!#REF!),"")</f>
        <v>#REF!</v>
      </c>
      <c r="P32" s="52" t="e">
        <f>IF(AND('Mapa final'!#REF!="Media",'Mapa final'!#REF!="Leve"),CONCATENATE("R2C",'Mapa final'!#REF!),"")</f>
        <v>#REF!</v>
      </c>
      <c r="Q32" s="50"/>
      <c r="R32" s="51" t="e">
        <f>IF(AND('Mapa final'!#REF!="Media",'Mapa final'!#REF!="Menore"),CONCATENATE("R2C",'Mapa final'!$R$15),"")</f>
        <v>#REF!</v>
      </c>
      <c r="S32" s="51" t="e">
        <f>IF(AND('Mapa final'!#REF!="Media",'Mapa final'!#REF!="Menor"),CONCATENATE("R2C",'Mapa final'!#REF!),"")</f>
        <v>#REF!</v>
      </c>
      <c r="T32" s="51" t="e">
        <f>IF(AND('Mapa final'!#REF!="Media",'Mapa final'!#REF!="Menor"),CONCATENATE("R2C",'Mapa final'!#REF!),"")</f>
        <v>#REF!</v>
      </c>
      <c r="U32" s="51" t="e">
        <f>IF(AND('Mapa final'!#REF!="Media",'Mapa final'!#REF!="Menor"),CONCATENATE("R2C",'Mapa final'!#REF!),"")</f>
        <v>#REF!</v>
      </c>
      <c r="V32" s="52" t="e">
        <f>IF(AND('Mapa final'!#REF!="Media",'Mapa final'!#REF!="Menor"),CONCATENATE("R2C",'Mapa final'!#REF!),"")</f>
        <v>#REF!</v>
      </c>
      <c r="W32" s="50"/>
      <c r="X32" s="51" t="e">
        <f>IF(AND('Mapa final'!#REF!="Media",'Mapa final'!#REF!="Moderado"),CONCATENATE("R2C",'Mapa final'!$R$15),"")</f>
        <v>#REF!</v>
      </c>
      <c r="Y32" s="51"/>
      <c r="Z32" s="51" t="e">
        <f>IF(AND('Mapa final'!#REF!="Media",'Mapa final'!#REF!="Moderado"),CONCATENATE("R2C",'Mapa final'!#REF!),"")</f>
        <v>#REF!</v>
      </c>
      <c r="AA32" s="51" t="e">
        <f>IF(AND('Mapa final'!#REF!="Media",'Mapa final'!#REF!="Moderado"),CONCATENATE("R2C",'Mapa final'!#REF!),"")</f>
        <v>#REF!</v>
      </c>
      <c r="AB32" s="52" t="e">
        <f>IF(AND('Mapa final'!#REF!="Media",'Mapa final'!#REF!="Moderado"),CONCATENATE("R2C",'Mapa final'!#REF!),"")</f>
        <v>#REF!</v>
      </c>
      <c r="AC32" s="32"/>
      <c r="AD32" s="33" t="e">
        <f>IF(AND('Mapa final'!#REF!="Media",'Mapa final'!#REF!="Mayor"),CONCATENATE("R2C",'Mapa final'!$R$15),"")</f>
        <v>#REF!</v>
      </c>
      <c r="AE32" s="33" t="e">
        <f>IF(AND('Mapa final'!#REF!="Media",'Mapa final'!#REF!="Mayor"),CONCATENATE("R2C",'Mapa final'!#REF!),"")</f>
        <v>#REF!</v>
      </c>
      <c r="AF32" s="33" t="e">
        <f>IF(AND('Mapa final'!#REF!="Media",'Mapa final'!#REF!="Mayor"),CONCATENATE("R2C",'Mapa final'!#REF!),"")</f>
        <v>#REF!</v>
      </c>
      <c r="AG32" s="33" t="e">
        <f>IF(AND('Mapa final'!#REF!="Media",'Mapa final'!#REF!="Mayor"),CONCATENATE("R2C",'Mapa final'!#REF!),"")</f>
        <v>#REF!</v>
      </c>
      <c r="AH32" s="34" t="e">
        <f>IF(AND('Mapa final'!#REF!="Media",'Mapa final'!#REF!="Mayor"),CONCATENATE("R2C",'Mapa final'!#REF!),"")</f>
        <v>#REF!</v>
      </c>
      <c r="AI32" s="35"/>
      <c r="AJ32" s="36" t="e">
        <f>IF(AND('Mapa final'!#REF!="Media",'Mapa final'!#REF!="Catastrófico"),CONCATENATE("R2C",'Mapa final'!$R$15),"")</f>
        <v>#REF!</v>
      </c>
      <c r="AK32" s="36" t="e">
        <f>IF(AND('Mapa final'!#REF!="Media",'Mapa final'!#REF!="Catastrófico"),CONCATENATE("R2C",'Mapa final'!#REF!),"")</f>
        <v>#REF!</v>
      </c>
      <c r="AL32" s="36" t="e">
        <f>IF(AND('Mapa final'!#REF!="Media",'Mapa final'!#REF!="Catastrófico"),CONCATENATE("R2C",'Mapa final'!#REF!),"")</f>
        <v>#REF!</v>
      </c>
      <c r="AM32" s="36" t="e">
        <f>IF(AND('Mapa final'!#REF!="Media",'Mapa final'!#REF!="Catastrófico"),CONCATENATE("R2C",'Mapa final'!#REF!),"")</f>
        <v>#REF!</v>
      </c>
      <c r="AN32" s="37" t="e">
        <f>IF(AND('Mapa final'!#REF!="Media",'Mapa final'!#REF!="Catastrófico"),CONCATENATE("R2C",'Mapa final'!#REF!),"")</f>
        <v>#REF!</v>
      </c>
      <c r="AO32" s="68"/>
      <c r="AP32" s="608" t="s">
        <v>120</v>
      </c>
      <c r="AQ32" s="609"/>
      <c r="AR32" s="609"/>
      <c r="AS32" s="609"/>
      <c r="AT32" s="609"/>
      <c r="AU32" s="610"/>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row>
    <row r="33" spans="2:77" ht="15" customHeight="1">
      <c r="B33" s="68"/>
      <c r="C33" s="527"/>
      <c r="D33" s="527"/>
      <c r="E33" s="528"/>
      <c r="F33" s="586"/>
      <c r="G33" s="571"/>
      <c r="H33" s="571"/>
      <c r="I33" s="571"/>
      <c r="J33" s="572"/>
      <c r="K33" s="53" t="e">
        <f>IF(AND('Mapa final'!#REF!="Media",'Mapa final'!#REF!="Leve"),CONCATENATE("R2C",'Mapa final'!#REF!),"")</f>
        <v>#REF!</v>
      </c>
      <c r="L33" s="54" t="e">
        <f>IF(AND('Mapa final'!#REF!="Media",'Mapa final'!#REF!="Leve"),CONCATENATE("R2C",'Mapa final'!#REF!),"")</f>
        <v>#REF!</v>
      </c>
      <c r="M33" s="54" t="str">
        <f>IF(AND('Mapa final'!$AH$24="Media",'Mapa final'!$AJ$24="Leve"),CONCATENATE("R2C",'Mapa final'!$R$24),"")</f>
        <v/>
      </c>
      <c r="N33" s="54" t="e">
        <f>IF(AND('Mapa final'!#REF!="Alta",'Mapa final'!#REF!="Leve"),CONCATENATE("R2C",'Mapa final'!#REF!),"")</f>
        <v>#REF!</v>
      </c>
      <c r="O33" s="54" t="str">
        <f>IF(AND('Mapa final'!$AH$26="Media",'Mapa final'!$AJ$26="Leve"),CONCATENATE("R2C",'Mapa final'!$R$26),"")</f>
        <v/>
      </c>
      <c r="P33" s="55" t="str">
        <f>IF(AND('Mapa final'!$AH$27="Media",'Mapa final'!$AJ$27="Leve"),CONCATENATE("R2C",'Mapa final'!$R$27),"")</f>
        <v/>
      </c>
      <c r="Q33" s="53" t="e">
        <f>IF(AND('Mapa final'!#REF!="Media",'Mapa final'!#REF!="Menor"),CONCATENATE("R2C",'Mapa final'!#REF!),"")</f>
        <v>#REF!</v>
      </c>
      <c r="R33" s="54" t="e">
        <f>IF(AND('Mapa final'!#REF!="Media",'Mapa final'!#REF!="Menor"),CONCATENATE("R2C",'Mapa final'!#REF!),"")</f>
        <v>#REF!</v>
      </c>
      <c r="S33" s="54" t="str">
        <f>IF(AND('Mapa final'!$AH$24="Media",'Mapa final'!$AJ$24="Menor"),CONCATENATE("R2C",'Mapa final'!$R$24),"")</f>
        <v/>
      </c>
      <c r="T33" s="54" t="str">
        <f>IF(AND('Mapa final'!$AH$25="Media",'Mapa final'!$AJ$25="Menor"),CONCATENATE("R2C",'Mapa final'!$R$25),"")</f>
        <v/>
      </c>
      <c r="U33" s="54" t="str">
        <f>IF(AND('Mapa final'!$AH$26="Media",'Mapa final'!$AJ$26="Menor"),CONCATENATE("R2C",'Mapa final'!$R$26),"")</f>
        <v/>
      </c>
      <c r="V33" s="55" t="str">
        <f>IF(AND('Mapa final'!$AH$27="Media",'Mapa final'!$AJ$27="Menor"),CONCATENATE("R2C",'Mapa final'!$R$27),"")</f>
        <v/>
      </c>
      <c r="W33" s="53" t="e">
        <f>IF(AND('Mapa final'!#REF!="Media",'Mapa final'!#REF!="Moderado"),CONCATENATE("R2C",'Mapa final'!#REF!),"")</f>
        <v>#REF!</v>
      </c>
      <c r="X33" s="54" t="e">
        <f>IF(AND('Mapa final'!#REF!="Media",'Mapa final'!#REF!="Moderado"),CONCATENATE("R2C",'Mapa final'!#REF!),"")</f>
        <v>#REF!</v>
      </c>
      <c r="Y33" s="54" t="str">
        <f>IF(AND('Mapa final'!$AH$24="Media",'Mapa final'!$AJ$24="Moderado"),CONCATENATE("R2C",'Mapa final'!$R$24),"")</f>
        <v/>
      </c>
      <c r="Z33" s="54" t="str">
        <f>IF(AND('Mapa final'!$AH$25="Media",'Mapa final'!$AJ$25="Moderado"),CONCATENATE("R2C",'Mapa final'!$R$25),"")</f>
        <v/>
      </c>
      <c r="AA33" s="54" t="str">
        <f>IF(AND('Mapa final'!$AH$26="Media",'Mapa final'!$AJ$26="Moderado"),CONCATENATE("R2C",'Mapa final'!$R$26),"")</f>
        <v/>
      </c>
      <c r="AB33" s="55" t="str">
        <f>IF(AND('Mapa final'!$AH$27="Media",'Mapa final'!$AJ$27="Moderado"),CONCATENATE("R2C",'Mapa final'!$R$27),"")</f>
        <v/>
      </c>
      <c r="AC33" s="38" t="e">
        <f>IF(AND('Mapa final'!#REF!="Media",'Mapa final'!#REF!="Mayor"),CONCATENATE("R2C",'Mapa final'!#REF!),"")</f>
        <v>#REF!</v>
      </c>
      <c r="AD33" s="39" t="e">
        <f>IF(AND('Mapa final'!#REF!="Muy Alta",'Mapa final'!#REF!="Mayor"),CONCATENATE("R2C",'Mapa final'!#REF!),"")</f>
        <v>#REF!</v>
      </c>
      <c r="AE33" s="39" t="str">
        <f>IF(AND('Mapa final'!$AH$24="Media",'Mapa final'!$AJ$24="Mayor"),CONCATENATE("R2C",'Mapa final'!$R$24),"")</f>
        <v/>
      </c>
      <c r="AF33" s="39" t="str">
        <f>IF(AND('Mapa final'!$AH$25="Media",'Mapa final'!$AJ$25="Mayor"),CONCATENATE("R2C",'Mapa final'!$R$25),"")</f>
        <v/>
      </c>
      <c r="AG33" s="39" t="str">
        <f>IF(AND('Mapa final'!$AH$26="Media",'Mapa final'!$AJ$26="Mayor"),CONCATENATE("R2C",'Mapa final'!$R$26),"")</f>
        <v/>
      </c>
      <c r="AH33" s="40" t="str">
        <f>IF(AND('Mapa final'!$AH$27="Media",'Mapa final'!$AJ$27="Mayor"),CONCATENATE("R2C",'Mapa final'!$R$27),"")</f>
        <v/>
      </c>
      <c r="AI33" s="41" t="e">
        <f>IF(AND('Mapa final'!#REF!="Media",'Mapa final'!#REF!="Catastrófico"),CONCATENATE("R2C",'Mapa final'!#REF!),"")</f>
        <v>#REF!</v>
      </c>
      <c r="AJ33" s="42" t="e">
        <f>IF(AND('Mapa final'!#REF!="Media",'Mapa final'!#REF!="Catastrófico"),CONCATENATE("R2C",'Mapa final'!#REF!),"")</f>
        <v>#REF!</v>
      </c>
      <c r="AK33" s="42" t="str">
        <f>IF(AND('Mapa final'!$AH$24="Media",'Mapa final'!$AJ$24="Catastrófico"),CONCATENATE("R2C",'Mapa final'!$R$24),"")</f>
        <v/>
      </c>
      <c r="AL33" s="42" t="str">
        <f>IF(AND('Mapa final'!$AH$25="Media",'Mapa final'!$AJ$25="Catastrófico"),CONCATENATE("R2C",'Mapa final'!$R$25),"")</f>
        <v/>
      </c>
      <c r="AM33" s="42" t="str">
        <f>IF(AND('Mapa final'!$AH$26="Media",'Mapa final'!$AJ$26="Catastrófico"),CONCATENATE("R2C",'Mapa final'!$R$26),"")</f>
        <v/>
      </c>
      <c r="AN33" s="43" t="str">
        <f>IF(AND('Mapa final'!$AH$27="Media",'Mapa final'!$AJ$27="Catastrófico"),CONCATENATE("R2C",'Mapa final'!$R$27),"")</f>
        <v/>
      </c>
      <c r="AO33" s="68"/>
      <c r="AP33" s="611"/>
      <c r="AQ33" s="612"/>
      <c r="AR33" s="612"/>
      <c r="AS33" s="612"/>
      <c r="AT33" s="612"/>
      <c r="AU33" s="613"/>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row>
    <row r="34" spans="2:77" ht="15" customHeight="1">
      <c r="B34" s="68"/>
      <c r="C34" s="527"/>
      <c r="D34" s="527"/>
      <c r="E34" s="528"/>
      <c r="F34" s="570"/>
      <c r="G34" s="571"/>
      <c r="H34" s="571"/>
      <c r="I34" s="571"/>
      <c r="J34" s="572"/>
      <c r="K34" s="53" t="str">
        <f>IF(AND('Mapa final'!$AH$28="Media",'Mapa final'!$AJ$28="Leve"),CONCATENATE("R2C",'Mapa final'!$R$28),"")</f>
        <v/>
      </c>
      <c r="L34" s="54" t="str">
        <f>IF(AND('Mapa final'!$AH$29="Media",'Mapa final'!$AJ$29="Leve"),CONCATENATE("R2C",'Mapa final'!$R$29),"")</f>
        <v/>
      </c>
      <c r="M34" s="54" t="str">
        <f>IF(AND('Mapa final'!$AH$30="Media",'Mapa final'!$AJ$30="Leve"),CONCATENATE("R2C",'Mapa final'!$R$30),"")</f>
        <v/>
      </c>
      <c r="N34" s="54" t="e">
        <f>IF(AND('Mapa final'!#REF!="Alta",'Mapa final'!#REF!="Leve"),CONCATENATE("R2C",'Mapa final'!#REF!),"")</f>
        <v>#REF!</v>
      </c>
      <c r="O34" s="54" t="str">
        <f>IF(AND('Mapa final'!$AH$32="Media",'Mapa final'!$AJ$32="Leve"),CONCATENATE("R2C",'Mapa final'!$R$32),"")</f>
        <v/>
      </c>
      <c r="P34" s="55" t="str">
        <f>IF(AND('Mapa final'!$AH$33="Media",'Mapa final'!$AJ$33="Leve"),CONCATENATE("R2C",'Mapa final'!$R$33),"")</f>
        <v/>
      </c>
      <c r="Q34" s="53" t="str">
        <f>IF(AND('Mapa final'!$AH$28="Media",'Mapa final'!$AJ$28="Menor"),CONCATENATE("R2C",'Mapa final'!$R$28),"")</f>
        <v/>
      </c>
      <c r="R34" s="54" t="str">
        <f>IF(AND('Mapa final'!$AH$29="Media",'Mapa final'!$AJ$29="Menor"),CONCATENATE("R2C",'Mapa final'!$R$29),"")</f>
        <v/>
      </c>
      <c r="S34" s="54" t="str">
        <f>IF(AND('Mapa final'!$AH$30="Media",'Mapa final'!$AJ$30="Menor"),CONCATENATE("R2C",'Mapa final'!$R$30),"")</f>
        <v/>
      </c>
      <c r="T34" s="54" t="str">
        <f>IF(AND('Mapa final'!$AH$31="Media",'Mapa final'!$AJ$31="Menor"),CONCATENATE("R2C",'Mapa final'!$R$31),"")</f>
        <v/>
      </c>
      <c r="U34" s="54" t="str">
        <f>IF(AND('Mapa final'!$AH$32="Media",'Mapa final'!$AJ$32="Menor"),CONCATENATE("R2C",'Mapa final'!$R$32),"")</f>
        <v/>
      </c>
      <c r="V34" s="55" t="str">
        <f>IF(AND('Mapa final'!$AH$33="Media",'Mapa final'!$AJ$33="Menor"),CONCATENATE("R2C",'Mapa final'!$R$33),"")</f>
        <v/>
      </c>
      <c r="W34" s="53" t="str">
        <f>IF(AND('Mapa final'!$AH$28="Media",'Mapa final'!$AJ$28="Moderado"),CONCATENATE("R2C",'Mapa final'!$R$28),"")</f>
        <v/>
      </c>
      <c r="X34" s="54" t="str">
        <f>IF(AND('Mapa final'!$AH$29="Media",'Mapa final'!$AJ$29="Moderado"),CONCATENATE("R2C",'Mapa final'!$R$29),"")</f>
        <v/>
      </c>
      <c r="Y34" s="54" t="str">
        <f>IF(AND('Mapa final'!$AH$30="Media",'Mapa final'!$AJ$30="Moderado"),CONCATENATE("R2C",'Mapa final'!$R$30),"")</f>
        <v/>
      </c>
      <c r="Z34" s="54" t="str">
        <f>IF(AND('Mapa final'!$AH$31="Media",'Mapa final'!$AJ$31="Moderado"),CONCATENATE("R2C",'Mapa final'!$R$31),"")</f>
        <v/>
      </c>
      <c r="AA34" s="54" t="str">
        <f>IF(AND('Mapa final'!$AH$32="Media",'Mapa final'!$AJ$32="Moderado"),CONCATENATE("R2C",'Mapa final'!$R$32),"")</f>
        <v/>
      </c>
      <c r="AB34" s="55" t="str">
        <f>IF(AND('Mapa final'!$AH$33="Media",'Mapa final'!$AJ$33="Moderado"),CONCATENATE("R2C",'Mapa final'!$R$33),"")</f>
        <v/>
      </c>
      <c r="AC34" s="38" t="str">
        <f>IF(AND('Mapa final'!$AH$28="Media",'Mapa final'!$AJ$28="Mayor"),CONCATENATE("R2C",'Mapa final'!$R$28),"")</f>
        <v/>
      </c>
      <c r="AD34" s="39" t="str">
        <f>IF(AND('Mapa final'!$AH$29="Media",'Mapa final'!$AJ$29="Mayor"),CONCATENATE("R2C",'Mapa final'!$R$29),"")</f>
        <v/>
      </c>
      <c r="AE34" s="39" t="str">
        <f>IF(AND('Mapa final'!$AH$30="Media",'Mapa final'!$AJ$30="Mayor"),CONCATENATE("R2C",'Mapa final'!$R$30),"")</f>
        <v/>
      </c>
      <c r="AF34" s="39" t="str">
        <f>IF(AND('Mapa final'!$AH$31="Media",'Mapa final'!$AJ$31="Mayor"),CONCATENATE("R2C",'Mapa final'!$R$31),"")</f>
        <v/>
      </c>
      <c r="AG34" s="39" t="str">
        <f>IF(AND('Mapa final'!$AH$32="Media",'Mapa final'!$AJ$32="Mayor"),CONCATENATE("R2C",'Mapa final'!$R$32),"")</f>
        <v/>
      </c>
      <c r="AH34" s="40" t="str">
        <f>IF(AND('Mapa final'!$AH$33="Media",'Mapa final'!$AJ$33="Mayor"),CONCATENATE("R2C",'Mapa final'!$R$33),"")</f>
        <v/>
      </c>
      <c r="AI34" s="41" t="str">
        <f>IF(AND('Mapa final'!$AH$28="Media",'Mapa final'!$AJ$28="Catastrófico"),CONCATENATE("R2C",'Mapa final'!$R$28),"")</f>
        <v/>
      </c>
      <c r="AJ34" s="42" t="str">
        <f>IF(AND('Mapa final'!$AH$29="Media",'Mapa final'!$AJ$29="Catastrófico"),CONCATENATE("R2C",'Mapa final'!$R$29),"")</f>
        <v/>
      </c>
      <c r="AK34" s="42" t="str">
        <f>IF(AND('Mapa final'!$AH$30="Media",'Mapa final'!$AJ$30="Catastrófico"),CONCATENATE("R2C",'Mapa final'!$R$30),"")</f>
        <v/>
      </c>
      <c r="AL34" s="42" t="str">
        <f>IF(AND('Mapa final'!$AH$31="Media",'Mapa final'!$AJ$31="Catastrófico"),CONCATENATE("R2C",'Mapa final'!$R$31),"")</f>
        <v/>
      </c>
      <c r="AM34" s="42" t="str">
        <f>IF(AND('Mapa final'!$AH$32="Media",'Mapa final'!$AJ$32="Catastrófico"),CONCATENATE("R2C",'Mapa final'!$R$32),"")</f>
        <v/>
      </c>
      <c r="AN34" s="43" t="str">
        <f>IF(AND('Mapa final'!$AH$33="Media",'Mapa final'!$AJ$33="Catastrófico"),CONCATENATE("R2C",'Mapa final'!$R$33),"")</f>
        <v/>
      </c>
      <c r="AO34" s="68"/>
      <c r="AP34" s="611"/>
      <c r="AQ34" s="612"/>
      <c r="AR34" s="612"/>
      <c r="AS34" s="612"/>
      <c r="AT34" s="612"/>
      <c r="AU34" s="613"/>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row>
    <row r="35" spans="2:77" ht="15" customHeight="1">
      <c r="B35" s="68"/>
      <c r="C35" s="527"/>
      <c r="D35" s="527"/>
      <c r="E35" s="528"/>
      <c r="F35" s="570"/>
      <c r="G35" s="571"/>
      <c r="H35" s="571"/>
      <c r="I35" s="571"/>
      <c r="J35" s="572"/>
      <c r="K35" s="53" t="str">
        <f>IF(AND('Mapa final'!$AH$34="Media",'Mapa final'!$AJ$34="Leve"),CONCATENATE("R2C",'Mapa final'!$R$34),"")</f>
        <v/>
      </c>
      <c r="L35" s="54" t="str">
        <f>IF(AND('Mapa final'!$AH$35="Media",'Mapa final'!$AJ$35="Leve"),CONCATENATE("R2C",'Mapa final'!$R$35),"")</f>
        <v/>
      </c>
      <c r="M35" s="54" t="str">
        <f>IF(AND('Mapa final'!$AH$36="Media",'Mapa final'!$AJ$36="Leve"),CONCATENATE("R2C",'Mapa final'!$R$36),"")</f>
        <v/>
      </c>
      <c r="N35" s="54" t="e">
        <f>IF(AND('Mapa final'!#REF!="Alta",'Mapa final'!#REF!="Leve"),CONCATENATE("R2C",'Mapa final'!#REF!),"")</f>
        <v>#REF!</v>
      </c>
      <c r="O35" s="54" t="str">
        <f>IF(AND('Mapa final'!$AH$38="Media",'Mapa final'!$AJ$38="Leve"),CONCATENATE("R2C",'Mapa final'!$R$38),"")</f>
        <v/>
      </c>
      <c r="P35" s="55" t="str">
        <f>IF(AND('Mapa final'!$AH$39="Media",'Mapa final'!$AJ$39="Leve"),CONCATENATE("R2C",'Mapa final'!$R$39),"")</f>
        <v/>
      </c>
      <c r="Q35" s="53" t="str">
        <f>IF(AND('Mapa final'!$AH$34="Media",'Mapa final'!$AJ$34="Menor"),CONCATENATE("R2C",'Mapa final'!$R$34),"")</f>
        <v/>
      </c>
      <c r="R35" s="54" t="str">
        <f>IF(AND('Mapa final'!$AH$35="Media",'Mapa final'!$AJ$35="Menor"),CONCATENATE("R2C",'Mapa final'!$R$35),"")</f>
        <v/>
      </c>
      <c r="S35" s="54" t="str">
        <f>IF(AND('Mapa final'!$AH$36="Media",'Mapa final'!$AJ$36="Menor"),CONCATENATE("R2C",'Mapa final'!$R$36),"")</f>
        <v/>
      </c>
      <c r="T35" s="54" t="str">
        <f>IF(AND('Mapa final'!$AH$37="Media",'Mapa final'!$AJ$37="Menor"),CONCATENATE("R2C",'Mapa final'!$R$37),"")</f>
        <v/>
      </c>
      <c r="U35" s="54" t="str">
        <f>IF(AND('Mapa final'!$AH$38="Media",'Mapa final'!$AJ$38="LMenor"),CONCATENATE("R2C",'Mapa final'!$R$38),"")</f>
        <v/>
      </c>
      <c r="V35" s="55" t="str">
        <f>IF(AND('Mapa final'!$AH$39="Media",'Mapa final'!$AJ$39="Menor"),CONCATENATE("R2C",'Mapa final'!$R$39),"")</f>
        <v/>
      </c>
      <c r="W35" s="53" t="str">
        <f>IF(AND('Mapa final'!$AH$34="Media",'Mapa final'!$AJ$34="Moderado"),CONCATENATE("R2C",'Mapa final'!$R$34),"")</f>
        <v/>
      </c>
      <c r="X35" s="54" t="str">
        <f>IF(AND('Mapa final'!$AH$35="Media",'Mapa final'!$AJ$35="Moderado"),CONCATENATE("R2C",'Mapa final'!$R$35),"")</f>
        <v/>
      </c>
      <c r="Y35" s="54" t="str">
        <f>IF(AND('Mapa final'!$AH$36="Media",'Mapa final'!$AJ$36="Moderado"),CONCATENATE("R2C",'Mapa final'!$R$36),"")</f>
        <v/>
      </c>
      <c r="Z35" s="54" t="str">
        <f>IF(AND('Mapa final'!$AH$37="Media",'Mapa final'!$AJ$37="Moderado"),CONCATENATE("R2C",'Mapa final'!$R$37),"")</f>
        <v/>
      </c>
      <c r="AA35" s="54" t="str">
        <f>IF(AND('Mapa final'!$AH$38="Media",'Mapa final'!$AJ$38="Moderado"),CONCATENATE("R2C",'Mapa final'!$R$38),"")</f>
        <v/>
      </c>
      <c r="AB35" s="55" t="str">
        <f>IF(AND('Mapa final'!$AH$39="Media",'Mapa final'!$AJ$39="Moderado"),CONCATENATE("R2C",'Mapa final'!$R$39),"")</f>
        <v/>
      </c>
      <c r="AC35" s="38" t="str">
        <f>IF(AND('Mapa final'!$AH$34="Media",'Mapa final'!$AJ$34="Mayor"),CONCATENATE("R2C",'Mapa final'!$R$34),"")</f>
        <v/>
      </c>
      <c r="AD35" s="39" t="str">
        <f>IF(AND('Mapa final'!$AH$35="Media",'Mapa final'!$AJ$35="Mayor"),CONCATENATE("R2C",'Mapa final'!$R$35),"")</f>
        <v/>
      </c>
      <c r="AE35" s="39" t="str">
        <f>IF(AND('Mapa final'!$AH$36="Media",'Mapa final'!$AJ$36="Mayor"),CONCATENATE("R2C",'Mapa final'!$R$36),"")</f>
        <v/>
      </c>
      <c r="AF35" s="39" t="str">
        <f>IF(AND('Mapa final'!$AH$37="Media",'Mapa final'!$AJ$37="Mayor"),CONCATENATE("R2C",'Mapa final'!$R$37),"")</f>
        <v/>
      </c>
      <c r="AG35" s="39" t="str">
        <f>IF(AND('Mapa final'!$AH$38="Media",'Mapa final'!$AJ$38="Mayor"),CONCATENATE("R2C",'Mapa final'!$R$38),"")</f>
        <v/>
      </c>
      <c r="AH35" s="40" t="str">
        <f>IF(AND('Mapa final'!$AH$39="Media",'Mapa final'!$AJ$39="Mayor"),CONCATENATE("R2C",'Mapa final'!$R$39),"")</f>
        <v/>
      </c>
      <c r="AI35" s="41" t="str">
        <f>IF(AND('Mapa final'!$AH$34="Media",'Mapa final'!$AJ$34="Catastrófico"),CONCATENATE("R2C",'Mapa final'!$R$34),"")</f>
        <v/>
      </c>
      <c r="AJ35" s="42" t="str">
        <f>IF(AND('Mapa final'!$AH$35="Media",'Mapa final'!$AJ$35="Catastrófico"),CONCATENATE("R2C",'Mapa final'!$R$35),"")</f>
        <v/>
      </c>
      <c r="AK35" s="42" t="str">
        <f>IF(AND('Mapa final'!$AH$36="Media",'Mapa final'!$AJ$36="Catastrófico"),CONCATENATE("R2C",'Mapa final'!$R$36),"")</f>
        <v/>
      </c>
      <c r="AL35" s="42" t="str">
        <f>IF(AND('Mapa final'!$AH$37="Media",'Mapa final'!$AJ$37="Catastrófico"),CONCATENATE("R2C",'Mapa final'!$R$37),"")</f>
        <v/>
      </c>
      <c r="AM35" s="42" t="str">
        <f>IF(AND('Mapa final'!$AH$38="Media",'Mapa final'!$AJ$38="LCatastrófico"),CONCATENATE("R2C",'Mapa final'!$R$38),"")</f>
        <v/>
      </c>
      <c r="AN35" s="43" t="str">
        <f>IF(AND('Mapa final'!$AH$39="Media",'Mapa final'!$AJ$39="Catastrófico"),CONCATENATE("R2C",'Mapa final'!$R$39),"")</f>
        <v/>
      </c>
      <c r="AO35" s="68"/>
      <c r="AP35" s="611"/>
      <c r="AQ35" s="612"/>
      <c r="AR35" s="612"/>
      <c r="AS35" s="612"/>
      <c r="AT35" s="612"/>
      <c r="AU35" s="613"/>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row>
    <row r="36" spans="2:77" ht="15" customHeight="1">
      <c r="B36" s="68"/>
      <c r="C36" s="527"/>
      <c r="D36" s="527"/>
      <c r="E36" s="528"/>
      <c r="F36" s="570"/>
      <c r="G36" s="571"/>
      <c r="H36" s="571"/>
      <c r="I36" s="571"/>
      <c r="J36" s="572"/>
      <c r="K36" s="53" t="str">
        <f>IF(AND('Mapa final'!$AH$40="Media",'Mapa final'!$AJ$40="Leve"),CONCATENATE("R2C",'Mapa final'!$R$40),"")</f>
        <v/>
      </c>
      <c r="L36" s="54" t="str">
        <f>IF(AND('Mapa final'!$AH$41="Media",'Mapa final'!$AJ$41="Leve"),CONCATENATE("R2C",'Mapa final'!$R$41),"")</f>
        <v/>
      </c>
      <c r="M36" s="54" t="str">
        <f>IF(AND('Mapa final'!$AH$42="Media",'Mapa final'!$AJ$42="Leve"),CONCATENATE("R2C",'Mapa final'!$R$42),"")</f>
        <v/>
      </c>
      <c r="N36" s="54" t="e">
        <f>IF(AND('Mapa final'!#REF!="Alta",'Mapa final'!#REF!="Leve"),CONCATENATE("R2C",'Mapa final'!#REF!),"")</f>
        <v>#REF!</v>
      </c>
      <c r="O36" s="54" t="str">
        <f>IF(AND('Mapa final'!$AH$44="Media",'Mapa final'!$AJ$44="Leve"),CONCATENATE("R2C",'Mapa final'!$R$44),"")</f>
        <v/>
      </c>
      <c r="P36" s="55" t="str">
        <f>IF(AND('Mapa final'!$AH$45="Media",'Mapa final'!$AJ$45="Leve"),CONCATENATE("R2C",'Mapa final'!$R$45),"")</f>
        <v/>
      </c>
      <c r="Q36" s="53" t="str">
        <f>IF(AND('Mapa final'!$AH$40="Media",'Mapa final'!$AJ$40="Menor"),CONCATENATE("R2C",'Mapa final'!$R$40),"")</f>
        <v/>
      </c>
      <c r="R36" s="54" t="str">
        <f>IF(AND('Mapa final'!$AH$41="Media",'Mapa final'!$AJ$41="Menor"),CONCATENATE("R2C",'Mapa final'!$R$41),"")</f>
        <v/>
      </c>
      <c r="S36" s="54" t="str">
        <f>IF(AND('Mapa final'!$AH$42="Media",'Mapa final'!$AJ$42="Menor"),CONCATENATE("R2C",'Mapa final'!$R$42),"")</f>
        <v/>
      </c>
      <c r="T36" s="54" t="str">
        <f>IF(AND('Mapa final'!$AH$43="Media",'Mapa final'!$AJ$43="Menor"),CONCATENATE("R2C",'Mapa final'!$R$43),"")</f>
        <v/>
      </c>
      <c r="U36" s="54" t="str">
        <f>IF(AND('Mapa final'!$AH$44="Media",'Mapa final'!$AJ$44="Menor"),CONCATENATE("R2C",'Mapa final'!$R$44),"")</f>
        <v/>
      </c>
      <c r="V36" s="55" t="str">
        <f>IF(AND('Mapa final'!$AH$45="Media",'Mapa final'!$AJ$45="Menor"),CONCATENATE("R2C",'Mapa final'!$R$45),"")</f>
        <v/>
      </c>
      <c r="W36" s="53" t="str">
        <f>IF(AND('Mapa final'!$AH$40="Media",'Mapa final'!$AJ$40="Moderado"),CONCATENATE("R2C",'Mapa final'!$R$40),"")</f>
        <v/>
      </c>
      <c r="X36" s="54" t="str">
        <f>IF(AND('Mapa final'!$AH$41="Media",'Mapa final'!$AJ$41="Moderado"),CONCATENATE("R2C",'Mapa final'!$R$41),"")</f>
        <v/>
      </c>
      <c r="Y36" s="54" t="str">
        <f>IF(AND('Mapa final'!$AH$42="Media",'Mapa final'!$AJ$42="Moderado"),CONCATENATE("R2C",'Mapa final'!$R$42),"")</f>
        <v/>
      </c>
      <c r="Z36" s="54" t="str">
        <f>IF(AND('Mapa final'!$AH$43="Media",'Mapa final'!$AJ$43="Moderado"),CONCATENATE("R2C",'Mapa final'!$R$43),"")</f>
        <v/>
      </c>
      <c r="AA36" s="54" t="str">
        <f>IF(AND('Mapa final'!$AH$44="Media",'Mapa final'!$AJ$44="Moderado"),CONCATENATE("R2C",'Mapa final'!$R$44),"")</f>
        <v/>
      </c>
      <c r="AB36" s="55" t="str">
        <f>IF(AND('Mapa final'!$AH$45="Media",'Mapa final'!$AJ$45="Moderado"),CONCATENATE("R2C",'Mapa final'!$R$45),"")</f>
        <v/>
      </c>
      <c r="AC36" s="38" t="str">
        <f>IF(AND('Mapa final'!$AH$40="Media",'Mapa final'!$AJ$40="Mayor"),CONCATENATE("R2C",'Mapa final'!$R$40),"")</f>
        <v/>
      </c>
      <c r="AD36" s="39" t="str">
        <f>IF(AND('Mapa final'!$AH$41="Media",'Mapa final'!$AJ$41="Mayor"),CONCATENATE("R2C",'Mapa final'!$R$41),"")</f>
        <v/>
      </c>
      <c r="AE36" s="39" t="str">
        <f>IF(AND('Mapa final'!$AH$42="Media",'Mapa final'!$AJ$42="Mayor"),CONCATENATE("R2C",'Mapa final'!$R$42),"")</f>
        <v/>
      </c>
      <c r="AF36" s="39" t="str">
        <f>IF(AND('Mapa final'!$AH$43="Media",'Mapa final'!$AJ$43="Mayor"),CONCATENATE("R2C",'Mapa final'!$R$43),"")</f>
        <v/>
      </c>
      <c r="AG36" s="39" t="str">
        <f>IF(AND('Mapa final'!$AH$44="Media",'Mapa final'!$AJ$44="Mayor"),CONCATENATE("R2C",'Mapa final'!$R$44),"")</f>
        <v/>
      </c>
      <c r="AH36" s="40" t="str">
        <f>IF(AND('Mapa final'!$AH$45="Media",'Mapa final'!$AJ$45="Mayor"),CONCATENATE("R2C",'Mapa final'!$R$45),"")</f>
        <v/>
      </c>
      <c r="AI36" s="41" t="str">
        <f>IF(AND('Mapa final'!$AH$40="Media",'Mapa final'!$AJ$40="Catastrófico"),CONCATENATE("R2C",'Mapa final'!$R$40),"")</f>
        <v/>
      </c>
      <c r="AJ36" s="42" t="str">
        <f>IF(AND('Mapa final'!$AH$41="Media",'Mapa final'!$AJ$41="Catastrófico"),CONCATENATE("R2C",'Mapa final'!$R$41),"")</f>
        <v/>
      </c>
      <c r="AK36" s="42" t="str">
        <f>IF(AND('Mapa final'!$AH$42="Media",'Mapa final'!$AJ$42="Catastrófico"),CONCATENATE("R2C",'Mapa final'!$R$42),"")</f>
        <v/>
      </c>
      <c r="AL36" s="42" t="str">
        <f>IF(AND('Mapa final'!$AH$43="Media",'Mapa final'!$AJ$43="Catastrófico"),CONCATENATE("R2C",'Mapa final'!$R$43),"")</f>
        <v/>
      </c>
      <c r="AM36" s="42" t="str">
        <f>IF(AND('Mapa final'!$AH$44="Media",'Mapa final'!$AJ$44="Catastrófico"),CONCATENATE("R2C",'Mapa final'!$R$44),"")</f>
        <v/>
      </c>
      <c r="AN36" s="43" t="str">
        <f>IF(AND('Mapa final'!$AH$45="Media",'Mapa final'!$AJ$45="Catastrófico"),CONCATENATE("R2C",'Mapa final'!$R$45),"")</f>
        <v/>
      </c>
      <c r="AO36" s="68"/>
      <c r="AP36" s="611"/>
      <c r="AQ36" s="612"/>
      <c r="AR36" s="612"/>
      <c r="AS36" s="612"/>
      <c r="AT36" s="612"/>
      <c r="AU36" s="613"/>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row>
    <row r="37" spans="2:77" ht="15" customHeight="1">
      <c r="B37" s="68"/>
      <c r="C37" s="527"/>
      <c r="D37" s="527"/>
      <c r="E37" s="528"/>
      <c r="F37" s="570"/>
      <c r="G37" s="571"/>
      <c r="H37" s="571"/>
      <c r="I37" s="571"/>
      <c r="J37" s="572"/>
      <c r="K37" s="53" t="str">
        <f>IF(AND('Mapa final'!$AH$46="Media",'Mapa final'!$AJ$46="Leve"),CONCATENATE("R2C",'Mapa final'!$R$46),"")</f>
        <v/>
      </c>
      <c r="L37" s="54" t="str">
        <f>IF(AND('Mapa final'!$AH$47="Media",'Mapa final'!$AJ$47="Leve"),CONCATENATE("R2C",'Mapa final'!$R$47),"")</f>
        <v/>
      </c>
      <c r="M37" s="54" t="str">
        <f>IF(AND('Mapa final'!$AH$48="Media",'Mapa final'!$AJ$48="Leve"),CONCATENATE("R2C",'Mapa final'!$R$48),"")</f>
        <v/>
      </c>
      <c r="N37" s="54" t="e">
        <f>IF(AND('Mapa final'!#REF!="Alta",'Mapa final'!#REF!="Leve"),CONCATENATE("R2C",'Mapa final'!#REF!),"")</f>
        <v>#REF!</v>
      </c>
      <c r="O37" s="54" t="str">
        <f>IF(AND('Mapa final'!$AH$50="Media",'Mapa final'!$AJ$50="Leve"),CONCATENATE("R2C",'Mapa final'!$R$50),"")</f>
        <v/>
      </c>
      <c r="P37" s="55" t="str">
        <f>IF(AND('Mapa final'!$AH$61="Media",'Mapa final'!$AJ$51="Leve"),CONCATENATE("R2C",'Mapa final'!$R$51),"")</f>
        <v/>
      </c>
      <c r="Q37" s="53" t="str">
        <f>IF(AND('Mapa final'!$AH$46="Media",'Mapa final'!$AJ$46="Menor"),CONCATENATE("R2C",'Mapa final'!$R$46),"")</f>
        <v/>
      </c>
      <c r="R37" s="54" t="str">
        <f>IF(AND('Mapa final'!$AH$47="Media",'Mapa final'!$AJ$47="Menor"),CONCATENATE("R2C",'Mapa final'!$R$47),"")</f>
        <v/>
      </c>
      <c r="S37" s="54" t="str">
        <f>IF(AND('Mapa final'!$AH$48="Media",'Mapa final'!$AJ$48="Menor"),CONCATENATE("R2C",'Mapa final'!$R$48),"")</f>
        <v/>
      </c>
      <c r="T37" s="54" t="str">
        <f>IF(AND('Mapa final'!$AH$49="Media",'Mapa final'!$AJ$49="Menor"),CONCATENATE("R2C",'Mapa final'!$R$49),"")</f>
        <v/>
      </c>
      <c r="U37" s="54" t="str">
        <f>IF(AND('Mapa final'!$AH$50="Media",'Mapa final'!$AJ$50="Menor"),CONCATENATE("R2C",'Mapa final'!$R$50),"")</f>
        <v/>
      </c>
      <c r="V37" s="55" t="str">
        <f>IF(AND('Mapa final'!$AH$61="Media",'Mapa final'!$AJ$51="Menor"),CONCATENATE("R2C",'Mapa final'!$R$51),"")</f>
        <v/>
      </c>
      <c r="W37" s="53" t="str">
        <f>IF(AND('Mapa final'!$AH$46="Media",'Mapa final'!$AJ$46="Moderado"),CONCATENATE("R2C",'Mapa final'!$R$46),"")</f>
        <v/>
      </c>
      <c r="X37" s="54" t="str">
        <f>IF(AND('Mapa final'!$AH$47="Media",'Mapa final'!$AJ$47="Moderado"),CONCATENATE("R2C",'Mapa final'!$R$47),"")</f>
        <v/>
      </c>
      <c r="Y37" s="54" t="str">
        <f>IF(AND('Mapa final'!$AH$48="Media",'Mapa final'!$AJ$48="Moderado"),CONCATENATE("R2C",'Mapa final'!$R$48),"")</f>
        <v/>
      </c>
      <c r="Z37" s="54" t="str">
        <f>IF(AND('Mapa final'!$AH$49="Media",'Mapa final'!$AJ$49="Moderado"),CONCATENATE("R2C",'Mapa final'!$R$49),"")</f>
        <v/>
      </c>
      <c r="AA37" s="54" t="str">
        <f>IF(AND('Mapa final'!$AH$50="Media",'Mapa final'!$AJ$50="Moderado"),CONCATENATE("R2C",'Mapa final'!$R$50),"")</f>
        <v/>
      </c>
      <c r="AB37" s="55" t="str">
        <f>IF(AND('Mapa final'!$AH$61="Media",'Mapa final'!$AJ$51="Moderado"),CONCATENATE("R2C",'Mapa final'!$R$51),"")</f>
        <v/>
      </c>
      <c r="AC37" s="38" t="str">
        <f>IF(AND('Mapa final'!$AH$46="Media",'Mapa final'!$AJ$46="Mayor"),CONCATENATE("R2C",'Mapa final'!$R$46),"")</f>
        <v/>
      </c>
      <c r="AD37" s="39" t="str">
        <f>IF(AND('Mapa final'!$AH$47="Media",'Mapa final'!$AJ$47="Mayor"),CONCATENATE("R2C",'Mapa final'!$R$47),"")</f>
        <v/>
      </c>
      <c r="AE37" s="39" t="str">
        <f>IF(AND('Mapa final'!$AH$48="Media",'Mapa final'!$AJ$48="Mayor"),CONCATENATE("R2C",'Mapa final'!$R$48),"")</f>
        <v/>
      </c>
      <c r="AF37" s="39" t="str">
        <f>IF(AND('Mapa final'!$AH$49="Media",'Mapa final'!$AJ$49="Mayor"),CONCATENATE("R2C",'Mapa final'!$R$49),"")</f>
        <v/>
      </c>
      <c r="AG37" s="39" t="str">
        <f>IF(AND('Mapa final'!$AH$50="Media",'Mapa final'!$AJ$50="Mayor"),CONCATENATE("R2C",'Mapa final'!$R$50),"")</f>
        <v/>
      </c>
      <c r="AH37" s="40" t="str">
        <f>IF(AND('Mapa final'!$AH$61="Media",'Mapa final'!$AJ$51="Mayor"),CONCATENATE("R2C",'Mapa final'!$R$51),"")</f>
        <v/>
      </c>
      <c r="AI37" s="41" t="str">
        <f>IF(AND('Mapa final'!$AH$46="Media",'Mapa final'!$AJ$46="Catastrófico"),CONCATENATE("R2C",'Mapa final'!$R$46),"")</f>
        <v/>
      </c>
      <c r="AJ37" s="42" t="str">
        <f>IF(AND('Mapa final'!$AH$47="Media",'Mapa final'!$AJ$47="Catastrófico"),CONCATENATE("R2C",'Mapa final'!$R$47),"")</f>
        <v/>
      </c>
      <c r="AK37" s="42" t="str">
        <f>IF(AND('Mapa final'!$AH$48="Media",'Mapa final'!$AJ$48="Catastrófico"),CONCATENATE("R2C",'Mapa final'!$R$48),"")</f>
        <v/>
      </c>
      <c r="AL37" s="42" t="str">
        <f>IF(AND('Mapa final'!$AH$49="Media",'Mapa final'!$AJ$49="Catastrófico"),CONCATENATE("R2C",'Mapa final'!$R$49),"")</f>
        <v/>
      </c>
      <c r="AM37" s="42" t="str">
        <f>IF(AND('Mapa final'!$AH$50="Media",'Mapa final'!$AJ$50="Catastrófico"),CONCATENATE("R2C",'Mapa final'!$R$50),"")</f>
        <v/>
      </c>
      <c r="AN37" s="43" t="str">
        <f>IF(AND('Mapa final'!$AH$61="Media",'Mapa final'!$AJ$51="Catastrófico"),CONCATENATE("R2C",'Mapa final'!$R$51),"")</f>
        <v/>
      </c>
      <c r="AO37" s="68"/>
      <c r="AP37" s="611"/>
      <c r="AQ37" s="612"/>
      <c r="AR37" s="612"/>
      <c r="AS37" s="612"/>
      <c r="AT37" s="612"/>
      <c r="AU37" s="613"/>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row>
    <row r="38" spans="2:77" ht="15" customHeight="1">
      <c r="B38" s="68"/>
      <c r="C38" s="527"/>
      <c r="D38" s="527"/>
      <c r="E38" s="528"/>
      <c r="F38" s="570"/>
      <c r="G38" s="571"/>
      <c r="H38" s="571"/>
      <c r="I38" s="571"/>
      <c r="J38" s="572"/>
      <c r="K38" s="53" t="str">
        <f>IF(AND('Mapa final'!$AH$52="Media",'Mapa final'!$AJ$52="Leve"),CONCATENATE("R2C",'Mapa final'!$R$52),"")</f>
        <v/>
      </c>
      <c r="L38" s="54" t="str">
        <f>IF(AND('Mapa final'!$AH$53="Media",'Mapa final'!$AJ$53="Leve"),CONCATENATE("R2C",'Mapa final'!$R$53),"")</f>
        <v/>
      </c>
      <c r="M38" s="54" t="str">
        <f>IF(AND('Mapa final'!$AH$54="Media",'Mapa final'!$AJ$54="Leve"),CONCATENATE("R2C",'Mapa final'!$R$54),"")</f>
        <v/>
      </c>
      <c r="N38" s="54" t="e">
        <f>IF(AND('Mapa final'!#REF!="Alta",'Mapa final'!#REF!="Leve"),CONCATENATE("R2C",'Mapa final'!#REF!),"")</f>
        <v>#REF!</v>
      </c>
      <c r="O38" s="54" t="str">
        <f>IF(AND('Mapa final'!$AH$56="Media",'Mapa final'!$AJ$56="Leve"),CONCATENATE("R2C",'Mapa final'!$R$56),"")</f>
        <v/>
      </c>
      <c r="P38" s="55" t="str">
        <f>IF(AND('Mapa final'!$AH$57="Media",'Mapa final'!$AJ$57="Leve"),CONCATENATE("R2C",'Mapa final'!$R$57),"")</f>
        <v/>
      </c>
      <c r="Q38" s="53" t="str">
        <f>IF(AND('Mapa final'!$AH$52="Media",'Mapa final'!$AJ$52="Menor"),CONCATENATE("R2C",'Mapa final'!$R$52),"")</f>
        <v/>
      </c>
      <c r="R38" s="54" t="str">
        <f>IF(AND('Mapa final'!$AH$53="Media",'Mapa final'!$AJ$53="Menor"),CONCATENATE("R2C",'Mapa final'!$R$53),"")</f>
        <v/>
      </c>
      <c r="S38" s="54" t="str">
        <f>IF(AND('Mapa final'!$AH$54="Media",'Mapa final'!$AJ$54="Menor"),CONCATENATE("R2C",'Mapa final'!$R$54),"")</f>
        <v/>
      </c>
      <c r="T38" s="54" t="str">
        <f>IF(AND('Mapa final'!$AH$55="Media",'Mapa final'!$AJ$55="Menor"),CONCATENATE("R2C",'Mapa final'!$R$55),"")</f>
        <v/>
      </c>
      <c r="U38" s="54" t="str">
        <f>IF(AND('Mapa final'!$AH$56="Media",'Mapa final'!$AJ$56="Menor"),CONCATENATE("R2C",'Mapa final'!$R$56),"")</f>
        <v/>
      </c>
      <c r="V38" s="55" t="str">
        <f>IF(AND('Mapa final'!$AH$57="Media",'Mapa final'!$AJ$57="Menor"),CONCATENATE("R2C",'Mapa final'!$R$57),"")</f>
        <v/>
      </c>
      <c r="W38" s="53" t="str">
        <f>IF(AND('Mapa final'!$AH$52="Media",'Mapa final'!$AJ$52="Moderado"),CONCATENATE("R2C",'Mapa final'!$R$52),"")</f>
        <v/>
      </c>
      <c r="X38" s="54" t="str">
        <f>IF(AND('Mapa final'!$AH$53="Media",'Mapa final'!$AJ$53="Moderado"),CONCATENATE("R2C",'Mapa final'!$R$53),"")</f>
        <v/>
      </c>
      <c r="Y38" s="54" t="str">
        <f>IF(AND('Mapa final'!$AH$54="Media",'Mapa final'!$AJ$54="Moderado"),CONCATENATE("R2C",'Mapa final'!$R$54),"")</f>
        <v/>
      </c>
      <c r="Z38" s="54" t="str">
        <f>IF(AND('Mapa final'!$AH$55="Media",'Mapa final'!$AJ$55="Moderado"),CONCATENATE("R2C",'Mapa final'!$R$55),"")</f>
        <v/>
      </c>
      <c r="AA38" s="54" t="str">
        <f>IF(AND('Mapa final'!$AH$56="Media",'Mapa final'!$AJ$56="Moderado"),CONCATENATE("R2C",'Mapa final'!$R$56),"")</f>
        <v/>
      </c>
      <c r="AB38" s="55" t="str">
        <f>IF(AND('Mapa final'!$AH$57="Media",'Mapa final'!$AJ$57="Moderado"),CONCATENATE("R2C",'Mapa final'!$R$57),"")</f>
        <v/>
      </c>
      <c r="AC38" s="38" t="str">
        <f>IF(AND('Mapa final'!$AH$52="Media",'Mapa final'!$AJ$52="Mayor"),CONCATENATE("R2C",'Mapa final'!$R$52),"")</f>
        <v/>
      </c>
      <c r="AD38" s="39" t="str">
        <f>IF(AND('Mapa final'!$AH$53="Media",'Mapa final'!$AJ$53="Mayor"),CONCATENATE("R2C",'Mapa final'!$R$53),"")</f>
        <v/>
      </c>
      <c r="AE38" s="39" t="str">
        <f>IF(AND('Mapa final'!$AH$54="Media",'Mapa final'!$AJ$54="Mayor"),CONCATENATE("R2C",'Mapa final'!$R$54),"")</f>
        <v/>
      </c>
      <c r="AF38" s="39" t="str">
        <f>IF(AND('Mapa final'!$AH$55="Media",'Mapa final'!$AJ$55="Mayor"),CONCATENATE("R2C",'Mapa final'!$R$55),"")</f>
        <v/>
      </c>
      <c r="AG38" s="39" t="str">
        <f>IF(AND('Mapa final'!$AH$56="Media",'Mapa final'!$AJ$56="Mayor"),CONCATENATE("R2C",'Mapa final'!$R$56),"")</f>
        <v/>
      </c>
      <c r="AH38" s="40" t="str">
        <f>IF(AND('Mapa final'!$AH$57="Media",'Mapa final'!$AJ$57="Mayor"),CONCATENATE("R2C",'Mapa final'!$R$57),"")</f>
        <v/>
      </c>
      <c r="AI38" s="41" t="str">
        <f>IF(AND('Mapa final'!$AH$52="Media",'Mapa final'!$AJ$52="Catastrófico"),CONCATENATE("R2C",'Mapa final'!$R$52),"")</f>
        <v/>
      </c>
      <c r="AJ38" s="42" t="str">
        <f>IF(AND('Mapa final'!$AH$53="Media",'Mapa final'!$AJ$53="Catastrófico"),CONCATENATE("R2C",'Mapa final'!$R$53),"")</f>
        <v/>
      </c>
      <c r="AK38" s="42" t="str">
        <f>IF(AND('Mapa final'!$AH$54="Media",'Mapa final'!$AJ$54="Catastrófico"),CONCATENATE("R2C",'Mapa final'!$R$54),"")</f>
        <v/>
      </c>
      <c r="AL38" s="42" t="str">
        <f>IF(AND('Mapa final'!$AH$55="Media",'Mapa final'!$AJ$55="Catastrófico"),CONCATENATE("R2C",'Mapa final'!$R$55),"")</f>
        <v/>
      </c>
      <c r="AM38" s="42" t="str">
        <f>IF(AND('Mapa final'!$AH$56="Media",'Mapa final'!$AJ$56="Catastrófico"),CONCATENATE("R2C",'Mapa final'!$R$56),"")</f>
        <v/>
      </c>
      <c r="AN38" s="43" t="str">
        <f>IF(AND('Mapa final'!$AH$57="Media",'Mapa final'!$AJ$57="Catastrófico"),CONCATENATE("R2C",'Mapa final'!$R$57),"")</f>
        <v/>
      </c>
      <c r="AO38" s="68"/>
      <c r="AP38" s="611"/>
      <c r="AQ38" s="612"/>
      <c r="AR38" s="612"/>
      <c r="AS38" s="612"/>
      <c r="AT38" s="612"/>
      <c r="AU38" s="613"/>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row>
    <row r="39" spans="2:77" ht="15" customHeight="1">
      <c r="B39" s="68"/>
      <c r="C39" s="527"/>
      <c r="D39" s="527"/>
      <c r="E39" s="528"/>
      <c r="F39" s="570"/>
      <c r="G39" s="571"/>
      <c r="H39" s="571"/>
      <c r="I39" s="571"/>
      <c r="J39" s="572"/>
      <c r="K39" s="53" t="str">
        <f>IF(AND('Mapa final'!$AH$58="Media",'Mapa final'!$AJ$58="Leve"),CONCATENATE("R2C",'Mapa final'!$R$58),"")</f>
        <v/>
      </c>
      <c r="L39" s="54" t="str">
        <f>IF(AND('Mapa final'!$AH$59="Media",'Mapa final'!$AJ$59="Leve"),CONCATENATE("R2C",'Mapa final'!$R$59),"")</f>
        <v/>
      </c>
      <c r="M39" s="54" t="str">
        <f>IF(AND('Mapa final'!$AH$60="Media",'Mapa final'!$AJ$60="Leve"),CONCATENATE("R2C",'Mapa final'!$R$60),"")</f>
        <v/>
      </c>
      <c r="N39" s="54" t="e">
        <f>IF(AND('Mapa final'!#REF!="Alta",'Mapa final'!#REF!="Leve"),CONCATENATE("R2C",'Mapa final'!#REF!),"")</f>
        <v>#REF!</v>
      </c>
      <c r="O39" s="54" t="str">
        <f>IF(AND('Mapa final'!$AH$62="Media",'Mapa final'!$AJ$62="Leve"),CONCATENATE("R2C",'Mapa final'!$R$62),"")</f>
        <v/>
      </c>
      <c r="P39" s="55" t="str">
        <f>IF(AND('Mapa final'!$AH$63="Media",'Mapa final'!$AJ$63="Leve"),CONCATENATE("R2C",'Mapa final'!$R$63),"")</f>
        <v/>
      </c>
      <c r="Q39" s="53" t="str">
        <f>IF(AND('Mapa final'!$AH$58="Media",'Mapa final'!$AJ$58="Menor"),CONCATENATE("R2C",'Mapa final'!$R$58),"")</f>
        <v/>
      </c>
      <c r="R39" s="54" t="str">
        <f>IF(AND('Mapa final'!$AH$59="Media",'Mapa final'!$AJ$59="Menor"),CONCATENATE("R2C",'Mapa final'!$R$59),"")</f>
        <v/>
      </c>
      <c r="S39" s="54" t="str">
        <f>IF(AND('Mapa final'!$AH$60="Media",'Mapa final'!$AJ$60="Menor"),CONCATENATE("R2C",'Mapa final'!$R$60),"")</f>
        <v/>
      </c>
      <c r="T39" s="54" t="str">
        <f>IF(AND('Mapa final'!$AH$61="Media",'Mapa final'!$AJ$61="Menor"),CONCATENATE("R2C",'Mapa final'!$R$61),"")</f>
        <v/>
      </c>
      <c r="U39" s="54" t="str">
        <f>IF(AND('Mapa final'!$AH$62="Media",'Mapa final'!$AJ$62="Menor"),CONCATENATE("R2C",'Mapa final'!$R$62),"")</f>
        <v/>
      </c>
      <c r="V39" s="55" t="str">
        <f>IF(AND('Mapa final'!$AH$63="Media",'Mapa final'!$AJ$63="Menor"),CONCATENATE("R2C",'Mapa final'!$R$63),"")</f>
        <v/>
      </c>
      <c r="W39" s="53" t="str">
        <f>IF(AND('Mapa final'!$AH$58="Media",'Mapa final'!$AJ$58="Moderado"),CONCATENATE("R2C",'Mapa final'!$R$58),"")</f>
        <v/>
      </c>
      <c r="X39" s="54" t="str">
        <f>IF(AND('Mapa final'!$AH$59="Media",'Mapa final'!$AJ$59="Moderado"),CONCATENATE("R2C",'Mapa final'!$R$59),"")</f>
        <v/>
      </c>
      <c r="Y39" s="54" t="str">
        <f>IF(AND('Mapa final'!$AH$60="Media",'Mapa final'!$AJ$60="Moderado"),CONCATENATE("R2C",'Mapa final'!$R$60),"")</f>
        <v/>
      </c>
      <c r="Z39" s="54" t="str">
        <f>IF(AND('Mapa final'!$AH$61="Media",'Mapa final'!$AJ$61="Moderado"),CONCATENATE("R2C",'Mapa final'!$R$61),"")</f>
        <v/>
      </c>
      <c r="AA39" s="54" t="str">
        <f>IF(AND('Mapa final'!$AH$62="Media",'Mapa final'!$AJ$62="Moderado"),CONCATENATE("R2C",'Mapa final'!$R$62),"")</f>
        <v/>
      </c>
      <c r="AB39" s="55" t="str">
        <f>IF(AND('Mapa final'!$AH$63="Media",'Mapa final'!$AJ$63="Moderado"),CONCATENATE("R2C",'Mapa final'!$R$63),"")</f>
        <v/>
      </c>
      <c r="AC39" s="38" t="str">
        <f>IF(AND('Mapa final'!$AH$58="Media",'Mapa final'!$AJ$58="Mayor"),CONCATENATE("R2C",'Mapa final'!$R$58),"")</f>
        <v/>
      </c>
      <c r="AD39" s="39" t="str">
        <f>IF(AND('Mapa final'!$AH$59="Media",'Mapa final'!$AJ$59="Mayor"),CONCATENATE("R2C",'Mapa final'!$R$59),"")</f>
        <v/>
      </c>
      <c r="AE39" s="39" t="str">
        <f>IF(AND('Mapa final'!$AH$60="Media",'Mapa final'!$AJ$60="Mayor"),CONCATENATE("R2C",'Mapa final'!$R$60),"")</f>
        <v/>
      </c>
      <c r="AF39" s="39" t="str">
        <f>IF(AND('Mapa final'!$AH$61="Media",'Mapa final'!$AJ$61="Mayor"),CONCATENATE("R2C",'Mapa final'!$R$61),"")</f>
        <v/>
      </c>
      <c r="AG39" s="39" t="str">
        <f>IF(AND('Mapa final'!$AH$62="Media",'Mapa final'!$AJ$62="Mayor"),CONCATENATE("R2C",'Mapa final'!$R$62),"")</f>
        <v/>
      </c>
      <c r="AH39" s="40" t="str">
        <f>IF(AND('Mapa final'!$AH$63="Media",'Mapa final'!$AJ$63="Mayor"),CONCATENATE("R2C",'Mapa final'!$R$63),"")</f>
        <v/>
      </c>
      <c r="AI39" s="41" t="str">
        <f>IF(AND('Mapa final'!$AH$58="Media",'Mapa final'!$AJ$58="Catastrófico"),CONCATENATE("R2C",'Mapa final'!$R$58),"")</f>
        <v/>
      </c>
      <c r="AJ39" s="42" t="str">
        <f>IF(AND('Mapa final'!$AH$59="Media",'Mapa final'!$AJ$59="Catastrófico"),CONCATENATE("R2C",'Mapa final'!$R$59),"")</f>
        <v/>
      </c>
      <c r="AK39" s="42" t="str">
        <f>IF(AND('Mapa final'!$AH$60="Media",'Mapa final'!$AJ$60="Catastrófico"),CONCATENATE("R2C",'Mapa final'!$R$60),"")</f>
        <v/>
      </c>
      <c r="AL39" s="42" t="str">
        <f>IF(AND('Mapa final'!$AH$61="Media",'Mapa final'!$AJ$61="Catastrófico"),CONCATENATE("R2C",'Mapa final'!$R$61),"")</f>
        <v/>
      </c>
      <c r="AM39" s="42" t="str">
        <f>IF(AND('Mapa final'!$AH$62="Media",'Mapa final'!$AJ$62="Catastrófico"),CONCATENATE("R2C",'Mapa final'!$R$62),"")</f>
        <v/>
      </c>
      <c r="AN39" s="43" t="str">
        <f>IF(AND('Mapa final'!$AH$63="Media",'Mapa final'!$AJ$63="Catastrófico"),CONCATENATE("R2C",'Mapa final'!$R$63),"")</f>
        <v/>
      </c>
      <c r="AO39" s="68"/>
      <c r="AP39" s="611"/>
      <c r="AQ39" s="612"/>
      <c r="AR39" s="612"/>
      <c r="AS39" s="612"/>
      <c r="AT39" s="612"/>
      <c r="AU39" s="613"/>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row>
    <row r="40" spans="2:77" ht="15" customHeight="1">
      <c r="B40" s="68"/>
      <c r="C40" s="527"/>
      <c r="D40" s="527"/>
      <c r="E40" s="528"/>
      <c r="F40" s="570"/>
      <c r="G40" s="571"/>
      <c r="H40" s="571"/>
      <c r="I40" s="571"/>
      <c r="J40" s="572"/>
      <c r="K40" s="53" t="str">
        <f>IF(AND('Mapa final'!$AH$64="Media",'Mapa final'!$AJ$64="Leve"),CONCATENATE("R2C",'Mapa final'!$R$64),"")</f>
        <v/>
      </c>
      <c r="L40" s="54" t="str">
        <f>IF(AND('Mapa final'!$AH$65="Media",'Mapa final'!$AJ$65="Leve"),CONCATENATE("R2C",'Mapa final'!$R$65),"")</f>
        <v/>
      </c>
      <c r="M40" s="54" t="str">
        <f>IF(AND('Mapa final'!$AH$66="Media",'Mapa final'!$AJ$66="Leve"),CONCATENATE("R2C",'Mapa final'!$R$66),"")</f>
        <v/>
      </c>
      <c r="N40" s="54" t="e">
        <f>IF(AND('Mapa final'!#REF!="Alta",'Mapa final'!#REF!="Leve"),CONCATENATE("R2C",'Mapa final'!#REF!),"")</f>
        <v>#REF!</v>
      </c>
      <c r="O40" s="54" t="str">
        <f>IF(AND('Mapa final'!$AH$68="Media",'Mapa final'!$AJ$68="Leve"),CONCATENATE("R2C",'Mapa final'!$R$68),"")</f>
        <v/>
      </c>
      <c r="P40" s="55" t="str">
        <f>IF(AND('Mapa final'!$AH$69="Media",'Mapa final'!$AJ$69="Leve"),CONCATENATE("R2C",'Mapa final'!$R$69),"")</f>
        <v/>
      </c>
      <c r="Q40" s="53" t="str">
        <f>IF(AND('Mapa final'!$AH$64="Media",'Mapa final'!$AJ$64="Menor"),CONCATENATE("R2C",'Mapa final'!$R$64),"")</f>
        <v/>
      </c>
      <c r="R40" s="54" t="str">
        <f>IF(AND('Mapa final'!$AH$65="Media",'Mapa final'!$AJ$65="Menor"),CONCATENATE("R2C",'Mapa final'!$R$65),"")</f>
        <v/>
      </c>
      <c r="S40" s="54" t="str">
        <f>IF(AND('Mapa final'!$AH$66="Media",'Mapa final'!$AJ$66="Menor"),CONCATENATE("R2C",'Mapa final'!$R$66),"")</f>
        <v/>
      </c>
      <c r="T40" s="54" t="str">
        <f>IF(AND('Mapa final'!$AH$67="Media",'Mapa final'!$AJ$67="Menor"),CONCATENATE("R2C",'Mapa final'!$R$67),"")</f>
        <v/>
      </c>
      <c r="U40" s="54" t="str">
        <f>IF(AND('Mapa final'!$AH$68="Media",'Mapa final'!$AJ$68="Menor"),CONCATENATE("R2C",'Mapa final'!$R$68),"")</f>
        <v/>
      </c>
      <c r="V40" s="55" t="str">
        <f>IF(AND('Mapa final'!$AH$69="Media",'Mapa final'!$AJ$69="Menor"),CONCATENATE("R2C",'Mapa final'!$R$69),"")</f>
        <v/>
      </c>
      <c r="W40" s="53" t="str">
        <f>IF(AND('Mapa final'!$AH$64="Media",'Mapa final'!$AJ$64="Moderado"),CONCATENATE("R2C",'Mapa final'!$R$64),"")</f>
        <v/>
      </c>
      <c r="X40" s="54" t="str">
        <f>IF(AND('Mapa final'!$AH$65="Media",'Mapa final'!$AJ$65="Moderado"),CONCATENATE("R2C",'Mapa final'!$R$65),"")</f>
        <v/>
      </c>
      <c r="Y40" s="54" t="str">
        <f>IF(AND('Mapa final'!$AH$66="Media",'Mapa final'!$AJ$66="Moderado"),CONCATENATE("R2C",'Mapa final'!$R$66),"")</f>
        <v/>
      </c>
      <c r="Z40" s="54" t="str">
        <f>IF(AND('Mapa final'!$AH$67="Media",'Mapa final'!$AJ$67="Moderado"),CONCATENATE("R2C",'Mapa final'!$R$67),"")</f>
        <v/>
      </c>
      <c r="AA40" s="54" t="str">
        <f>IF(AND('Mapa final'!$AH$68="Media",'Mapa final'!$AJ$68="Moderado"),CONCATENATE("R2C",'Mapa final'!$R$68),"")</f>
        <v/>
      </c>
      <c r="AB40" s="55" t="str">
        <f>IF(AND('Mapa final'!$AH$69="Media",'Mapa final'!$AJ$69="Moderado"),CONCATENATE("R2C",'Mapa final'!$R$69),"")</f>
        <v/>
      </c>
      <c r="AC40" s="38" t="str">
        <f>IF(AND('Mapa final'!$AH$64="Media",'Mapa final'!$AJ$64="Mayor"),CONCATENATE("R2C",'Mapa final'!$R$64),"")</f>
        <v/>
      </c>
      <c r="AD40" s="39" t="str">
        <f>IF(AND('Mapa final'!$AH$65="Media",'Mapa final'!$AJ$65="Mayor"),CONCATENATE("R2C",'Mapa final'!$R$65),"")</f>
        <v/>
      </c>
      <c r="AE40" s="39" t="str">
        <f>IF(AND('Mapa final'!$AH$66="Media",'Mapa final'!$AJ$66="Mayor"),CONCATENATE("R2C",'Mapa final'!$R$66),"")</f>
        <v/>
      </c>
      <c r="AF40" s="39" t="str">
        <f>IF(AND('Mapa final'!$AH$67="Media",'Mapa final'!$AJ$67="Mayor"),CONCATENATE("R2C",'Mapa final'!$R$67),"")</f>
        <v/>
      </c>
      <c r="AG40" s="39" t="str">
        <f>IF(AND('Mapa final'!$AH$68="Media",'Mapa final'!$AJ$68="Mayor"),CONCATENATE("R2C",'Mapa final'!$R$68),"")</f>
        <v/>
      </c>
      <c r="AH40" s="40" t="str">
        <f>IF(AND('Mapa final'!$AH$69="Media",'Mapa final'!$AJ$69="Mayor"),CONCATENATE("R2C",'Mapa final'!$R$69),"")</f>
        <v/>
      </c>
      <c r="AI40" s="41" t="str">
        <f>IF(AND('Mapa final'!$AH$64="Media",'Mapa final'!$AJ$64="Catastrófico"),CONCATENATE("R2C",'Mapa final'!$R$64),"")</f>
        <v/>
      </c>
      <c r="AJ40" s="42" t="str">
        <f>IF(AND('Mapa final'!$AH$65="Media",'Mapa final'!$AJ$65="Catastrófico"),CONCATENATE("R2C",'Mapa final'!$R$65),"")</f>
        <v/>
      </c>
      <c r="AK40" s="42" t="str">
        <f>IF(AND('Mapa final'!$AH$66="Media",'Mapa final'!$AJ$66="Catastrófico"),CONCATENATE("R2C",'Mapa final'!$R$66),"")</f>
        <v/>
      </c>
      <c r="AL40" s="42" t="str">
        <f>IF(AND('Mapa final'!$AH$67="Media",'Mapa final'!$AJ$67="Catastrófico"),CONCATENATE("R2C",'Mapa final'!$R$67),"")</f>
        <v/>
      </c>
      <c r="AM40" s="42" t="str">
        <f>IF(AND('Mapa final'!$AH$68="Media",'Mapa final'!$AJ$68="Catastrófico"),CONCATENATE("R2C",'Mapa final'!$R$68),"")</f>
        <v/>
      </c>
      <c r="AN40" s="43" t="str">
        <f>IF(AND('Mapa final'!$AH$69="Media",'Mapa final'!$AJ$69="Catastrófico"),CONCATENATE("R2C",'Mapa final'!$R$69),"")</f>
        <v/>
      </c>
      <c r="AO40" s="68"/>
      <c r="AP40" s="611"/>
      <c r="AQ40" s="612"/>
      <c r="AR40" s="612"/>
      <c r="AS40" s="612"/>
      <c r="AT40" s="612"/>
      <c r="AU40" s="613"/>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row>
    <row r="41" spans="2:77" ht="15.75" customHeight="1" thickBot="1">
      <c r="B41" s="68"/>
      <c r="C41" s="527"/>
      <c r="D41" s="527"/>
      <c r="E41" s="528"/>
      <c r="F41" s="573"/>
      <c r="G41" s="574"/>
      <c r="H41" s="574"/>
      <c r="I41" s="574"/>
      <c r="J41" s="575"/>
      <c r="K41" s="53" t="str">
        <f>IF(AND('Mapa final'!$AH$70="Media",'Mapa final'!$AJ$70="Leve"),CONCATENATE("R2C",'Mapa final'!$R$70),"")</f>
        <v/>
      </c>
      <c r="L41" s="54" t="str">
        <f>IF(AND('Mapa final'!$AH$71="Media",'Mapa final'!$AJ$71="Leve"),CONCATENATE("R2C",'Mapa final'!$R$71),"")</f>
        <v/>
      </c>
      <c r="M41" s="54" t="str">
        <f>IF(AND('Mapa final'!$AH$72="Media",'Mapa final'!$AJ$72="Leve"),CONCATENATE("R2C",'Mapa final'!$R$72),"")</f>
        <v/>
      </c>
      <c r="N41" s="54" t="e">
        <f>IF(AND('Mapa final'!#REF!="Alta",'Mapa final'!#REF!="Leve"),CONCATENATE("R2C",'Mapa final'!#REF!),"")</f>
        <v>#REF!</v>
      </c>
      <c r="O41" s="54" t="str">
        <f>IF(AND('Mapa final'!$AH$75="Media",'Mapa final'!$AJ$75="Leve"),CONCATENATE("R2C",'Mapa final'!$R$75),"")</f>
        <v/>
      </c>
      <c r="P41" s="55" t="str">
        <f>IF(AND('Mapa final'!$AH$76="Media",'Mapa final'!$AJ$76="Leve"),CONCATENATE("R2C",'Mapa final'!$R$76),"")</f>
        <v/>
      </c>
      <c r="Q41" s="53" t="str">
        <f>IF(AND('Mapa final'!$AH$70="Media",'Mapa final'!$AJ$70="Menor"),CONCATENATE("R2C",'Mapa final'!$R$70),"")</f>
        <v/>
      </c>
      <c r="R41" s="54" t="str">
        <f>IF(AND('Mapa final'!$AH$71="Media",'Mapa final'!$AJ$71="Menor"),CONCATENATE("R2C",'Mapa final'!$R$71),"")</f>
        <v/>
      </c>
      <c r="S41" s="54" t="str">
        <f>IF(AND('Mapa final'!$AH$72="Media",'Mapa final'!$AJ$72="Menor"),CONCATENATE("R2C",'Mapa final'!$R$72),"")</f>
        <v/>
      </c>
      <c r="T41" s="54" t="str">
        <f>IF(AND('Mapa final'!$AH$73="Media",'Mapa final'!$AJ$73="Menor"),CONCATENATE("R2C",'Mapa final'!$R$73),"")</f>
        <v/>
      </c>
      <c r="U41" s="54" t="str">
        <f>IF(AND('Mapa final'!$AH$75="Media",'Mapa final'!$AJ$75="Menor"),CONCATENATE("R2C",'Mapa final'!$R$75),"")</f>
        <v/>
      </c>
      <c r="V41" s="55" t="str">
        <f>IF(AND('Mapa final'!$AH$76="Media",'Mapa final'!$AJ$76="Menor"),CONCATENATE("R2C",'Mapa final'!$R$76),"")</f>
        <v/>
      </c>
      <c r="W41" s="53" t="str">
        <f>IF(AND('Mapa final'!$AH$70="Media",'Mapa final'!$AJ$70="Moderado"),CONCATENATE("R2C",'Mapa final'!$R$70),"")</f>
        <v/>
      </c>
      <c r="X41" s="54" t="str">
        <f>IF(AND('Mapa final'!$AH$71="Media",'Mapa final'!$AJ$71="Moderado"),CONCATENATE("R2C",'Mapa final'!$R$71),"")</f>
        <v/>
      </c>
      <c r="Y41" s="54" t="str">
        <f>IF(AND('Mapa final'!$AH$72="Media",'Mapa final'!$AJ$72="Moderado"),CONCATENATE("R2C",'Mapa final'!$R$72),"")</f>
        <v/>
      </c>
      <c r="Z41" s="54" t="str">
        <f>IF(AND('Mapa final'!$AH$73="Media",'Mapa final'!$AJ$73="Moderado"),CONCATENATE("R2C",'Mapa final'!$R$73),"")</f>
        <v/>
      </c>
      <c r="AA41" s="54" t="str">
        <f>IF(AND('Mapa final'!$AH$75="Media",'Mapa final'!$AJ$75="Moderado"),CONCATENATE("R2C",'Mapa final'!$R$75),"")</f>
        <v/>
      </c>
      <c r="AB41" s="55" t="str">
        <f>IF(AND('Mapa final'!$AH$76="Media",'Mapa final'!$AJ$76="Moderado"),CONCATENATE("R2C",'Mapa final'!$R$76),"")</f>
        <v/>
      </c>
      <c r="AC41" s="44" t="str">
        <f>IF(AND('Mapa final'!$AH$70="Media",'Mapa final'!$AJ$70="Mayor"),CONCATENATE("R2C",'Mapa final'!$R$70),"")</f>
        <v/>
      </c>
      <c r="AD41" s="45" t="str">
        <f>IF(AND('Mapa final'!$AH$71="Media",'Mapa final'!$AJ$71="Mayor"),CONCATENATE("R2C",'Mapa final'!$R$71),"")</f>
        <v/>
      </c>
      <c r="AE41" s="45" t="str">
        <f>IF(AND('Mapa final'!$AH$72="Media",'Mapa final'!$AJ$72="Mayor"),CONCATENATE("R2C",'Mapa final'!$R$72),"")</f>
        <v/>
      </c>
      <c r="AF41" s="45" t="str">
        <f>IF(AND('Mapa final'!$AH$73="Media",'Mapa final'!$AJ$73="Mayor"),CONCATENATE("R2C",'Mapa final'!$R$73),"")</f>
        <v/>
      </c>
      <c r="AG41" s="45" t="str">
        <f>IF(AND('Mapa final'!$AH$75="Media",'Mapa final'!$AJ$75="Mayor"),CONCATENATE("R2C",'Mapa final'!$R$75),"")</f>
        <v/>
      </c>
      <c r="AH41" s="46" t="str">
        <f>IF(AND('Mapa final'!$AH$76="Media",'Mapa final'!$AJ$76="Mayor"),CONCATENATE("R2C",'Mapa final'!$R$76),"")</f>
        <v/>
      </c>
      <c r="AI41" s="47" t="str">
        <f>IF(AND('Mapa final'!$AH$70="Media",'Mapa final'!$AJ$70="Catastrófico"),CONCATENATE("R2C",'Mapa final'!$R$70),"")</f>
        <v/>
      </c>
      <c r="AJ41" s="48" t="str">
        <f>IF(AND('Mapa final'!$AH$71="Media",'Mapa final'!$AJ$71="Catastrófico"),CONCATENATE("R2C",'Mapa final'!$R$71),"")</f>
        <v/>
      </c>
      <c r="AK41" s="48" t="str">
        <f>IF(AND('Mapa final'!$AH$72="Media",'Mapa final'!$AJ$72="Catastrófico"),CONCATENATE("R2C",'Mapa final'!$R$72),"")</f>
        <v/>
      </c>
      <c r="AL41" s="48" t="str">
        <f>IF(AND('Mapa final'!$AH$73="Media",'Mapa final'!$AJ$73="Catastrófico"),CONCATENATE("R2C",'Mapa final'!$R$73),"")</f>
        <v/>
      </c>
      <c r="AM41" s="48" t="str">
        <f>IF(AND('Mapa final'!$AH$75="Media",'Mapa final'!$AJ$75="Catastrófico"),CONCATENATE("R2C",'Mapa final'!$R$75),"")</f>
        <v/>
      </c>
      <c r="AN41" s="49" t="str">
        <f>IF(AND('Mapa final'!$AH$76="Muy Alta",'Mapa final'!$AJ$76="Catastrófico"),CONCATENATE("R2C",'Mapa final'!$R$76),"")</f>
        <v/>
      </c>
      <c r="AO41" s="68"/>
      <c r="AP41" s="614"/>
      <c r="AQ41" s="615"/>
      <c r="AR41" s="615"/>
      <c r="AS41" s="615"/>
      <c r="AT41" s="615"/>
      <c r="AU41" s="616"/>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row>
    <row r="42" spans="2:77" ht="15" customHeight="1">
      <c r="B42" s="68"/>
      <c r="C42" s="527"/>
      <c r="D42" s="527"/>
      <c r="E42" s="528"/>
      <c r="F42" s="567" t="s">
        <v>257</v>
      </c>
      <c r="G42" s="568"/>
      <c r="H42" s="568"/>
      <c r="I42" s="568"/>
      <c r="J42" s="568"/>
      <c r="K42" s="59"/>
      <c r="L42" s="60" t="e">
        <f>IF(AND('Mapa final'!#REF!="Baja",'Mapa final'!#REF!="Leve"),CONCATENATE("R2C",'Mapa final'!$R$15),"")</f>
        <v>#REF!</v>
      </c>
      <c r="M42" s="60" t="e">
        <f>IF(AND('Mapa final'!#REF!="Baja",'Mapa final'!#REF!="Leve"),CONCATENATE("R2C",'Mapa final'!#REF!),"")</f>
        <v>#REF!</v>
      </c>
      <c r="N42" s="54" t="e">
        <f>IF(AND('Mapa final'!#REF!="Alta",'Mapa final'!#REF!="Leve"),CONCATENATE("R2C",'Mapa final'!#REF!),"")</f>
        <v>#REF!</v>
      </c>
      <c r="O42" s="60" t="e">
        <f>IF(AND('Mapa final'!#REF!="Baja",'Mapa final'!#REF!="Leve"),CONCATENATE("R2C",'Mapa final'!#REF!),"")</f>
        <v>#REF!</v>
      </c>
      <c r="P42" s="61" t="e">
        <f>IF(AND('Mapa final'!#REF!="Baja",'Mapa final'!#REF!="Leve"),CONCATENATE("R2C",'Mapa final'!#REF!),"")</f>
        <v>#REF!</v>
      </c>
      <c r="Q42" s="50"/>
      <c r="R42" s="51" t="e">
        <f>IF(AND('Mapa final'!#REF!="Baja",'Mapa final'!#REF!="Menore"),CONCATENATE("R2C",'Mapa final'!$R$15),"")</f>
        <v>#REF!</v>
      </c>
      <c r="S42" s="51" t="e">
        <f>IF(AND('Mapa final'!#REF!="Baja",'Mapa final'!#REF!="Menor"),CONCATENATE("R2C",'Mapa final'!#REF!),"")</f>
        <v>#REF!</v>
      </c>
      <c r="T42" s="51" t="e">
        <f>IF(AND('Mapa final'!#REF!="Baja",'Mapa final'!#REF!="Menor"),CONCATENATE("R2C",'Mapa final'!#REF!),"")</f>
        <v>#REF!</v>
      </c>
      <c r="U42" s="51" t="e">
        <f>IF(AND('Mapa final'!#REF!="Baja",'Mapa final'!#REF!="Menor"),CONCATENATE("R2C",'Mapa final'!#REF!),"")</f>
        <v>#REF!</v>
      </c>
      <c r="V42" s="52" t="e">
        <f>IF(AND('Mapa final'!#REF!="Baja",'Mapa final'!#REF!="Menor"),CONCATENATE("R2C",'Mapa final'!#REF!),"")</f>
        <v>#REF!</v>
      </c>
      <c r="W42" s="50"/>
      <c r="X42" s="51" t="e">
        <f>IF(AND('Mapa final'!#REF!="Baja",'Mapa final'!#REF!="Moderado"),CONCATENATE("R2C",'Mapa final'!$R$15),"")</f>
        <v>#REF!</v>
      </c>
      <c r="Y42" s="51"/>
      <c r="Z42" s="51" t="e">
        <f>IF(AND('Mapa final'!#REF!="Baja",'Mapa final'!#REF!="Moderado"),CONCATENATE("R2C",'Mapa final'!#REF!),"")</f>
        <v>#REF!</v>
      </c>
      <c r="AA42" s="51" t="e">
        <f>IF(AND('Mapa final'!#REF!="Baja",'Mapa final'!#REF!="Moderado"),CONCATENATE("R2C",'Mapa final'!#REF!),"")</f>
        <v>#REF!</v>
      </c>
      <c r="AB42" s="52" t="e">
        <f>IF(AND('Mapa final'!#REF!="Baja",'Mapa final'!#REF!="Moderado"),CONCATENATE("R2C",'Mapa final'!#REF!),"")</f>
        <v>#REF!</v>
      </c>
      <c r="AC42" s="32"/>
      <c r="AD42" s="33" t="e">
        <f>IF(AND('Mapa final'!#REF!="Baja",'Mapa final'!#REF!="Mayor"),CONCATENATE("R2C",'Mapa final'!$R$15),"")</f>
        <v>#REF!</v>
      </c>
      <c r="AE42" s="33" t="e">
        <f>IF(AND('Mapa final'!#REF!="Baja",'Mapa final'!#REF!="Mayor"),CONCATENATE("R2C",'Mapa final'!#REF!),"")</f>
        <v>#REF!</v>
      </c>
      <c r="AF42" s="33" t="e">
        <f>IF(AND('Mapa final'!#REF!="Baja",'Mapa final'!#REF!="Mayor"),CONCATENATE("R2C",'Mapa final'!#REF!),"")</f>
        <v>#REF!</v>
      </c>
      <c r="AG42" s="33" t="e">
        <f>IF(AND('Mapa final'!#REF!="Baja",'Mapa final'!#REF!="Mayor"),CONCATENATE("R2C",'Mapa final'!#REF!),"")</f>
        <v>#REF!</v>
      </c>
      <c r="AH42" s="34" t="e">
        <f>IF(AND('Mapa final'!#REF!="Baja",'Mapa final'!#REF!="Mayor"),CONCATENATE("R2C",'Mapa final'!#REF!),"")</f>
        <v>#REF!</v>
      </c>
      <c r="AI42" s="35"/>
      <c r="AJ42" s="36" t="e">
        <f>IF(AND('Mapa final'!#REF!="Baja",'Mapa final'!#REF!="Catastrófico"),CONCATENATE("R2C",'Mapa final'!$R$15),"")</f>
        <v>#REF!</v>
      </c>
      <c r="AK42" s="36" t="e">
        <f>IF(AND('Mapa final'!#REF!="Baja",'Mapa final'!#REF!="Catastrófico"),CONCATENATE("R2C",'Mapa final'!#REF!),"")</f>
        <v>#REF!</v>
      </c>
      <c r="AL42" s="36" t="e">
        <f>IF(AND('Mapa final'!#REF!="Baja",'Mapa final'!#REF!="Catastrófico"),CONCATENATE("R2C",'Mapa final'!#REF!),"")</f>
        <v>#REF!</v>
      </c>
      <c r="AM42" s="36" t="e">
        <f>IF(AND('Mapa final'!#REF!="Baja",'Mapa final'!#REF!="Catastrófico"),CONCATENATE("R2C",'Mapa final'!#REF!),"")</f>
        <v>#REF!</v>
      </c>
      <c r="AN42" s="37" t="e">
        <f>IF(AND('Mapa final'!#REF!="Baja",'Mapa final'!#REF!="Catastrófico"),CONCATENATE("R2C",'Mapa final'!#REF!),"")</f>
        <v>#REF!</v>
      </c>
      <c r="AO42" s="68"/>
      <c r="AP42" s="599" t="s">
        <v>258</v>
      </c>
      <c r="AQ42" s="600"/>
      <c r="AR42" s="600"/>
      <c r="AS42" s="600"/>
      <c r="AT42" s="600"/>
      <c r="AU42" s="601"/>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row>
    <row r="43" spans="2:77" ht="15" customHeight="1">
      <c r="B43" s="68"/>
      <c r="C43" s="527"/>
      <c r="D43" s="527"/>
      <c r="E43" s="528"/>
      <c r="F43" s="586"/>
      <c r="G43" s="571"/>
      <c r="H43" s="571"/>
      <c r="I43" s="571"/>
      <c r="J43" s="571"/>
      <c r="K43" s="62" t="e">
        <f>IF(AND('Mapa final'!#REF!="Baja",'Mapa final'!#REF!="Leve"),CONCATENATE("R2C",'Mapa final'!#REF!),"")</f>
        <v>#REF!</v>
      </c>
      <c r="L43" s="63" t="e">
        <f>IF(AND('Mapa final'!#REF!="Baja",'Mapa final'!#REF!="Leve"),CONCATENATE("R2C",'Mapa final'!#REF!),"")</f>
        <v>#REF!</v>
      </c>
      <c r="M43" s="63" t="str">
        <f>IF(AND('Mapa final'!$AH$24="Baja",'Mapa final'!$AJ$24="Leve"),CONCATENATE("R2C",'Mapa final'!$R$24),"")</f>
        <v/>
      </c>
      <c r="N43" s="54" t="e">
        <f>IF(AND('Mapa final'!#REF!="Alta",'Mapa final'!#REF!="Leve"),CONCATENATE("R2C",'Mapa final'!#REF!),"")</f>
        <v>#REF!</v>
      </c>
      <c r="O43" s="63" t="str">
        <f>IF(AND('Mapa final'!$AH$26="Baja",'Mapa final'!$AJ$26="Leve"),CONCATENATE("R2C",'Mapa final'!$R$26),"")</f>
        <v/>
      </c>
      <c r="P43" s="64" t="str">
        <f>IF(AND('Mapa final'!$AH$27="Baja",'Mapa final'!$AJ$27="Leve"),CONCATENATE("R2C",'Mapa final'!$R$27),"")</f>
        <v/>
      </c>
      <c r="Q43" s="53" t="e">
        <f>IF(AND('Mapa final'!#REF!="Baja",'Mapa final'!#REF!="Menor"),CONCATENATE("R2C",'Mapa final'!#REF!),"")</f>
        <v>#REF!</v>
      </c>
      <c r="R43" s="54" t="e">
        <f>IF(AND('Mapa final'!#REF!="Baja",'Mapa final'!#REF!="Menor"),CONCATENATE("R2C",'Mapa final'!#REF!),"")</f>
        <v>#REF!</v>
      </c>
      <c r="S43" s="54" t="str">
        <f>IF(AND('Mapa final'!$AH$24="Baja",'Mapa final'!$AJ$24="Menor"),CONCATENATE("R2C",'Mapa final'!$R$24),"")</f>
        <v/>
      </c>
      <c r="T43" s="54" t="str">
        <f>IF(AND('Mapa final'!$AH$25="Baja",'Mapa final'!$AJ$25="Menor"),CONCATENATE("R2C",'Mapa final'!$R$25),"")</f>
        <v/>
      </c>
      <c r="U43" s="54" t="str">
        <f>IF(AND('Mapa final'!$AH$26="Baja",'Mapa final'!$AJ$26="Menor"),CONCATENATE("R2C",'Mapa final'!$R$26),"")</f>
        <v/>
      </c>
      <c r="V43" s="55" t="str">
        <f>IF(AND('Mapa final'!$AH$27="Baja",'Mapa final'!$AJ$27="Menor"),CONCATENATE("R2C",'Mapa final'!$R$27),"")</f>
        <v/>
      </c>
      <c r="W43" s="53" t="e">
        <f>IF(AND('Mapa final'!#REF!="Baja",'Mapa final'!#REF!="Moderado"),CONCATENATE("R2C",'Mapa final'!#REF!),"")</f>
        <v>#REF!</v>
      </c>
      <c r="X43" s="54" t="e">
        <f>IF(AND('Mapa final'!#REF!="Baja",'Mapa final'!#REF!="Moderado"),CONCATENATE("R2C",'Mapa final'!#REF!),"")</f>
        <v>#REF!</v>
      </c>
      <c r="Y43" s="54" t="str">
        <f>IF(AND('Mapa final'!$AH$24="Baja",'Mapa final'!$AJ$24="Moderado"),CONCATENATE("R2C",'Mapa final'!$R$24),"")</f>
        <v/>
      </c>
      <c r="Z43" s="54" t="str">
        <f>IF(AND('Mapa final'!$AH$25="Baja",'Mapa final'!$AJ$25="Moderado"),CONCATENATE("R2C",'Mapa final'!$R$25),"")</f>
        <v/>
      </c>
      <c r="AA43" s="54" t="str">
        <f>IF(AND('Mapa final'!$AH$26="Baja",'Mapa final'!$AJ$26="Moderado"),CONCATENATE("R2C",'Mapa final'!$R$26),"")</f>
        <v/>
      </c>
      <c r="AB43" s="55" t="str">
        <f>IF(AND('Mapa final'!$AH$27="Baja",'Mapa final'!$AJ$27="Moderado"),CONCATENATE("R2C",'Mapa final'!$R$27),"")</f>
        <v/>
      </c>
      <c r="AC43" s="38" t="e">
        <f>IF(AND('Mapa final'!#REF!="Baja",'Mapa final'!#REF!="Mayor"),CONCATENATE("R2C",'Mapa final'!#REF!),"")</f>
        <v>#REF!</v>
      </c>
      <c r="AD43" s="39" t="e">
        <f>IF(AND('Mapa final'!#REF!="Baja",'Mapa final'!#REF!="Mayor"),CONCATENATE("R2C",'Mapa final'!#REF!),"")</f>
        <v>#REF!</v>
      </c>
      <c r="AE43" s="39" t="str">
        <f>IF(AND('Mapa final'!$AH$24="Baja",'Mapa final'!$AJ$24="Mayor"),CONCATENATE("R2C",'Mapa final'!$R$24),"")</f>
        <v/>
      </c>
      <c r="AF43" s="39" t="str">
        <f>IF(AND('Mapa final'!$AH$25="Baja",'Mapa final'!$AJ$25="Mayor"),CONCATENATE("R2C",'Mapa final'!$R$25),"")</f>
        <v/>
      </c>
      <c r="AG43" s="39" t="str">
        <f>IF(AND('Mapa final'!$AH$26="Baja",'Mapa final'!$AJ$26="Mayor"),CONCATENATE("R2C",'Mapa final'!$R$26),"")</f>
        <v/>
      </c>
      <c r="AH43" s="40" t="str">
        <f>IF(AND('Mapa final'!$AH$27="Baja",'Mapa final'!$AJ$27="Mayor"),CONCATENATE("R2C",'Mapa final'!$R$27),"")</f>
        <v/>
      </c>
      <c r="AI43" s="41" t="e">
        <f>IF(AND('Mapa final'!#REF!="Baja",'Mapa final'!#REF!="Catastrófico"),CONCATENATE("R2C",'Mapa final'!#REF!),"")</f>
        <v>#REF!</v>
      </c>
      <c r="AJ43" s="42" t="e">
        <f>IF(AND('Mapa final'!#REF!="Baja",'Mapa final'!#REF!="Catastrófico"),CONCATENATE("R2C",'Mapa final'!#REF!),"")</f>
        <v>#REF!</v>
      </c>
      <c r="AK43" s="42" t="str">
        <f>IF(AND('Mapa final'!$AH$24="Baja",'Mapa final'!$AJ$24="Catastrófico"),CONCATENATE("R2C",'Mapa final'!$R$24),"")</f>
        <v/>
      </c>
      <c r="AL43" s="42" t="str">
        <f>IF(AND('Mapa final'!$AH$25="Baja",'Mapa final'!$AJ$25="Catastrófico"),CONCATENATE("R2C",'Mapa final'!$R$25),"")</f>
        <v/>
      </c>
      <c r="AM43" s="42" t="str">
        <f>IF(AND('Mapa final'!$AH$26="Baja",'Mapa final'!$AJ$26="Catastrófico"),CONCATENATE("R2C",'Mapa final'!$R$26),"")</f>
        <v/>
      </c>
      <c r="AN43" s="43" t="str">
        <f>IF(AND('Mapa final'!$AH$27="Baja",'Mapa final'!$AJ$27="Catastrófico"),CONCATENATE("R2C",'Mapa final'!$R$27),"")</f>
        <v/>
      </c>
      <c r="AO43" s="68"/>
      <c r="AP43" s="602"/>
      <c r="AQ43" s="603"/>
      <c r="AR43" s="603"/>
      <c r="AS43" s="603"/>
      <c r="AT43" s="603"/>
      <c r="AU43" s="604"/>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row>
    <row r="44" spans="2:77" ht="15" customHeight="1">
      <c r="B44" s="68"/>
      <c r="C44" s="527"/>
      <c r="D44" s="527"/>
      <c r="E44" s="528"/>
      <c r="F44" s="570"/>
      <c r="G44" s="571"/>
      <c r="H44" s="571"/>
      <c r="I44" s="571"/>
      <c r="J44" s="571"/>
      <c r="K44" s="62" t="str">
        <f>IF(AND('Mapa final'!$AH$28="Baja",'Mapa final'!$AJ$28="Leve"),CONCATENATE("R2C",'Mapa final'!$R$28),"")</f>
        <v/>
      </c>
      <c r="L44" s="63" t="str">
        <f>IF(AND('Mapa final'!$AH$29="Baja",'Mapa final'!$AJ$29="Leve"),CONCATENATE("R2C",'Mapa final'!$R$29),"")</f>
        <v/>
      </c>
      <c r="M44" s="63" t="str">
        <f>IF(AND('Mapa final'!$AH$30="Baja",'Mapa final'!$AJ$30="Leve"),CONCATENATE("R2C",'Mapa final'!$R$30),"")</f>
        <v/>
      </c>
      <c r="N44" s="54" t="e">
        <f>IF(AND('Mapa final'!#REF!="Alta",'Mapa final'!#REF!="Leve"),CONCATENATE("R2C",'Mapa final'!#REF!),"")</f>
        <v>#REF!</v>
      </c>
      <c r="O44" s="63" t="str">
        <f>IF(AND('Mapa final'!$AH$32="Baja",'Mapa final'!$AJ$32="Leve"),CONCATENATE("R2C",'Mapa final'!$R$32),"")</f>
        <v/>
      </c>
      <c r="P44" s="64" t="str">
        <f>IF(AND('Mapa final'!$AH$33="Baja",'Mapa final'!$AJ$33="Leve"),CONCATENATE("R2C",'Mapa final'!$R$33),"")</f>
        <v/>
      </c>
      <c r="Q44" s="53" t="str">
        <f>IF(AND('Mapa final'!$AH$28="Baja",'Mapa final'!$AJ$28="Menor"),CONCATENATE("R2C",'Mapa final'!$R$28),"")</f>
        <v/>
      </c>
      <c r="R44" s="54" t="str">
        <f>IF(AND('Mapa final'!$AH$29="Baja",'Mapa final'!$AJ$29="Menor"),CONCATENATE("R2C",'Mapa final'!$R$29),"")</f>
        <v/>
      </c>
      <c r="S44" s="54" t="str">
        <f>IF(AND('Mapa final'!$AH$30="Baja",'Mapa final'!$AJ$30="Menor"),CONCATENATE("R2C",'Mapa final'!$R$30),"")</f>
        <v/>
      </c>
      <c r="T44" s="54" t="str">
        <f>IF(AND('Mapa final'!$AH$31="Baja",'Mapa final'!$AJ$31="Menor"),CONCATENATE("R2C",'Mapa final'!$R$31),"")</f>
        <v/>
      </c>
      <c r="U44" s="54" t="str">
        <f>IF(AND('Mapa final'!$AH$32="Baja",'Mapa final'!$AJ$32="Menor"),CONCATENATE("R2C",'Mapa final'!$R$32),"")</f>
        <v/>
      </c>
      <c r="V44" s="55" t="str">
        <f>IF(AND('Mapa final'!$AH$33="Baja",'Mapa final'!$AJ$33="Menor"),CONCATENATE("R2C",'Mapa final'!$R$33),"")</f>
        <v/>
      </c>
      <c r="W44" s="53" t="str">
        <f>IF(AND('Mapa final'!$AH$28="Baja",'Mapa final'!$AJ$28="Moderado"),CONCATENATE("R2C",'Mapa final'!$R$28),"")</f>
        <v/>
      </c>
      <c r="X44" s="54" t="str">
        <f>IF(AND('Mapa final'!$AH$29="Baja",'Mapa final'!$AJ$29="Moderado"),CONCATENATE("R2C",'Mapa final'!$R$29),"")</f>
        <v/>
      </c>
      <c r="Y44" s="54" t="str">
        <f>IF(AND('Mapa final'!$AH$30="Baja",'Mapa final'!$AJ$30="Moderado"),CONCATENATE("R2C",'Mapa final'!$R$30),"")</f>
        <v/>
      </c>
      <c r="Z44" s="54" t="str">
        <f>IF(AND('Mapa final'!$AH$31="Baja",'Mapa final'!$AJ$31="Moderado"),CONCATENATE("R2C",'Mapa final'!$R$31),"")</f>
        <v/>
      </c>
      <c r="AA44" s="54" t="str">
        <f>IF(AND('Mapa final'!$AH$32="Baja",'Mapa final'!$AJ$32="Moderado"),CONCATENATE("R2C",'Mapa final'!$R$32),"")</f>
        <v/>
      </c>
      <c r="AB44" s="55" t="str">
        <f>IF(AND('Mapa final'!$AH$33="Baja",'Mapa final'!$AJ$33="Moderado"),CONCATENATE("R2C",'Mapa final'!$R$33),"")</f>
        <v/>
      </c>
      <c r="AC44" s="38" t="str">
        <f>IF(AND('Mapa final'!$AH$28="Baja",'Mapa final'!$AJ$28="Mayor"),CONCATENATE("R2C",'Mapa final'!$R$28),"")</f>
        <v/>
      </c>
      <c r="AD44" s="39" t="str">
        <f>IF(AND('Mapa final'!$AH$29="Baja",'Mapa final'!$AJ$29="Mayor"),CONCATENATE("R2C",'Mapa final'!$R$29),"")</f>
        <v/>
      </c>
      <c r="AE44" s="39" t="str">
        <f>IF(AND('Mapa final'!$AH$30="Baja",'Mapa final'!$AJ$30="Mayor"),CONCATENATE("R2C",'Mapa final'!$R$30),"")</f>
        <v/>
      </c>
      <c r="AF44" s="39" t="str">
        <f>IF(AND('Mapa final'!$AH$31="Baja",'Mapa final'!$AJ$31="Mayor"),CONCATENATE("R2C",'Mapa final'!$R$31),"")</f>
        <v/>
      </c>
      <c r="AG44" s="39" t="str">
        <f>IF(AND('Mapa final'!$AH$32="Baja",'Mapa final'!$AJ$32="Mayor"),CONCATENATE("R2C",'Mapa final'!$R$32),"")</f>
        <v/>
      </c>
      <c r="AH44" s="40" t="str">
        <f>IF(AND('Mapa final'!$AH$33="Baja",'Mapa final'!$AJ$33="Mayor"),CONCATENATE("R2C",'Mapa final'!$R$33),"")</f>
        <v/>
      </c>
      <c r="AI44" s="41" t="str">
        <f>IF(AND('Mapa final'!$AH$28="Baja",'Mapa final'!$AJ$28="Catastrófico"),CONCATENATE("R2C",'Mapa final'!$R$28),"")</f>
        <v/>
      </c>
      <c r="AJ44" s="42" t="str">
        <f>IF(AND('Mapa final'!$AH$29="Baja",'Mapa final'!$AJ$29="Catastrófico"),CONCATENATE("R2C",'Mapa final'!$R$29),"")</f>
        <v/>
      </c>
      <c r="AK44" s="42" t="str">
        <f>IF(AND('Mapa final'!$AH$30="Baja",'Mapa final'!$AJ$30="Catastrófico"),CONCATENATE("R2C",'Mapa final'!$R$30),"")</f>
        <v/>
      </c>
      <c r="AL44" s="42" t="str">
        <f>IF(AND('Mapa final'!$AH$31="Baja",'Mapa final'!$AJ$31="Catastrófico"),CONCATENATE("R2C",'Mapa final'!$R$31),"")</f>
        <v/>
      </c>
      <c r="AM44" s="42" t="str">
        <f>IF(AND('Mapa final'!$AH$32="Baja",'Mapa final'!$AJ$32="Catastrófico"),CONCATENATE("R2C",'Mapa final'!$R$32),"")</f>
        <v/>
      </c>
      <c r="AN44" s="43" t="str">
        <f>IF(AND('Mapa final'!$AH$33="Baja",'Mapa final'!$AJ$33="Catastrófico"),CONCATENATE("R2C",'Mapa final'!$R$33),"")</f>
        <v/>
      </c>
      <c r="AO44" s="68"/>
      <c r="AP44" s="602"/>
      <c r="AQ44" s="603"/>
      <c r="AR44" s="603"/>
      <c r="AS44" s="603"/>
      <c r="AT44" s="603"/>
      <c r="AU44" s="604"/>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row>
    <row r="45" spans="2:77" ht="15" customHeight="1">
      <c r="B45" s="68"/>
      <c r="C45" s="527"/>
      <c r="D45" s="527"/>
      <c r="E45" s="528"/>
      <c r="F45" s="570"/>
      <c r="G45" s="571"/>
      <c r="H45" s="571"/>
      <c r="I45" s="571"/>
      <c r="J45" s="571"/>
      <c r="K45" s="62" t="str">
        <f>IF(AND('Mapa final'!$AH$34="Baja",'Mapa final'!$AJ$34="Leve"),CONCATENATE("R2C",'Mapa final'!$R$34),"")</f>
        <v/>
      </c>
      <c r="L45" s="63" t="str">
        <f>IF(AND('Mapa final'!$AH$35="Baja",'Mapa final'!$AJ$35="Leve"),CONCATENATE("R2C",'Mapa final'!$R$35),"")</f>
        <v/>
      </c>
      <c r="M45" s="63" t="str">
        <f>IF(AND('Mapa final'!$AH$36="Baja",'Mapa final'!$AJ$36="Leve"),CONCATENATE("R2C",'Mapa final'!$R$36),"")</f>
        <v/>
      </c>
      <c r="N45" s="54" t="e">
        <f>IF(AND('Mapa final'!#REF!="Alta",'Mapa final'!#REF!="Leve"),CONCATENATE("R2C",'Mapa final'!#REF!),"")</f>
        <v>#REF!</v>
      </c>
      <c r="O45" s="63" t="str">
        <f>IF(AND('Mapa final'!$AH$38="Baja",'Mapa final'!$AJ$38="Leve"),CONCATENATE("R2C",'Mapa final'!$R$38),"")</f>
        <v/>
      </c>
      <c r="P45" s="64" t="str">
        <f>IF(AND('Mapa final'!$AH$39="Baja",'Mapa final'!$AJ$39="Leve"),CONCATENATE("R2C",'Mapa final'!$R$39),"")</f>
        <v/>
      </c>
      <c r="Q45" s="53" t="str">
        <f>IF(AND('Mapa final'!$AH$34="Baja",'Mapa final'!$AJ$34="Menor"),CONCATENATE("R2C",'Mapa final'!$R$34),"")</f>
        <v/>
      </c>
      <c r="R45" s="54" t="str">
        <f>IF(AND('Mapa final'!$AH$35="Baja",'Mapa final'!$AJ$35="Menor"),CONCATENATE("R2C",'Mapa final'!$R$35),"")</f>
        <v/>
      </c>
      <c r="S45" s="54" t="str">
        <f>IF(AND('Mapa final'!$AH$36="Baja",'Mapa final'!$AJ$36="Menor"),CONCATENATE("R2C",'Mapa final'!$R$36),"")</f>
        <v/>
      </c>
      <c r="T45" s="54" t="str">
        <f>IF(AND('Mapa final'!$AH$37="Baja",'Mapa final'!$AJ$37="Menor"),CONCATENATE("R2C",'Mapa final'!$R$37),"")</f>
        <v/>
      </c>
      <c r="U45" s="54" t="str">
        <f>IF(AND('Mapa final'!$AH$38="Baja",'Mapa final'!$AJ$38="LMenor"),CONCATENATE("R2C",'Mapa final'!$R$38),"")</f>
        <v/>
      </c>
      <c r="V45" s="55" t="str">
        <f>IF(AND('Mapa final'!$AH$39="Baja",'Mapa final'!$AJ$39="Menor"),CONCATENATE("R2C",'Mapa final'!$R$39),"")</f>
        <v/>
      </c>
      <c r="W45" s="53" t="str">
        <f>IF(AND('Mapa final'!$AH$34="Baja",'Mapa final'!$AJ$34="Moderado"),CONCATENATE("R2C",'Mapa final'!$R$34),"")</f>
        <v/>
      </c>
      <c r="X45" s="54" t="str">
        <f>IF(AND('Mapa final'!$AH$35="Baja",'Mapa final'!$AJ$35="Moderado"),CONCATENATE("R2C",'Mapa final'!$R$35),"")</f>
        <v/>
      </c>
      <c r="Y45" s="54" t="str">
        <f>IF(AND('Mapa final'!$AH$36="Baja",'Mapa final'!$AJ$36="Moderado"),CONCATENATE("R2C",'Mapa final'!$R$36),"")</f>
        <v/>
      </c>
      <c r="Z45" s="54" t="str">
        <f>IF(AND('Mapa final'!$AH$37="Baja",'Mapa final'!$AJ$37="Moderado"),CONCATENATE("R2C",'Mapa final'!$R$37),"")</f>
        <v/>
      </c>
      <c r="AA45" s="54" t="str">
        <f>IF(AND('Mapa final'!$AH$38="Baja",'Mapa final'!$AJ$38="Moderado"),CONCATENATE("R2C",'Mapa final'!$R$38),"")</f>
        <v/>
      </c>
      <c r="AB45" s="55" t="str">
        <f>IF(AND('Mapa final'!$AH$39="Baja",'Mapa final'!$AJ$39="Moderado"),CONCATENATE("R2C",'Mapa final'!$R$39),"")</f>
        <v/>
      </c>
      <c r="AC45" s="38" t="str">
        <f>IF(AND('Mapa final'!$AH$34="Baja",'Mapa final'!$AJ$34="Mayor"),CONCATENATE("R2C",'Mapa final'!$R$34),"")</f>
        <v/>
      </c>
      <c r="AD45" s="39" t="str">
        <f>IF(AND('Mapa final'!$AH$35="Baja",'Mapa final'!$AJ$35="Mayor"),CONCATENATE("R2C",'Mapa final'!$R$35),"")</f>
        <v/>
      </c>
      <c r="AE45" s="39" t="str">
        <f>IF(AND('Mapa final'!$AH$36="Baja",'Mapa final'!$AJ$36="Mayor"),CONCATENATE("R2C",'Mapa final'!$R$36),"")</f>
        <v/>
      </c>
      <c r="AF45" s="39" t="str">
        <f>IF(AND('Mapa final'!$AH$37="Baja",'Mapa final'!$AJ$37="Mayor"),CONCATENATE("R2C",'Mapa final'!$R$37),"")</f>
        <v/>
      </c>
      <c r="AG45" s="39" t="str">
        <f>IF(AND('Mapa final'!$AH$38="Baja",'Mapa final'!$AJ$38="Mayor"),CONCATENATE("R2C",'Mapa final'!$R$38),"")</f>
        <v/>
      </c>
      <c r="AH45" s="40" t="str">
        <f>IF(AND('Mapa final'!$AH$39="Baja",'Mapa final'!$AJ$39="Mayor"),CONCATENATE("R2C",'Mapa final'!$R$39),"")</f>
        <v/>
      </c>
      <c r="AI45" s="41" t="str">
        <f>IF(AND('Mapa final'!$AH$34="Baja",'Mapa final'!$AJ$34="Catastrófico"),CONCATENATE("R2C",'Mapa final'!$R$34),"")</f>
        <v/>
      </c>
      <c r="AJ45" s="42" t="str">
        <f>IF(AND('Mapa final'!$AH$35="Baja",'Mapa final'!$AJ$35="Catastrófico"),CONCATENATE("R2C",'Mapa final'!$R$35),"")</f>
        <v/>
      </c>
      <c r="AK45" s="42" t="str">
        <f>IF(AND('Mapa final'!$AH$36="Baja",'Mapa final'!$AJ$36="Catastrófico"),CONCATENATE("R2C",'Mapa final'!$R$36),"")</f>
        <v/>
      </c>
      <c r="AL45" s="42" t="str">
        <f>IF(AND('Mapa final'!$AH$37="Baja",'Mapa final'!$AJ$37="Catastrófico"),CONCATENATE("R2C",'Mapa final'!$R$37),"")</f>
        <v/>
      </c>
      <c r="AM45" s="42" t="str">
        <f>IF(AND('Mapa final'!$AH$38="Baja",'Mapa final'!$AJ$38="LCatastrófico"),CONCATENATE("R2C",'Mapa final'!$R$38),"")</f>
        <v/>
      </c>
      <c r="AN45" s="43" t="str">
        <f>IF(AND('Mapa final'!$AH$39="Baja",'Mapa final'!$AJ$39="Catastrófico"),CONCATENATE("R2C",'Mapa final'!$R$39),"")</f>
        <v/>
      </c>
      <c r="AO45" s="68"/>
      <c r="AP45" s="602"/>
      <c r="AQ45" s="603"/>
      <c r="AR45" s="603"/>
      <c r="AS45" s="603"/>
      <c r="AT45" s="603"/>
      <c r="AU45" s="604"/>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row>
    <row r="46" spans="2:77" ht="15" customHeight="1">
      <c r="B46" s="68"/>
      <c r="C46" s="527"/>
      <c r="D46" s="527"/>
      <c r="E46" s="528"/>
      <c r="F46" s="570"/>
      <c r="G46" s="571"/>
      <c r="H46" s="571"/>
      <c r="I46" s="571"/>
      <c r="J46" s="571"/>
      <c r="K46" s="62" t="str">
        <f>IF(AND('Mapa final'!$AH$40="Baja",'Mapa final'!$AJ$40="Leve"),CONCATENATE("R2C",'Mapa final'!$R$40),"")</f>
        <v/>
      </c>
      <c r="L46" s="63" t="str">
        <f>IF(AND('Mapa final'!$AH$41="Baja",'Mapa final'!$AJ$41="Leve"),CONCATENATE("R2C",'Mapa final'!$R$41),"")</f>
        <v/>
      </c>
      <c r="M46" s="63" t="str">
        <f>IF(AND('Mapa final'!$AH$42="Baja",'Mapa final'!$AJ$42="Leve"),CONCATENATE("R2C",'Mapa final'!$R$42),"")</f>
        <v/>
      </c>
      <c r="N46" s="54" t="e">
        <f>IF(AND('Mapa final'!#REF!="Alta",'Mapa final'!#REF!="Leve"),CONCATENATE("R2C",'Mapa final'!#REF!),"")</f>
        <v>#REF!</v>
      </c>
      <c r="O46" s="63" t="str">
        <f>IF(AND('Mapa final'!$AH$44="Baja",'Mapa final'!$AJ$44="Leve"),CONCATENATE("R2C",'Mapa final'!$R$44),"")</f>
        <v/>
      </c>
      <c r="P46" s="64" t="str">
        <f>IF(AND('Mapa final'!$AH$45="Baja",'Mapa final'!$AJ$45="Leve"),CONCATENATE("R2C",'Mapa final'!$R$45),"")</f>
        <v/>
      </c>
      <c r="Q46" s="53" t="str">
        <f>IF(AND('Mapa final'!$AH$40="Baja",'Mapa final'!$AJ$40="Menor"),CONCATENATE("R2C",'Mapa final'!$R$40),"")</f>
        <v/>
      </c>
      <c r="R46" s="54" t="str">
        <f>IF(AND('Mapa final'!$AH$41="Baja",'Mapa final'!$AJ$41="Menor"),CONCATENATE("R2C",'Mapa final'!$R$41),"")</f>
        <v/>
      </c>
      <c r="S46" s="54" t="str">
        <f>IF(AND('Mapa final'!$AH$42="Baja",'Mapa final'!$AJ$42="Menor"),CONCATENATE("R2C",'Mapa final'!$R$42),"")</f>
        <v/>
      </c>
      <c r="T46" s="54" t="str">
        <f>IF(AND('Mapa final'!$AH$43="Baja",'Mapa final'!$AJ$43="Menor"),CONCATENATE("R2C",'Mapa final'!$R$43),"")</f>
        <v/>
      </c>
      <c r="U46" s="54" t="str">
        <f>IF(AND('Mapa final'!$AH$44="Baja",'Mapa final'!$AJ$44="Menor"),CONCATENATE("R2C",'Mapa final'!$R$44),"")</f>
        <v/>
      </c>
      <c r="V46" s="55" t="str">
        <f>IF(AND('Mapa final'!$AH$45="Baja",'Mapa final'!$AJ$45="Menor"),CONCATENATE("R2C",'Mapa final'!$R$45),"")</f>
        <v/>
      </c>
      <c r="W46" s="53" t="str">
        <f>IF(AND('Mapa final'!$AH$40="Baja",'Mapa final'!$AJ$40="Moderado"),CONCATENATE("R2C",'Mapa final'!$R$40),"")</f>
        <v/>
      </c>
      <c r="X46" s="54" t="str">
        <f>IF(AND('Mapa final'!$AH$41="Baja",'Mapa final'!$AJ$41="Moderado"),CONCATENATE("R2C",'Mapa final'!$R$41),"")</f>
        <v/>
      </c>
      <c r="Y46" s="54" t="str">
        <f>IF(AND('Mapa final'!$AH$42="Baja",'Mapa final'!$AJ$42="Moderado"),CONCATENATE("R2C",'Mapa final'!$R$42),"")</f>
        <v/>
      </c>
      <c r="Z46" s="54" t="str">
        <f>IF(AND('Mapa final'!$AH$43="Baja",'Mapa final'!$AJ$43="Moderado"),CONCATENATE("R2C",'Mapa final'!$R$43),"")</f>
        <v/>
      </c>
      <c r="AA46" s="54" t="str">
        <f>IF(AND('Mapa final'!$AH$44="Baja",'Mapa final'!$AJ$44="Moderado"),CONCATENATE("R2C",'Mapa final'!$R$44),"")</f>
        <v/>
      </c>
      <c r="AB46" s="55" t="str">
        <f>IF(AND('Mapa final'!$AH$45="Baja",'Mapa final'!$AJ$45="Moderado"),CONCATENATE("R2C",'Mapa final'!$R$45),"")</f>
        <v/>
      </c>
      <c r="AC46" s="38" t="str">
        <f>IF(AND('Mapa final'!$AH$40="Baja",'Mapa final'!$AJ$40="Mayor"),CONCATENATE("R2C",'Mapa final'!$R$40),"")</f>
        <v/>
      </c>
      <c r="AD46" s="39" t="str">
        <f>IF(AND('Mapa final'!$AH$41="Baja",'Mapa final'!$AJ$41="Mayor"),CONCATENATE("R2C",'Mapa final'!$R$41),"")</f>
        <v/>
      </c>
      <c r="AE46" s="39" t="str">
        <f>IF(AND('Mapa final'!$AH$42="Baja",'Mapa final'!$AJ$42="Mayor"),CONCATENATE("R2C",'Mapa final'!$R$42),"")</f>
        <v/>
      </c>
      <c r="AF46" s="39" t="str">
        <f>IF(AND('Mapa final'!$AH$43="Baja",'Mapa final'!$AJ$43="Mayor"),CONCATENATE("R2C",'Mapa final'!$R$43),"")</f>
        <v/>
      </c>
      <c r="AG46" s="39" t="str">
        <f>IF(AND('Mapa final'!$AH$44="Baja",'Mapa final'!$AJ$44="Mayor"),CONCATENATE("R2C",'Mapa final'!$R$44),"")</f>
        <v/>
      </c>
      <c r="AH46" s="40" t="str">
        <f>IF(AND('Mapa final'!$AH$45="Baja",'Mapa final'!$AJ$45="Mayor"),CONCATENATE("R2C",'Mapa final'!$R$45),"")</f>
        <v/>
      </c>
      <c r="AI46" s="41" t="str">
        <f>IF(AND('Mapa final'!$AH$40="Baja",'Mapa final'!$AJ$40="Catastrófico"),CONCATENATE("R2C",'Mapa final'!$R$40),"")</f>
        <v/>
      </c>
      <c r="AJ46" s="42" t="str">
        <f>IF(AND('Mapa final'!$AH$41="Baja",'Mapa final'!$AJ$41="Catastrófico"),CONCATENATE("R2C",'Mapa final'!$R$41),"")</f>
        <v/>
      </c>
      <c r="AK46" s="42" t="str">
        <f>IF(AND('Mapa final'!$AH$42="Baja",'Mapa final'!$AJ$42="Catastrófico"),CONCATENATE("R2C",'Mapa final'!$R$42),"")</f>
        <v/>
      </c>
      <c r="AL46" s="42" t="str">
        <f>IF(AND('Mapa final'!$AH$43="Baja",'Mapa final'!$AJ$43="Catastrófico"),CONCATENATE("R2C",'Mapa final'!$R$43),"")</f>
        <v/>
      </c>
      <c r="AM46" s="42" t="str">
        <f>IF(AND('Mapa final'!$AH$44="Baja",'Mapa final'!$AJ$44="Catastrófico"),CONCATENATE("R2C",'Mapa final'!$R$44),"")</f>
        <v/>
      </c>
      <c r="AN46" s="43" t="str">
        <f>IF(AND('Mapa final'!$AH$45="Baja",'Mapa final'!$AJ$45="Catastrófico"),CONCATENATE("R2C",'Mapa final'!$R$45),"")</f>
        <v/>
      </c>
      <c r="AO46" s="68"/>
      <c r="AP46" s="602"/>
      <c r="AQ46" s="603"/>
      <c r="AR46" s="603"/>
      <c r="AS46" s="603"/>
      <c r="AT46" s="603"/>
      <c r="AU46" s="604"/>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row>
    <row r="47" spans="2:77" ht="15" customHeight="1">
      <c r="B47" s="68"/>
      <c r="C47" s="527"/>
      <c r="D47" s="527"/>
      <c r="E47" s="528"/>
      <c r="F47" s="570"/>
      <c r="G47" s="571"/>
      <c r="H47" s="571"/>
      <c r="I47" s="571"/>
      <c r="J47" s="571"/>
      <c r="K47" s="62" t="str">
        <f>IF(AND('Mapa final'!$AH$46="Baja",'Mapa final'!$AJ$46="Leve"),CONCATENATE("R2C",'Mapa final'!$R$46),"")</f>
        <v/>
      </c>
      <c r="L47" s="63" t="str">
        <f>IF(AND('Mapa final'!$AH$47="Baja",'Mapa final'!$AJ$47="Leve"),CONCATENATE("R2C",'Mapa final'!$R$47),"")</f>
        <v/>
      </c>
      <c r="M47" s="63" t="str">
        <f>IF(AND('Mapa final'!$AH$48="Baja",'Mapa final'!$AJ$48="Leve"),CONCATENATE("R2C",'Mapa final'!$R$48),"")</f>
        <v/>
      </c>
      <c r="N47" s="54" t="e">
        <f>IF(AND('Mapa final'!#REF!="Alta",'Mapa final'!#REF!="Leve"),CONCATENATE("R2C",'Mapa final'!#REF!),"")</f>
        <v>#REF!</v>
      </c>
      <c r="O47" s="63" t="str">
        <f>IF(AND('Mapa final'!$AH$50="Baja",'Mapa final'!$AJ$50="Leve"),CONCATENATE("R2C",'Mapa final'!$R$50),"")</f>
        <v/>
      </c>
      <c r="P47" s="64" t="str">
        <f>IF(AND('Mapa final'!$AH$61="Baja",'Mapa final'!$AJ$51="Leve"),CONCATENATE("R2C",'Mapa final'!$R$51),"")</f>
        <v/>
      </c>
      <c r="Q47" s="53" t="str">
        <f>IF(AND('Mapa final'!$AH$46="Baja",'Mapa final'!$AJ$46="Menor"),CONCATENATE("R2C",'Mapa final'!$R$46),"")</f>
        <v/>
      </c>
      <c r="R47" s="54" t="str">
        <f>IF(AND('Mapa final'!$AH$47="Baja",'Mapa final'!$AJ$47="Menor"),CONCATENATE("R2C",'Mapa final'!$R$47),"")</f>
        <v/>
      </c>
      <c r="S47" s="54" t="str">
        <f>IF(AND('Mapa final'!$AH$48="Baja",'Mapa final'!$AJ$48="Menor"),CONCATENATE("R2C",'Mapa final'!$R$48),"")</f>
        <v/>
      </c>
      <c r="T47" s="54" t="str">
        <f>IF(AND('Mapa final'!$AH$49="Baja",'Mapa final'!$AJ$49="Menor"),CONCATENATE("R2C",'Mapa final'!$R$49),"")</f>
        <v/>
      </c>
      <c r="U47" s="54" t="str">
        <f>IF(AND('Mapa final'!$AH$50="Baja",'Mapa final'!$AJ$50="Menor"),CONCATENATE("R2C",'Mapa final'!$R$50),"")</f>
        <v/>
      </c>
      <c r="V47" s="55" t="str">
        <f>IF(AND('Mapa final'!$AH$61="Baja",'Mapa final'!$AJ$51="Menor"),CONCATENATE("R2C",'Mapa final'!$R$51),"")</f>
        <v/>
      </c>
      <c r="W47" s="53" t="str">
        <f>IF(AND('Mapa final'!$AH$46="Baja",'Mapa final'!$AJ$46="Moderado"),CONCATENATE("R2C",'Mapa final'!$R$46),"")</f>
        <v/>
      </c>
      <c r="X47" s="54" t="str">
        <f>IF(AND('Mapa final'!$AH$47="Baja",'Mapa final'!$AJ$47="Moderado"),CONCATENATE("R2C",'Mapa final'!$R$47),"")</f>
        <v/>
      </c>
      <c r="Y47" s="54" t="str">
        <f>IF(AND('Mapa final'!$AH$48="Baja",'Mapa final'!$AJ$48="Moderado"),CONCATENATE("R2C",'Mapa final'!$R$48),"")</f>
        <v/>
      </c>
      <c r="Z47" s="54" t="str">
        <f>IF(AND('Mapa final'!$AH$49="Baja",'Mapa final'!$AJ$49="Moderado"),CONCATENATE("R2C",'Mapa final'!$R$49),"")</f>
        <v/>
      </c>
      <c r="AA47" s="54" t="str">
        <f>IF(AND('Mapa final'!$AH$50="Baja",'Mapa final'!$AJ$50="Moderado"),CONCATENATE("R2C",'Mapa final'!$R$50),"")</f>
        <v/>
      </c>
      <c r="AB47" s="55" t="str">
        <f>IF(AND('Mapa final'!$AH$61="Baja",'Mapa final'!$AJ$51="Moderado"),CONCATENATE("R2C",'Mapa final'!$R$51),"")</f>
        <v/>
      </c>
      <c r="AC47" s="38" t="str">
        <f>IF(AND('Mapa final'!$AH$46="Baja",'Mapa final'!$AJ$46="Mayor"),CONCATENATE("R2C",'Mapa final'!$R$46),"")</f>
        <v/>
      </c>
      <c r="AD47" s="39" t="str">
        <f>IF(AND('Mapa final'!$AH$47="Baja",'Mapa final'!$AJ$47="Mayor"),CONCATENATE("R2C",'Mapa final'!$R$47),"")</f>
        <v/>
      </c>
      <c r="AE47" s="39" t="str">
        <f>IF(AND('Mapa final'!$AH$48="Baja",'Mapa final'!$AJ$48="Mayor"),CONCATENATE("R2C",'Mapa final'!$R$48),"")</f>
        <v/>
      </c>
      <c r="AF47" s="39" t="str">
        <f>IF(AND('Mapa final'!$AH$49="Baja",'Mapa final'!$AJ$49="Mayor"),CONCATENATE("R2C",'Mapa final'!$R$49),"")</f>
        <v/>
      </c>
      <c r="AG47" s="39" t="str">
        <f>IF(AND('Mapa final'!$AH$50="Baja",'Mapa final'!$AJ$50="Mayor"),CONCATENATE("R2C",'Mapa final'!$R$50),"")</f>
        <v/>
      </c>
      <c r="AH47" s="40" t="str">
        <f>IF(AND('Mapa final'!$AH$61="Baja",'Mapa final'!$AJ$51="Mayor"),CONCATENATE("R2C",'Mapa final'!$R$51),"")</f>
        <v/>
      </c>
      <c r="AI47" s="41" t="str">
        <f>IF(AND('Mapa final'!$AH$46="Baja",'Mapa final'!$AJ$46="Catastrófico"),CONCATENATE("R2C",'Mapa final'!$R$46),"")</f>
        <v/>
      </c>
      <c r="AJ47" s="42" t="str">
        <f>IF(AND('Mapa final'!$AH$47="Baja",'Mapa final'!$AJ$47="Catastrófico"),CONCATENATE("R2C",'Mapa final'!$R$47),"")</f>
        <v/>
      </c>
      <c r="AK47" s="42" t="str">
        <f>IF(AND('Mapa final'!$AH$48="Baja",'Mapa final'!$AJ$48="Catastrófico"),CONCATENATE("R2C",'Mapa final'!$R$48),"")</f>
        <v/>
      </c>
      <c r="AL47" s="42" t="str">
        <f>IF(AND('Mapa final'!$AH$49="Baja",'Mapa final'!$AJ$49="Catastrófico"),CONCATENATE("R2C",'Mapa final'!$R$49),"")</f>
        <v/>
      </c>
      <c r="AM47" s="42" t="str">
        <f>IF(AND('Mapa final'!$AH$50="Baja",'Mapa final'!$AJ$50="Catastrófico"),CONCATENATE("R2C",'Mapa final'!$R$50),"")</f>
        <v/>
      </c>
      <c r="AN47" s="43" t="str">
        <f>IF(AND('Mapa final'!$AH$61="Baja",'Mapa final'!$AJ$51="Catastrófico"),CONCATENATE("R2C",'Mapa final'!$R$51),"")</f>
        <v/>
      </c>
      <c r="AO47" s="68"/>
      <c r="AP47" s="602"/>
      <c r="AQ47" s="603"/>
      <c r="AR47" s="603"/>
      <c r="AS47" s="603"/>
      <c r="AT47" s="603"/>
      <c r="AU47" s="604"/>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row>
    <row r="48" spans="2:77" ht="15" customHeight="1">
      <c r="B48" s="68"/>
      <c r="C48" s="527"/>
      <c r="D48" s="527"/>
      <c r="E48" s="528"/>
      <c r="F48" s="570"/>
      <c r="G48" s="571"/>
      <c r="H48" s="571"/>
      <c r="I48" s="571"/>
      <c r="J48" s="571"/>
      <c r="K48" s="62" t="str">
        <f>IF(AND('Mapa final'!$AH$52="Baja",'Mapa final'!$AJ$52="Leve"),CONCATENATE("R2C",'Mapa final'!$R$52),"")</f>
        <v/>
      </c>
      <c r="L48" s="63" t="str">
        <f>IF(AND('Mapa final'!$AH$53="Baja",'Mapa final'!$AJ$53="Leve"),CONCATENATE("R2C",'Mapa final'!$R$53),"")</f>
        <v/>
      </c>
      <c r="M48" s="63" t="str">
        <f>IF(AND('Mapa final'!$AH$54="Baja",'Mapa final'!$AJ$54="Leve"),CONCATENATE("R2C",'Mapa final'!$R$54),"")</f>
        <v/>
      </c>
      <c r="N48" s="54" t="e">
        <f>IF(AND('Mapa final'!#REF!="Alta",'Mapa final'!#REF!="Leve"),CONCATENATE("R2C",'Mapa final'!#REF!),"")</f>
        <v>#REF!</v>
      </c>
      <c r="O48" s="63" t="str">
        <f>IF(AND('Mapa final'!$AH$56="Baja",'Mapa final'!$AJ$56="Leve"),CONCATENATE("R2C",'Mapa final'!$R$56),"")</f>
        <v/>
      </c>
      <c r="P48" s="64" t="str">
        <f>IF(AND('Mapa final'!$AH$57="Baja",'Mapa final'!$AJ$57="Leve"),CONCATENATE("R2C",'Mapa final'!$R$57),"")</f>
        <v/>
      </c>
      <c r="Q48" s="53" t="str">
        <f>IF(AND('Mapa final'!$AH$52="Baja",'Mapa final'!$AJ$52="Menor"),CONCATENATE("R2C",'Mapa final'!$R$52),"")</f>
        <v/>
      </c>
      <c r="R48" s="54" t="str">
        <f>IF(AND('Mapa final'!$AH$53="Baja",'Mapa final'!$AJ$53="Menor"),CONCATENATE("R2C",'Mapa final'!$R$53),"")</f>
        <v/>
      </c>
      <c r="S48" s="54" t="str">
        <f>IF(AND('Mapa final'!$AH$54="Baja",'Mapa final'!$AJ$54="Menor"),CONCATENATE("R2C",'Mapa final'!$R$54),"")</f>
        <v/>
      </c>
      <c r="T48" s="54" t="str">
        <f>IF(AND('Mapa final'!$AH$55="Baja",'Mapa final'!$AJ$55="Menor"),CONCATENATE("R2C",'Mapa final'!$R$55),"")</f>
        <v/>
      </c>
      <c r="U48" s="54" t="str">
        <f>IF(AND('Mapa final'!$AH$56="Baja",'Mapa final'!$AJ$56="Menor"),CONCATENATE("R2C",'Mapa final'!$R$56),"")</f>
        <v/>
      </c>
      <c r="V48" s="55" t="str">
        <f>IF(AND('Mapa final'!$AH$57="Baja",'Mapa final'!$AJ$57="Menor"),CONCATENATE("R2C",'Mapa final'!$R$57),"")</f>
        <v/>
      </c>
      <c r="W48" s="53" t="str">
        <f>IF(AND('Mapa final'!$AH$52="Baja",'Mapa final'!$AJ$52="Moderado"),CONCATENATE("R2C",'Mapa final'!$R$52),"")</f>
        <v/>
      </c>
      <c r="X48" s="54" t="str">
        <f>IF(AND('Mapa final'!$AH$53="Baja",'Mapa final'!$AJ$53="Moderado"),CONCATENATE("R2C",'Mapa final'!$R$53),"")</f>
        <v/>
      </c>
      <c r="Y48" s="54" t="str">
        <f>IF(AND('Mapa final'!$AH$54="Baja",'Mapa final'!$AJ$54="Moderado"),CONCATENATE("R2C",'Mapa final'!$R$54),"")</f>
        <v/>
      </c>
      <c r="Z48" s="54" t="str">
        <f>IF(AND('Mapa final'!$AH$55="Baja",'Mapa final'!$AJ$55="Moderado"),CONCATENATE("R2C",'Mapa final'!$R$55),"")</f>
        <v/>
      </c>
      <c r="AA48" s="54" t="str">
        <f>IF(AND('Mapa final'!$AH$56="Baja",'Mapa final'!$AJ$56="Moderado"),CONCATENATE("R2C",'Mapa final'!$R$56),"")</f>
        <v/>
      </c>
      <c r="AB48" s="55" t="str">
        <f>IF(AND('Mapa final'!$AH$57="Baja",'Mapa final'!$AJ$57="Moderado"),CONCATENATE("R2C",'Mapa final'!$R$57),"")</f>
        <v/>
      </c>
      <c r="AC48" s="38" t="str">
        <f>IF(AND('Mapa final'!$AH$52="Baja",'Mapa final'!$AJ$52="Mayor"),CONCATENATE("R2C",'Mapa final'!$R$52),"")</f>
        <v/>
      </c>
      <c r="AD48" s="39" t="str">
        <f>IF(AND('Mapa final'!$AH$53="Baja",'Mapa final'!$AJ$53="Mayor"),CONCATENATE("R2C",'Mapa final'!$R$53),"")</f>
        <v/>
      </c>
      <c r="AE48" s="39" t="str">
        <f>IF(AND('Mapa final'!$AH$54="Baja",'Mapa final'!$AJ$54="Mayor"),CONCATENATE("R2C",'Mapa final'!$R$54),"")</f>
        <v/>
      </c>
      <c r="AF48" s="39" t="str">
        <f>IF(AND('Mapa final'!$AH$55="Baja",'Mapa final'!$AJ$55="Mayor"),CONCATENATE("R2C",'Mapa final'!$R$55),"")</f>
        <v/>
      </c>
      <c r="AG48" s="39" t="str">
        <f>IF(AND('Mapa final'!$AH$56="Baja",'Mapa final'!$AJ$56="Mayor"),CONCATENATE("R2C",'Mapa final'!$R$56),"")</f>
        <v/>
      </c>
      <c r="AH48" s="40" t="str">
        <f>IF(AND('Mapa final'!$AH$57="Baja",'Mapa final'!$AJ$57="Mayor"),CONCATENATE("R2C",'Mapa final'!$R$57),"")</f>
        <v/>
      </c>
      <c r="AI48" s="41" t="str">
        <f>IF(AND('Mapa final'!$AH$52="Baja",'Mapa final'!$AJ$52="Catastrófico"),CONCATENATE("R2C",'Mapa final'!$R$52),"")</f>
        <v/>
      </c>
      <c r="AJ48" s="42" t="str">
        <f>IF(AND('Mapa final'!$AH$53="Baja",'Mapa final'!$AJ$53="Catastrófico"),CONCATENATE("R2C",'Mapa final'!$R$53),"")</f>
        <v/>
      </c>
      <c r="AK48" s="42" t="str">
        <f>IF(AND('Mapa final'!$AH$54="Baja",'Mapa final'!$AJ$54="Catastrófico"),CONCATENATE("R2C",'Mapa final'!$R$54),"")</f>
        <v/>
      </c>
      <c r="AL48" s="42" t="str">
        <f>IF(AND('Mapa final'!$AH$55="Baja",'Mapa final'!$AJ$55="Catastrófico"),CONCATENATE("R2C",'Mapa final'!$R$55),"")</f>
        <v/>
      </c>
      <c r="AM48" s="42" t="str">
        <f>IF(AND('Mapa final'!$AH$56="Baja",'Mapa final'!$AJ$56="Catastrófico"),CONCATENATE("R2C",'Mapa final'!$R$56),"")</f>
        <v/>
      </c>
      <c r="AN48" s="43" t="str">
        <f>IF(AND('Mapa final'!$AH$57="Baja",'Mapa final'!$AJ$57="Catastrófico"),CONCATENATE("R2C",'Mapa final'!$R$57),"")</f>
        <v/>
      </c>
      <c r="AO48" s="68"/>
      <c r="AP48" s="602"/>
      <c r="AQ48" s="603"/>
      <c r="AR48" s="603"/>
      <c r="AS48" s="603"/>
      <c r="AT48" s="603"/>
      <c r="AU48" s="604"/>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row>
    <row r="49" spans="2:81" ht="15" customHeight="1">
      <c r="B49" s="68"/>
      <c r="C49" s="527"/>
      <c r="D49" s="527"/>
      <c r="E49" s="528"/>
      <c r="F49" s="570"/>
      <c r="G49" s="571"/>
      <c r="H49" s="571"/>
      <c r="I49" s="571"/>
      <c r="J49" s="571"/>
      <c r="K49" s="62" t="str">
        <f>IF(AND('Mapa final'!$AH$58="Baja",'Mapa final'!$AJ$58="Leve"),CONCATENATE("R2C",'Mapa final'!$R$58),"")</f>
        <v/>
      </c>
      <c r="L49" s="63" t="str">
        <f>IF(AND('Mapa final'!$AH$59="Baja",'Mapa final'!$AJ$59="Leve"),CONCATENATE("R2C",'Mapa final'!$R$59),"")</f>
        <v/>
      </c>
      <c r="M49" s="63" t="str">
        <f>IF(AND('Mapa final'!$AH$60="Baja",'Mapa final'!$AJ$60="Leve"),CONCATENATE("R2C",'Mapa final'!$R$60),"")</f>
        <v/>
      </c>
      <c r="N49" s="54" t="e">
        <f>IF(AND('Mapa final'!#REF!="Alta",'Mapa final'!#REF!="Leve"),CONCATENATE("R2C",'Mapa final'!#REF!),"")</f>
        <v>#REF!</v>
      </c>
      <c r="O49" s="63" t="str">
        <f>IF(AND('Mapa final'!$AH$62="Baja",'Mapa final'!$AJ$62="Leve"),CONCATENATE("R2C",'Mapa final'!$R$62),"")</f>
        <v/>
      </c>
      <c r="P49" s="64" t="str">
        <f>IF(AND('Mapa final'!$AH$63="Baja",'Mapa final'!$AJ$63="Leve"),CONCATENATE("R2C",'Mapa final'!$R$63),"")</f>
        <v/>
      </c>
      <c r="Q49" s="53" t="str">
        <f>IF(AND('Mapa final'!$AH$58="Baja",'Mapa final'!$AJ$58="Menor"),CONCATENATE("R2C",'Mapa final'!$R$58),"")</f>
        <v/>
      </c>
      <c r="R49" s="54" t="str">
        <f>IF(AND('Mapa final'!$AH$59="Baja",'Mapa final'!$AJ$59="Menor"),CONCATENATE("R2C",'Mapa final'!$R$59),"")</f>
        <v/>
      </c>
      <c r="S49" s="54" t="str">
        <f>IF(AND('Mapa final'!$AH$60="Baja",'Mapa final'!$AJ$60="Menor"),CONCATENATE("R2C",'Mapa final'!$R$60),"")</f>
        <v/>
      </c>
      <c r="T49" s="54" t="str">
        <f>IF(AND('Mapa final'!$AH$61="Baja",'Mapa final'!$AJ$61="Menor"),CONCATENATE("R2C",'Mapa final'!$R$61),"")</f>
        <v/>
      </c>
      <c r="U49" s="54" t="str">
        <f>IF(AND('Mapa final'!$AH$62="Baja",'Mapa final'!$AJ$62="Menor"),CONCATENATE("R2C",'Mapa final'!$R$62),"")</f>
        <v/>
      </c>
      <c r="V49" s="55" t="str">
        <f>IF(AND('Mapa final'!$AH$63="Baja",'Mapa final'!$AJ$63="Menor"),CONCATENATE("R2C",'Mapa final'!$R$63),"")</f>
        <v/>
      </c>
      <c r="W49" s="53" t="str">
        <f>IF(AND('Mapa final'!$AH$58="Baja",'Mapa final'!$AJ$58="Moderado"),CONCATENATE("R2C",'Mapa final'!$R$58),"")</f>
        <v/>
      </c>
      <c r="X49" s="54" t="str">
        <f>IF(AND('Mapa final'!$AH$59="Baja",'Mapa final'!$AJ$59="Moderado"),CONCATENATE("R2C",'Mapa final'!$R$59),"")</f>
        <v/>
      </c>
      <c r="Y49" s="54" t="str">
        <f>IF(AND('Mapa final'!$AH$60="Baja",'Mapa final'!$AJ$60="Moderado"),CONCATENATE("R2C",'Mapa final'!$R$60),"")</f>
        <v/>
      </c>
      <c r="Z49" s="54" t="str">
        <f>IF(AND('Mapa final'!$AH$61="Baja",'Mapa final'!$AJ$61="Moderado"),CONCATENATE("R2C",'Mapa final'!$R$61),"")</f>
        <v/>
      </c>
      <c r="AA49" s="54" t="str">
        <f>IF(AND('Mapa final'!$AH$62="Baja",'Mapa final'!$AJ$62="Moderado"),CONCATENATE("R2C",'Mapa final'!$R$62),"")</f>
        <v/>
      </c>
      <c r="AB49" s="55" t="str">
        <f>IF(AND('Mapa final'!$AH$63="Baja",'Mapa final'!$AJ$63="Moderado"),CONCATENATE("R2C",'Mapa final'!$R$63),"")</f>
        <v/>
      </c>
      <c r="AC49" s="38" t="str">
        <f>IF(AND('Mapa final'!$AH$58="Baja",'Mapa final'!$AJ$58="Mayor"),CONCATENATE("R2C",'Mapa final'!$R$58),"")</f>
        <v/>
      </c>
      <c r="AD49" s="39" t="str">
        <f>IF(AND('Mapa final'!$AH$59="Baja",'Mapa final'!$AJ$59="Mayor"),CONCATENATE("R2C",'Mapa final'!$R$59),"")</f>
        <v/>
      </c>
      <c r="AE49" s="39" t="str">
        <f>IF(AND('Mapa final'!$AH$60="Baja",'Mapa final'!$AJ$60="Mayor"),CONCATENATE("R2C",'Mapa final'!$R$60),"")</f>
        <v/>
      </c>
      <c r="AF49" s="39" t="str">
        <f>IF(AND('Mapa final'!$AH$61="Baja",'Mapa final'!$AJ$61="Mayor"),CONCATENATE("R2C",'Mapa final'!$R$61),"")</f>
        <v/>
      </c>
      <c r="AG49" s="39" t="str">
        <f>IF(AND('Mapa final'!$AH$62="Baja",'Mapa final'!$AJ$62="Mayor"),CONCATENATE("R2C",'Mapa final'!$R$62),"")</f>
        <v/>
      </c>
      <c r="AH49" s="40" t="str">
        <f>IF(AND('Mapa final'!$AH$63="Baja",'Mapa final'!$AJ$63="Mayor"),CONCATENATE("R2C",'Mapa final'!$R$63),"")</f>
        <v/>
      </c>
      <c r="AI49" s="41" t="str">
        <f>IF(AND('Mapa final'!$AH$58="Baja",'Mapa final'!$AJ$58="Catastrófico"),CONCATENATE("R2C",'Mapa final'!$R$58),"")</f>
        <v/>
      </c>
      <c r="AJ49" s="42" t="str">
        <f>IF(AND('Mapa final'!$AH$59="Baja",'Mapa final'!$AJ$59="Catastrófico"),CONCATENATE("R2C",'Mapa final'!$R$59),"")</f>
        <v/>
      </c>
      <c r="AK49" s="42" t="str">
        <f>IF(AND('Mapa final'!$AH$60="Baja",'Mapa final'!$AJ$60="Catastrófico"),CONCATENATE("R2C",'Mapa final'!$R$60),"")</f>
        <v/>
      </c>
      <c r="AL49" s="42" t="str">
        <f>IF(AND('Mapa final'!$AH$61="Baja",'Mapa final'!$AJ$61="Catastrófico"),CONCATENATE("R2C",'Mapa final'!$R$61),"")</f>
        <v/>
      </c>
      <c r="AM49" s="42" t="str">
        <f>IF(AND('Mapa final'!$AH$62="Baja",'Mapa final'!$AJ$62="Catastrófico"),CONCATENATE("R2C",'Mapa final'!$R$62),"")</f>
        <v/>
      </c>
      <c r="AN49" s="43" t="str">
        <f>IF(AND('Mapa final'!$AH$63="Baja",'Mapa final'!$AJ$63="Catastrófico"),CONCATENATE("R2C",'Mapa final'!$R$63),"")</f>
        <v/>
      </c>
      <c r="AO49" s="68"/>
      <c r="AP49" s="602"/>
      <c r="AQ49" s="603"/>
      <c r="AR49" s="603"/>
      <c r="AS49" s="603"/>
      <c r="AT49" s="603"/>
      <c r="AU49" s="604"/>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row>
    <row r="50" spans="2:81" ht="15" customHeight="1">
      <c r="B50" s="68"/>
      <c r="C50" s="527"/>
      <c r="D50" s="527"/>
      <c r="E50" s="528"/>
      <c r="F50" s="570"/>
      <c r="G50" s="571"/>
      <c r="H50" s="571"/>
      <c r="I50" s="571"/>
      <c r="J50" s="571"/>
      <c r="K50" s="62" t="str">
        <f>IF(AND('Mapa final'!$AH$64="Baja",'Mapa final'!$AJ$64="Leve"),CONCATENATE("R2C",'Mapa final'!$R$64),"")</f>
        <v/>
      </c>
      <c r="L50" s="63" t="str">
        <f>IF(AND('Mapa final'!$AH$65="Baja",'Mapa final'!$AJ$65="Leve"),CONCATENATE("R2C",'Mapa final'!$R$65),"")</f>
        <v/>
      </c>
      <c r="M50" s="63" t="str">
        <f>IF(AND('Mapa final'!$AH$66="Baja",'Mapa final'!$AJ$66="Leve"),CONCATENATE("R2C",'Mapa final'!$R$66),"")</f>
        <v/>
      </c>
      <c r="N50" s="54" t="e">
        <f>IF(AND('Mapa final'!#REF!="Alta",'Mapa final'!#REF!="Leve"),CONCATENATE("R2C",'Mapa final'!#REF!),"")</f>
        <v>#REF!</v>
      </c>
      <c r="O50" s="63" t="str">
        <f>IF(AND('Mapa final'!$AH$68="Baja",'Mapa final'!$AJ$68="Leve"),CONCATENATE("R2C",'Mapa final'!$R$68),"")</f>
        <v/>
      </c>
      <c r="P50" s="64" t="str">
        <f>IF(AND('Mapa final'!$AH$69="Baja",'Mapa final'!$AJ$69="Leve"),CONCATENATE("R2C",'Mapa final'!$R$69),"")</f>
        <v/>
      </c>
      <c r="Q50" s="53" t="str">
        <f>IF(AND('Mapa final'!$AH$64="Baja",'Mapa final'!$AJ$64="Menor"),CONCATENATE("R2C",'Mapa final'!$R$64),"")</f>
        <v/>
      </c>
      <c r="R50" s="54" t="str">
        <f>IF(AND('Mapa final'!$AH$65="Baja",'Mapa final'!$AJ$65="Menor"),CONCATENATE("R2C",'Mapa final'!$R$65),"")</f>
        <v/>
      </c>
      <c r="S50" s="54" t="str">
        <f>IF(AND('Mapa final'!$AH$66="Baja",'Mapa final'!$AJ$66="Menor"),CONCATENATE("R2C",'Mapa final'!$R$66),"")</f>
        <v/>
      </c>
      <c r="T50" s="54" t="str">
        <f>IF(AND('Mapa final'!$AH$67="Baja",'Mapa final'!$AJ$67="Menor"),CONCATENATE("R2C",'Mapa final'!$R$67),"")</f>
        <v/>
      </c>
      <c r="U50" s="54" t="str">
        <f>IF(AND('Mapa final'!$AH$68="Baja",'Mapa final'!$AJ$68="Menor"),CONCATENATE("R2C",'Mapa final'!$R$68),"")</f>
        <v/>
      </c>
      <c r="V50" s="55" t="str">
        <f>IF(AND('Mapa final'!$AH$69="Baja",'Mapa final'!$AJ$69="Menor"),CONCATENATE("R2C",'Mapa final'!$R$69),"")</f>
        <v/>
      </c>
      <c r="W50" s="53" t="str">
        <f>IF(AND('Mapa final'!$AH$64="Baja",'Mapa final'!$AJ$64="Moderado"),CONCATENATE("R2C",'Mapa final'!$R$64),"")</f>
        <v/>
      </c>
      <c r="X50" s="54" t="str">
        <f>IF(AND('Mapa final'!$AH$65="Baja",'Mapa final'!$AJ$65="Moderado"),CONCATENATE("R2C",'Mapa final'!$R$65),"")</f>
        <v/>
      </c>
      <c r="Y50" s="54" t="str">
        <f>IF(AND('Mapa final'!$AH$66="Baja",'Mapa final'!$AJ$66="Moderado"),CONCATENATE("R2C",'Mapa final'!$R$66),"")</f>
        <v/>
      </c>
      <c r="Z50" s="54" t="str">
        <f>IF(AND('Mapa final'!$AH$67="Baja",'Mapa final'!$AJ$67="Moderado"),CONCATENATE("R2C",'Mapa final'!$R$67),"")</f>
        <v/>
      </c>
      <c r="AA50" s="54" t="str">
        <f>IF(AND('Mapa final'!$AH$68="Baja",'Mapa final'!$AJ$68="Moderado"),CONCATENATE("R2C",'Mapa final'!$R$68),"")</f>
        <v/>
      </c>
      <c r="AB50" s="55" t="str">
        <f>IF(AND('Mapa final'!$AH$69="Baja",'Mapa final'!$AJ$69="Moderado"),CONCATENATE("R2C",'Mapa final'!$R$69),"")</f>
        <v/>
      </c>
      <c r="AC50" s="38" t="str">
        <f>IF(AND('Mapa final'!$AH$64="Baja",'Mapa final'!$AJ$64="Mayor"),CONCATENATE("R2C",'Mapa final'!$R$64),"")</f>
        <v/>
      </c>
      <c r="AD50" s="39" t="str">
        <f>IF(AND('Mapa final'!$AH$65="Baja",'Mapa final'!$AJ$65="Mayor"),CONCATENATE("R2C",'Mapa final'!$R$65),"")</f>
        <v/>
      </c>
      <c r="AE50" s="39" t="str">
        <f>IF(AND('Mapa final'!$AH$66="Baja",'Mapa final'!$AJ$66="Mayor"),CONCATENATE("R2C",'Mapa final'!$R$66),"")</f>
        <v/>
      </c>
      <c r="AF50" s="39" t="str">
        <f>IF(AND('Mapa final'!$AH$67="Baja",'Mapa final'!$AJ$67="Mayor"),CONCATENATE("R2C",'Mapa final'!$R$67),"")</f>
        <v/>
      </c>
      <c r="AG50" s="39" t="str">
        <f>IF(AND('Mapa final'!$AH$68="Baja",'Mapa final'!$AJ$68="Mayor"),CONCATENATE("R2C",'Mapa final'!$R$68),"")</f>
        <v/>
      </c>
      <c r="AH50" s="40" t="str">
        <f>IF(AND('Mapa final'!$AH$69="Baja",'Mapa final'!$AJ$69="Mayor"),CONCATENATE("R2C",'Mapa final'!$R$69),"")</f>
        <v/>
      </c>
      <c r="AI50" s="41" t="str">
        <f>IF(AND('Mapa final'!$AH$64="Baja",'Mapa final'!$AJ$64="Catastrófico"),CONCATENATE("R2C",'Mapa final'!$R$64),"")</f>
        <v/>
      </c>
      <c r="AJ50" s="42" t="str">
        <f>IF(AND('Mapa final'!$AH$65="Baja",'Mapa final'!$AJ$65="Catastrófico"),CONCATENATE("R2C",'Mapa final'!$R$65),"")</f>
        <v/>
      </c>
      <c r="AK50" s="42" t="str">
        <f>IF(AND('Mapa final'!$AH$66="Baja",'Mapa final'!$AJ$66="Catastrófico"),CONCATENATE("R2C",'Mapa final'!$R$66),"")</f>
        <v/>
      </c>
      <c r="AL50" s="42" t="str">
        <f>IF(AND('Mapa final'!$AH$67="Baja",'Mapa final'!$AJ$67="Catastrófico"),CONCATENATE("R2C",'Mapa final'!$R$67),"")</f>
        <v/>
      </c>
      <c r="AM50" s="42" t="str">
        <f>IF(AND('Mapa final'!$AH$68="Baja",'Mapa final'!$AJ$68="Catastrófico"),CONCATENATE("R2C",'Mapa final'!$R$68),"")</f>
        <v/>
      </c>
      <c r="AN50" s="43" t="str">
        <f>IF(AND('Mapa final'!$AH$69="Baja",'Mapa final'!$AJ$69="Catastrófico"),CONCATENATE("R2C",'Mapa final'!$R$69),"")</f>
        <v/>
      </c>
      <c r="AO50" s="68"/>
      <c r="AP50" s="602"/>
      <c r="AQ50" s="603"/>
      <c r="AR50" s="603"/>
      <c r="AS50" s="603"/>
      <c r="AT50" s="603"/>
      <c r="AU50" s="604"/>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row>
    <row r="51" spans="2:81" ht="15.75" customHeight="1" thickBot="1">
      <c r="B51" s="68"/>
      <c r="C51" s="527"/>
      <c r="D51" s="527"/>
      <c r="E51" s="528"/>
      <c r="F51" s="573"/>
      <c r="G51" s="574"/>
      <c r="H51" s="574"/>
      <c r="I51" s="574"/>
      <c r="J51" s="574"/>
      <c r="K51" s="65" t="str">
        <f>IF(AND('Mapa final'!$AH$70="Baja",'Mapa final'!$AJ$70="Leve"),CONCATENATE("R2C",'Mapa final'!$R$70),"")</f>
        <v/>
      </c>
      <c r="L51" s="66" t="str">
        <f>IF(AND('Mapa final'!$AH$71="Baja",'Mapa final'!$AJ$71="Leve"),CONCATENATE("R2C",'Mapa final'!$R$71),"")</f>
        <v/>
      </c>
      <c r="M51" s="66" t="str">
        <f>IF(AND('Mapa final'!$AH$72="Baja",'Mapa final'!$AJ$72="Leve"),CONCATENATE("R2C",'Mapa final'!$R$72),"")</f>
        <v/>
      </c>
      <c r="N51" s="54" t="e">
        <f>IF(AND('Mapa final'!#REF!="Alta",'Mapa final'!#REF!="Leve"),CONCATENATE("R2C",'Mapa final'!#REF!),"")</f>
        <v>#REF!</v>
      </c>
      <c r="O51" s="66" t="str">
        <f>IF(AND('Mapa final'!$AH$75="Baja",'Mapa final'!$AJ$75="Leve"),CONCATENATE("R2C",'Mapa final'!$R$75),"")</f>
        <v/>
      </c>
      <c r="P51" s="67" t="str">
        <f>IF(AND('Mapa final'!$AH$76="Baja",'Mapa final'!$AJ$76="Leve"),CONCATENATE("R2C",'Mapa final'!$R$76),"")</f>
        <v/>
      </c>
      <c r="Q51" s="53" t="str">
        <f>IF(AND('Mapa final'!$AH$70="Baja",'Mapa final'!$AJ$70="Menor"),CONCATENATE("R2C",'Mapa final'!$R$70),"")</f>
        <v/>
      </c>
      <c r="R51" s="54" t="str">
        <f>IF(AND('Mapa final'!$AH$71="Baja",'Mapa final'!$AJ$71="Menor"),CONCATENATE("R2C",'Mapa final'!$R$71),"")</f>
        <v/>
      </c>
      <c r="S51" s="54" t="str">
        <f>IF(AND('Mapa final'!$AH$72="Baja",'Mapa final'!$AJ$72="Menor"),CONCATENATE("R2C",'Mapa final'!$R$72),"")</f>
        <v/>
      </c>
      <c r="T51" s="54" t="str">
        <f>IF(AND('Mapa final'!$AH$73="Baja",'Mapa final'!$AJ$73="Menor"),CONCATENATE("R2C",'Mapa final'!$R$73),"")</f>
        <v/>
      </c>
      <c r="U51" s="54" t="str">
        <f>IF(AND('Mapa final'!$AH$75="Baja",'Mapa final'!$AJ$75="Menor"),CONCATENATE("R2C",'Mapa final'!$R$75),"")</f>
        <v/>
      </c>
      <c r="V51" s="55" t="str">
        <f>IF(AND('Mapa final'!$AH$76="Baja",'Mapa final'!$AJ$76="Menor"),CONCATENATE("R2C",'Mapa final'!$R$76),"")</f>
        <v/>
      </c>
      <c r="W51" s="56" t="str">
        <f>IF(AND('Mapa final'!$AH$70="Baja",'Mapa final'!$AJ$70="Moderado"),CONCATENATE("R2C",'Mapa final'!$R$70),"")</f>
        <v/>
      </c>
      <c r="X51" s="57" t="str">
        <f>IF(AND('Mapa final'!$AH$71="Baja",'Mapa final'!$AJ$71="Moderado"),CONCATENATE("R2C",'Mapa final'!$R$71),"")</f>
        <v/>
      </c>
      <c r="Y51" s="57" t="str">
        <f>IF(AND('Mapa final'!$AH$72="Baja",'Mapa final'!$AJ$72="Moderado"),CONCATENATE("R2C",'Mapa final'!$R$72),"")</f>
        <v/>
      </c>
      <c r="Z51" s="57" t="str">
        <f>IF(AND('Mapa final'!$AH$73="Baja",'Mapa final'!$AJ$73="Moderado"),CONCATENATE("R2C",'Mapa final'!$R$73),"")</f>
        <v/>
      </c>
      <c r="AA51" s="57" t="str">
        <f>IF(AND('Mapa final'!$AH$75="Baja",'Mapa final'!$AJ$75="Moderado"),CONCATENATE("R2C",'Mapa final'!$R$75),"")</f>
        <v/>
      </c>
      <c r="AB51" s="58" t="str">
        <f>IF(AND('Mapa final'!$AH$76="Baja",'Mapa final'!$AJ$76="Moderado"),CONCATENATE("R2C",'Mapa final'!$R$76),"")</f>
        <v/>
      </c>
      <c r="AC51" s="44" t="str">
        <f>IF(AND('Mapa final'!$AH$70="Baja",'Mapa final'!$AJ$70="Mayor"),CONCATENATE("R2C",'Mapa final'!$R$70),"")</f>
        <v/>
      </c>
      <c r="AD51" s="45" t="str">
        <f>IF(AND('Mapa final'!$AH$71="Baja",'Mapa final'!$AJ$71="Mayor"),CONCATENATE("R2C",'Mapa final'!$R$71),"")</f>
        <v/>
      </c>
      <c r="AE51" s="45" t="str">
        <f>IF(AND('Mapa final'!$AH$72="Baja",'Mapa final'!$AJ$72="Mayor"),CONCATENATE("R2C",'Mapa final'!$R$72),"")</f>
        <v/>
      </c>
      <c r="AF51" s="45" t="str">
        <f>IF(AND('Mapa final'!$AH$73="Baja",'Mapa final'!$AJ$73="Mayor"),CONCATENATE("R2C",'Mapa final'!$R$73),"")</f>
        <v/>
      </c>
      <c r="AG51" s="45" t="str">
        <f>IF(AND('Mapa final'!$AH$75="Baja",'Mapa final'!$AJ$75="Mayor"),CONCATENATE("R2C",'Mapa final'!$R$75),"")</f>
        <v/>
      </c>
      <c r="AH51" s="46" t="str">
        <f>IF(AND('Mapa final'!$AH$76="Baja",'Mapa final'!$AJ$76="Mayor"),CONCATENATE("R2C",'Mapa final'!$R$76),"")</f>
        <v/>
      </c>
      <c r="AI51" s="47" t="str">
        <f>IF(AND('Mapa final'!$AH$70="Baja",'Mapa final'!$AJ$70="Catastrófico"),CONCATENATE("R2C",'Mapa final'!$R$70),"")</f>
        <v/>
      </c>
      <c r="AJ51" s="48" t="str">
        <f>IF(AND('Mapa final'!$AH$71="Baja",'Mapa final'!$AJ$71="Catastrófico"),CONCATENATE("R2C",'Mapa final'!$R$71),"")</f>
        <v/>
      </c>
      <c r="AK51" s="48" t="str">
        <f>IF(AND('Mapa final'!$AH$72="Baja",'Mapa final'!$AJ$72="Catastrófico"),CONCATENATE("R2C",'Mapa final'!$R$72),"")</f>
        <v/>
      </c>
      <c r="AL51" s="48" t="str">
        <f>IF(AND('Mapa final'!$AH$73="Baja",'Mapa final'!$AJ$73="Catastrófico"),CONCATENATE("R2C",'Mapa final'!$R$73),"")</f>
        <v/>
      </c>
      <c r="AM51" s="48" t="str">
        <f>IF(AND('Mapa final'!$AH$75="Baja",'Mapa final'!$AJ$75="Catastrófico"),CONCATENATE("R2C",'Mapa final'!$R$75),"")</f>
        <v/>
      </c>
      <c r="AN51" s="49" t="str">
        <f>IF(AND('Mapa final'!$AH$76="Baja",'Mapa final'!$AJ$76="Catastrófico"),CONCATENATE("R2C",'Mapa final'!$R$76),"")</f>
        <v/>
      </c>
      <c r="AO51" s="68"/>
      <c r="AP51" s="605"/>
      <c r="AQ51" s="606"/>
      <c r="AR51" s="606"/>
      <c r="AS51" s="606"/>
      <c r="AT51" s="606"/>
      <c r="AU51" s="607"/>
    </row>
    <row r="52" spans="2:81" ht="41.25" customHeight="1">
      <c r="B52" s="68"/>
      <c r="C52" s="527"/>
      <c r="D52" s="527"/>
      <c r="E52" s="528"/>
      <c r="F52" s="567" t="s">
        <v>259</v>
      </c>
      <c r="G52" s="568"/>
      <c r="H52" s="568"/>
      <c r="I52" s="568"/>
      <c r="J52" s="569"/>
      <c r="K52" s="59"/>
      <c r="L52" s="60" t="e">
        <f>IF(AND('Mapa final'!#REF!="Muy Baja",'Mapa final'!#REF!="Leve"),CONCATENATE("R2C",'Mapa final'!$R$15),"")</f>
        <v>#REF!</v>
      </c>
      <c r="M52" s="60" t="e">
        <f>IF(AND('Mapa final'!#REF!="Muy Baja",'Mapa final'!#REF!="Leve"),CONCATENATE("R2C",'Mapa final'!#REF!),"")</f>
        <v>#REF!</v>
      </c>
      <c r="N52" s="54" t="e">
        <f>IF(AND('Mapa final'!#REF!="Alta",'Mapa final'!#REF!="Leve"),CONCATENATE("R2C",'Mapa final'!#REF!),"")</f>
        <v>#REF!</v>
      </c>
      <c r="O52" s="60" t="e">
        <f>IF(AND('Mapa final'!#REF!="Muy Baja",'Mapa final'!#REF!="Leve"),CONCATENATE("R2C",'Mapa final'!#REF!),"")</f>
        <v>#REF!</v>
      </c>
      <c r="P52" s="61" t="e">
        <f>IF(AND('Mapa final'!#REF!="Muy Baja",'Mapa final'!#REF!="Leve"),CONCATENATE("R2C",'Mapa final'!#REF!),"")</f>
        <v>#REF!</v>
      </c>
      <c r="Q52" s="59"/>
      <c r="R52" s="60" t="e">
        <f>IF(AND('Mapa final'!#REF!="Muy Baja",'Mapa final'!#REF!="Menore"),CONCATENATE("R2C",'Mapa final'!$R$15),"")</f>
        <v>#REF!</v>
      </c>
      <c r="S52" s="60" t="e">
        <f>IF(AND('Mapa final'!#REF!="Muy Baja",'Mapa final'!#REF!="Menor"),CONCATENATE("R2C",'Mapa final'!#REF!),"")</f>
        <v>#REF!</v>
      </c>
      <c r="T52" s="60" t="e">
        <f>IF(AND('Mapa final'!#REF!="Muy Baja",'Mapa final'!#REF!="Menor"),CONCATENATE("R2C",'Mapa final'!#REF!),"")</f>
        <v>#REF!</v>
      </c>
      <c r="U52" s="60" t="e">
        <f>IF(AND('Mapa final'!#REF!="Muy Baja",'Mapa final'!#REF!="Menor"),CONCATENATE("R2C",'Mapa final'!#REF!),"")</f>
        <v>#REF!</v>
      </c>
      <c r="V52" s="61" t="e">
        <f>IF(AND('Mapa final'!#REF!="Muy Baja",'Mapa final'!#REF!="Menor"),CONCATENATE("R2C",'Mapa final'!#REF!),"")</f>
        <v>#REF!</v>
      </c>
      <c r="W52" s="50"/>
      <c r="X52" s="193" t="e">
        <f>IF(AND('Mapa final'!#REF!="Muy Baja",'Mapa final'!#REF!="Moderado"),CONCATENATE("R2C",'Mapa final'!$D$15),"")</f>
        <v>#REF!</v>
      </c>
      <c r="Y52" s="51"/>
      <c r="Z52" s="51" t="e">
        <f>IF(AND('Mapa final'!#REF!="Muy Baja",'Mapa final'!#REF!="Moderado"),CONCATENATE("R2C",'Mapa final'!#REF!),"")</f>
        <v>#REF!</v>
      </c>
      <c r="AA52" s="51" t="e">
        <f>IF(AND('Mapa final'!#REF!="Muy Baja",'Mapa final'!#REF!="Moderado"),CONCATENATE("R2C",'Mapa final'!#REF!),"")</f>
        <v>#REF!</v>
      </c>
      <c r="AB52" s="52" t="e">
        <f>IF(AND('Mapa final'!#REF!="Muy Baja",'Mapa final'!#REF!="Moderado"),CONCATENATE("R2C",'Mapa final'!#REF!),"")</f>
        <v>#REF!</v>
      </c>
      <c r="AC52" s="32"/>
      <c r="AD52" s="33" t="e">
        <f>IF(AND('Mapa final'!#REF!="Muy Baja",'Mapa final'!#REF!="Mayor"),CONCATENATE("R2C",'Mapa final'!$R$15),"")</f>
        <v>#REF!</v>
      </c>
      <c r="AE52" s="192" t="e">
        <f>IF(AND('Mapa final'!#REF!="Muy Baja",'Mapa final'!#REF!="Mayor"),CONCATENATE("R2C",'Mapa final'!#REF!),"")</f>
        <v>#REF!</v>
      </c>
      <c r="AF52" s="33" t="e">
        <f>IF(AND('Mapa final'!#REF!="Muy Baja",'Mapa final'!#REF!="Mayor"),CONCATENATE("R2C",'Mapa final'!#REF!),"")</f>
        <v>#REF!</v>
      </c>
      <c r="AG52" s="33" t="e">
        <f>IF(AND('Mapa final'!#REF!="Muy Baja",'Mapa final'!#REF!="Mayor"),CONCATENATE("R2C",'Mapa final'!#REF!),"")</f>
        <v>#REF!</v>
      </c>
      <c r="AH52" s="34" t="e">
        <f>IF(AND('Mapa final'!#REF!="Muy Baja",'Mapa final'!#REF!="Mayor"),CONCATENATE("R2C",'Mapa final'!#REF!),"")</f>
        <v>#REF!</v>
      </c>
      <c r="AI52" s="35"/>
      <c r="AJ52" s="36" t="e">
        <f>IF(AND('Mapa final'!#REF!="Muy Baja",'Mapa final'!#REF!="Catastrófico"),CONCATENATE("R2C",'Mapa final'!$D$15),"")</f>
        <v>#REF!</v>
      </c>
      <c r="AK52" s="36" t="e">
        <f>IF(AND('Mapa final'!#REF!="Muy Baja",'Mapa final'!#REF!="Catastrófico"),CONCATENATE("R2C",'Mapa final'!#REF!),"")</f>
        <v>#REF!</v>
      </c>
      <c r="AL52" s="36" t="e">
        <f>IF(AND('Mapa final'!#REF!="Muy Baja",'Mapa final'!#REF!="Catastrófico"),CONCATENATE("R2C",'Mapa final'!#REF!),"")</f>
        <v>#REF!</v>
      </c>
      <c r="AM52" s="36" t="e">
        <f>IF(AND('Mapa final'!#REF!="Muy Baja",'Mapa final'!#REF!="Catastrófico"),CONCATENATE("R2C",'Mapa final'!#REF!),"")</f>
        <v>#REF!</v>
      </c>
      <c r="AN52" s="37" t="e">
        <f>IF(AND('Mapa final'!#REF!="Muy Baja",'Mapa final'!#REF!="Catastrófico"),CONCATENATE("R2C",'Mapa final'!#REF!),"")</f>
        <v>#REF!</v>
      </c>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215"/>
      <c r="BM52" s="215"/>
      <c r="BN52" s="215"/>
      <c r="BO52" s="215"/>
      <c r="BP52" s="215"/>
      <c r="BQ52" s="215"/>
      <c r="BR52" s="68"/>
      <c r="BS52" s="68"/>
      <c r="BT52" s="68"/>
      <c r="BU52" s="68"/>
      <c r="BV52" s="68"/>
      <c r="BW52" s="68"/>
      <c r="BX52" s="68"/>
      <c r="BY52" s="68"/>
      <c r="BZ52" s="68"/>
      <c r="CA52" s="68"/>
      <c r="CB52" s="68"/>
      <c r="CC52" s="68"/>
    </row>
    <row r="53" spans="2:81" ht="82" customHeight="1">
      <c r="B53" s="68"/>
      <c r="C53" s="527"/>
      <c r="D53" s="527"/>
      <c r="E53" s="528"/>
      <c r="F53" s="586"/>
      <c r="G53" s="571"/>
      <c r="H53" s="571"/>
      <c r="I53" s="571"/>
      <c r="J53" s="572"/>
      <c r="K53" s="62" t="e">
        <f>IF(AND('Mapa final'!#REF!="Muy Baja",'Mapa final'!#REF!="Leve"),CONCATENATE("R2C",'Mapa final'!#REF!),"")</f>
        <v>#REF!</v>
      </c>
      <c r="L53" s="63" t="e">
        <f>IF(AND('Mapa final'!#REF!="Muy Baja",'Mapa final'!#REF!="Leve"),CONCATENATE("R2C",'Mapa final'!#REF!),"")</f>
        <v>#REF!</v>
      </c>
      <c r="M53" s="63" t="str">
        <f>IF(AND('Mapa final'!$AH$24="Muy Baja",'Mapa final'!$AJ$24="Leve"),CONCATENATE("R2C",'Mapa final'!$R$24),"")</f>
        <v/>
      </c>
      <c r="N53" s="54" t="e">
        <f>IF(AND('Mapa final'!#REF!="Alta",'Mapa final'!#REF!="Leve"),CONCATENATE("R2C",'Mapa final'!#REF!),"")</f>
        <v>#REF!</v>
      </c>
      <c r="O53" s="63" t="str">
        <f>IF(AND('Mapa final'!$AH$26="Muy Baja",'Mapa final'!$AJ$26="Leve"),CONCATENATE("R2C",'Mapa final'!$R$26),"")</f>
        <v/>
      </c>
      <c r="P53" s="64" t="str">
        <f>IF(AND('Mapa final'!$AH$27="Muy Baja",'Mapa final'!$AJ$27="Leve"),CONCATENATE("R2C",'Mapa final'!$R$27),"")</f>
        <v/>
      </c>
      <c r="Q53" s="62" t="e">
        <f>IF(AND('Mapa final'!#REF!="Muy Baja",'Mapa final'!#REF!="Menor"),CONCATENATE("R2C",'Mapa final'!#REF!),"")</f>
        <v>#REF!</v>
      </c>
      <c r="R53" s="63" t="e">
        <f>IF(AND('Mapa final'!#REF!="Muy Baja",'Mapa final'!#REF!="Menor"),CONCATENATE("R2C",'Mapa final'!#REF!),"")</f>
        <v>#REF!</v>
      </c>
      <c r="S53" s="63" t="str">
        <f>IF(AND('Mapa final'!$AH$24="Muy Baja",'Mapa final'!$AJ$24="Menor"),CONCATENATE("R2C",'Mapa final'!$R$24),"")</f>
        <v/>
      </c>
      <c r="T53" s="63" t="str">
        <f>IF(AND('Mapa final'!$AH$25="Muy Baja",'Mapa final'!$AJ$25="Menor"),CONCATENATE("R2C",'Mapa final'!$R$25),"")</f>
        <v/>
      </c>
      <c r="U53" s="63" t="str">
        <f>IF(AND('Mapa final'!$AH$26="Muy Baja",'Mapa final'!$AJ$26="Menor"),CONCATENATE("R2C",'Mapa final'!$R$26),"")</f>
        <v/>
      </c>
      <c r="V53" s="64" t="str">
        <f>IF(AND('Mapa final'!$AH$27="Muy Baja",'Mapa final'!$AJ$27="Menor"),CONCATENATE("R2C",'Mapa final'!$R$27),"")</f>
        <v/>
      </c>
      <c r="W53" s="53" t="e">
        <f>IF(AND('Mapa final'!#REF!="Muy Baja",'Mapa final'!#REF!="Moderado"),CONCATENATE("R2C",'Mapa final'!#REF!),"")</f>
        <v>#REF!</v>
      </c>
      <c r="X53" s="54" t="e">
        <f>IF(AND('Mapa final'!#REF!="Muy Baja",'Mapa final'!#REF!="Moderado"),CONCATENATE("R2C",'Mapa final'!#REF!),"")</f>
        <v>#REF!</v>
      </c>
      <c r="Y53" s="54" t="str">
        <f>IF(AND('Mapa final'!$AH$24="Muy Baja",'Mapa final'!$AJ$24="Moderado"),CONCATENATE("R2C",'Mapa final'!$R$24),"")</f>
        <v/>
      </c>
      <c r="Z53" s="54" t="str">
        <f>IF(AND('Mapa final'!$AH$25="Muy Baja",'Mapa final'!$AJ$25="Moderado"),CONCATENATE("R2C",'Mapa final'!$R$25),"")</f>
        <v/>
      </c>
      <c r="AA53" s="54" t="str">
        <f>IF(AND('Mapa final'!$AH$26="Muy Baja",'Mapa final'!$AJ$26="Moderado"),CONCATENATE("R2C",'Mapa final'!$R$26),"")</f>
        <v/>
      </c>
      <c r="AB53" s="55" t="str">
        <f>IF(AND('Mapa final'!$AH$27="Muy Baja",'Mapa final'!$AJ$27="Moderado"),CONCATENATE("R2C",'Mapa final'!$R$27),"")</f>
        <v/>
      </c>
      <c r="AC53" s="38" t="e">
        <f>IF(AND('Mapa final'!#REF!="Muy Baja",'Mapa final'!#REF!="Mayor"),CONCATENATE("R2C",'Mapa final'!#REF!),"")</f>
        <v>#REF!</v>
      </c>
      <c r="AD53" s="39" t="e">
        <f>IF(AND('Mapa final'!#REF!="Muy Baja",'Mapa final'!#REF!="Mayor"),CONCATENATE("R2C",'Mapa final'!#REF!),"")</f>
        <v>#REF!</v>
      </c>
      <c r="AE53" s="39" t="str">
        <f>IF(AND('Mapa final'!$AH$24="Muy Baja",'Mapa final'!$AJ$24="Mayor"),CONCATENATE("R2C",'Mapa final'!$R$24),"")</f>
        <v/>
      </c>
      <c r="AF53" s="39" t="str">
        <f>IF(AND('Mapa final'!$AH$25="Muy Baja",'Mapa final'!$AJ$25="Mayor"),CONCATENATE("R2C",'Mapa final'!$R$25),"")</f>
        <v/>
      </c>
      <c r="AG53" s="39" t="str">
        <f>IF(AND('Mapa final'!$AH$26="Muy Baja",'Mapa final'!$AJ$26="Mayor"),CONCATENATE("R2C",'Mapa final'!$R$26),"")</f>
        <v/>
      </c>
      <c r="AH53" s="40" t="str">
        <f>IF(AND('Mapa final'!$AH$27="Muy Baja",'Mapa final'!$AJ$27="Mayor"),CONCATENATE("R2C",'Mapa final'!$R$27),"")</f>
        <v/>
      </c>
      <c r="AI53" s="41" t="e">
        <f>IF(AND('Mapa final'!#REF!="Muy Baja",'Mapa final'!#REF!="Catastrófico"),CONCATENATE("R2C",'Mapa final'!#REF!),"")</f>
        <v>#REF!</v>
      </c>
      <c r="AJ53" s="42" t="e">
        <f>IF(AND('Mapa final'!#REF!="Muy Baja",'Mapa final'!#REF!="Catastrófico"),CONCATENATE("R2C",'Mapa final'!#REF!),"")</f>
        <v>#REF!</v>
      </c>
      <c r="AK53" s="42" t="str">
        <f>IF(AND('Mapa final'!$AH$24="Muy Baja",'Mapa final'!$AJ$24="Catastrófico"),CONCATENATE("R2C",'Mapa final'!$R$24),"")</f>
        <v/>
      </c>
      <c r="AL53" s="42" t="str">
        <f>IF(AND('Mapa final'!$AH$25="Muy Baja",'Mapa final'!$AJ$25="Catastrófico"),CONCATENATE("R2C",'Mapa final'!$R$25),"")</f>
        <v/>
      </c>
      <c r="AM53" s="42" t="str">
        <f>IF(AND('Mapa final'!$AH$26="Muy Baja",'Mapa final'!$AJ$26="Catastrófico"),CONCATENATE("R2C",'Mapa final'!$R$26),"")</f>
        <v/>
      </c>
      <c r="AN53" s="43" t="str">
        <f>IF(AND('Mapa final'!$AH$27="Muy Baja",'Mapa final'!$AJ$27="Catastrófico"),CONCATENATE("R2C",'Mapa final'!$R$27),"")</f>
        <v/>
      </c>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216"/>
      <c r="BM53" s="216"/>
      <c r="BN53" s="216"/>
      <c r="BO53" s="216"/>
      <c r="BP53" s="216"/>
      <c r="BQ53" s="216"/>
      <c r="BR53" s="68"/>
      <c r="BS53" s="68"/>
      <c r="BT53" s="68"/>
      <c r="BU53" s="68"/>
      <c r="BV53" s="68"/>
      <c r="BW53" s="68"/>
      <c r="BX53" s="68"/>
      <c r="BY53" s="68"/>
      <c r="BZ53" s="68"/>
      <c r="CA53" s="68"/>
      <c r="CB53" s="68"/>
      <c r="CC53" s="68"/>
    </row>
    <row r="54" spans="2:81" ht="82" customHeight="1">
      <c r="B54" s="68"/>
      <c r="C54" s="527"/>
      <c r="D54" s="527"/>
      <c r="E54" s="528"/>
      <c r="F54" s="586"/>
      <c r="G54" s="571"/>
      <c r="H54" s="571"/>
      <c r="I54" s="571"/>
      <c r="J54" s="572"/>
      <c r="K54" s="62" t="str">
        <f>IF(AND('Mapa final'!$AH$28="Muy Baja",'Mapa final'!$AJ$28="Leve"),CONCATENATE("R2C",'Mapa final'!$R$28),"")</f>
        <v/>
      </c>
      <c r="L54" s="63" t="str">
        <f>IF(AND('Mapa final'!$AH$29="Muy Baja",'Mapa final'!$AJ$29="Leve"),CONCATENATE("R2C",'Mapa final'!$R$29),"")</f>
        <v/>
      </c>
      <c r="M54" s="63" t="str">
        <f>IF(AND('Mapa final'!$AH$30="Muy Baja",'Mapa final'!$AJ$30="Leve"),CONCATENATE("R2C",'Mapa final'!$R$30),"")</f>
        <v/>
      </c>
      <c r="N54" s="54" t="e">
        <f>IF(AND('Mapa final'!#REF!="Alta",'Mapa final'!#REF!="Leve"),CONCATENATE("R2C",'Mapa final'!#REF!),"")</f>
        <v>#REF!</v>
      </c>
      <c r="O54" s="63" t="str">
        <f>IF(AND('Mapa final'!$AH$32="Muy Baja",'Mapa final'!$AJ$32="Leve"),CONCATENATE("R2C",'Mapa final'!$R$32),"")</f>
        <v/>
      </c>
      <c r="P54" s="64" t="str">
        <f>IF(AND('Mapa final'!$AH$33="Muy Baja",'Mapa final'!$AJ$33="Leve"),CONCATENATE("R2C",'Mapa final'!$R$33),"")</f>
        <v/>
      </c>
      <c r="Q54" s="62" t="str">
        <f>IF(AND('Mapa final'!$AH$28="Muy Baja",'Mapa final'!$AJ$28="Menor"),CONCATENATE("R2C",'Mapa final'!$R$28),"")</f>
        <v/>
      </c>
      <c r="R54" s="63" t="str">
        <f>IF(AND('Mapa final'!$AH$29="Muy Baja",'Mapa final'!$AJ$29="Menor"),CONCATENATE("R2C",'Mapa final'!$R$29),"")</f>
        <v/>
      </c>
      <c r="S54" s="63" t="str">
        <f>IF(AND('Mapa final'!$AH$30="Muy Baja",'Mapa final'!$AJ$30="Menor"),CONCATENATE("R2C",'Mapa final'!$R$30),"")</f>
        <v/>
      </c>
      <c r="T54" s="63" t="str">
        <f>IF(AND('Mapa final'!$AH$31="Muy Baja",'Mapa final'!$AJ$31="Menor"),CONCATENATE("R2C",'Mapa final'!$R$31),"")</f>
        <v/>
      </c>
      <c r="U54" s="63" t="str">
        <f>IF(AND('Mapa final'!$AH$32="Muy Baja",'Mapa final'!$AJ$32="Menor"),CONCATENATE("R2C",'Mapa final'!$R$32),"")</f>
        <v/>
      </c>
      <c r="V54" s="64" t="str">
        <f>IF(AND('Mapa final'!$AH$33="Muy Baja",'Mapa final'!$AJ$33="Menor"),CONCATENATE("R2C",'Mapa final'!$R$33),"")</f>
        <v/>
      </c>
      <c r="W54" s="53" t="str">
        <f>IF(AND('Mapa final'!$AH$28="Muy Baja",'Mapa final'!$AJ$28="Moderado"),CONCATENATE("R2C",'Mapa final'!$R$28),"")</f>
        <v/>
      </c>
      <c r="X54" s="54" t="str">
        <f>IF(AND('Mapa final'!$AH$29="Muy Baja",'Mapa final'!$AJ$29="Moderado"),CONCATENATE("R2C",'Mapa final'!$R$29),"")</f>
        <v/>
      </c>
      <c r="Y54" s="54" t="str">
        <f>IF(AND('Mapa final'!$AH$30="Muy Baja",'Mapa final'!$AJ$30="Moderado"),CONCATENATE("R2C",'Mapa final'!$R$30),"")</f>
        <v/>
      </c>
      <c r="Z54" s="54" t="str">
        <f>IF(AND('Mapa final'!$AH$31="Muy Baja",'Mapa final'!$AJ$31="Moderado"),CONCATENATE("R2C",'Mapa final'!$R$31),"")</f>
        <v/>
      </c>
      <c r="AA54" s="54" t="str">
        <f>IF(AND('Mapa final'!$AH$32="Muy Baja",'Mapa final'!$AJ$32="Moderado"),CONCATENATE("R2C",'Mapa final'!$R$32),"")</f>
        <v/>
      </c>
      <c r="AB54" s="55" t="str">
        <f>IF(AND('Mapa final'!$AH$33="Muy Baja",'Mapa final'!$AJ$33="Moderado"),CONCATENATE("R2C",'Mapa final'!$R$33),"")</f>
        <v/>
      </c>
      <c r="AC54" s="38" t="str">
        <f>IF(AND('Mapa final'!$AH$28="Muy Baja",'Mapa final'!$AJ$28="Mayor"),CONCATENATE("R2C",'Mapa final'!$R$28),"")</f>
        <v/>
      </c>
      <c r="AD54" s="39" t="str">
        <f>IF(AND('Mapa final'!$AH$29="Muy Baja",'Mapa final'!$AJ$29="Mayor"),CONCATENATE("R2C",'Mapa final'!$R$29),"")</f>
        <v/>
      </c>
      <c r="AE54" s="39" t="str">
        <f>IF(AND('Mapa final'!$AH$30="Muy Baja",'Mapa final'!$AJ$30="Mayor"),CONCATENATE("R2C",'Mapa final'!$R$30),"")</f>
        <v/>
      </c>
      <c r="AF54" s="39" t="str">
        <f>IF(AND('Mapa final'!$AH$31="Muy Baja",'Mapa final'!$AJ$31="Mayor"),CONCATENATE("R2C",'Mapa final'!$R$31),"")</f>
        <v/>
      </c>
      <c r="AG54" s="39" t="str">
        <f>IF(AND('Mapa final'!$AH$32="Muy Baja",'Mapa final'!$AJ$32="Mayor"),CONCATENATE("R2C",'Mapa final'!$R$32),"")</f>
        <v/>
      </c>
      <c r="AH54" s="40" t="str">
        <f>IF(AND('Mapa final'!$AH$33="Muy Baja",'Mapa final'!$AJ$33="Mayor"),CONCATENATE("R2C",'Mapa final'!$R$33),"")</f>
        <v/>
      </c>
      <c r="AI54" s="41" t="str">
        <f>IF(AND('Mapa final'!$AH$28="Muy Baja",'Mapa final'!$AJ$28="Catastrófico"),CONCATENATE("R2C",'Mapa final'!$R$28),"")</f>
        <v/>
      </c>
      <c r="AJ54" s="42" t="str">
        <f>IF(AND('Mapa final'!$AH$29="Muy Baja",'Mapa final'!$AJ$29="Catastrófico"),CONCATENATE("R2C",'Mapa final'!$R$29),"")</f>
        <v/>
      </c>
      <c r="AK54" s="42" t="str">
        <f>IF(AND('Mapa final'!$AH$30="Muy Baja",'Mapa final'!$AJ$30="Catastrófico"),CONCATENATE("R2C",'Mapa final'!$R$30),"")</f>
        <v/>
      </c>
      <c r="AL54" s="42" t="str">
        <f>IF(AND('Mapa final'!$AH$31="Muy Baja",'Mapa final'!$AJ$31="Catastrófico"),CONCATENATE("R2C",'Mapa final'!$R$31),"")</f>
        <v/>
      </c>
      <c r="AM54" s="42" t="str">
        <f>IF(AND('Mapa final'!$AH$32="Muy Baja",'Mapa final'!$AJ$32="Catastrófico"),CONCATENATE("R2C",'Mapa final'!$R$32),"")</f>
        <v/>
      </c>
      <c r="AN54" s="43" t="str">
        <f>IF(AND('Mapa final'!$AH$33="Muy Baja",'Mapa final'!$AJ$33="Catastrófico"),CONCATENATE("R2C",'Mapa final'!$R$33),"")</f>
        <v/>
      </c>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216"/>
      <c r="BM54" s="216"/>
      <c r="BN54" s="216"/>
      <c r="BO54" s="216"/>
      <c r="BP54" s="216"/>
      <c r="BQ54" s="216"/>
      <c r="BR54" s="68"/>
      <c r="BS54" s="68"/>
      <c r="BT54" s="68"/>
      <c r="BU54" s="68"/>
      <c r="BV54" s="68"/>
      <c r="BW54" s="68"/>
      <c r="BX54" s="68"/>
      <c r="BY54" s="68"/>
      <c r="BZ54" s="68"/>
      <c r="CA54" s="68"/>
      <c r="CB54" s="68"/>
      <c r="CC54" s="68"/>
    </row>
    <row r="55" spans="2:81" ht="82" customHeight="1">
      <c r="B55" s="68"/>
      <c r="C55" s="527"/>
      <c r="D55" s="527"/>
      <c r="E55" s="528"/>
      <c r="F55" s="570"/>
      <c r="G55" s="571"/>
      <c r="H55" s="571"/>
      <c r="I55" s="571"/>
      <c r="J55" s="572"/>
      <c r="K55" s="62" t="str">
        <f>IF(AND('Mapa final'!$AH$34="Muy Baja",'Mapa final'!$AJ$34="Leve"),CONCATENATE("R2C",'Mapa final'!$R$34),"")</f>
        <v/>
      </c>
      <c r="L55" s="63" t="str">
        <f>IF(AND('Mapa final'!$AH$35="Muy Baja",'Mapa final'!$AJ$35="Leve"),CONCATENATE("R2C",'Mapa final'!$R$35),"")</f>
        <v/>
      </c>
      <c r="M55" s="63" t="str">
        <f>IF(AND('Mapa final'!$AH$36="Muy Baja",'Mapa final'!$AJ$36="Leve"),CONCATENATE("R2C",'Mapa final'!$R$36),"")</f>
        <v/>
      </c>
      <c r="N55" s="54" t="e">
        <f>IF(AND('Mapa final'!#REF!="Alta",'Mapa final'!#REF!="Leve"),CONCATENATE("R2C",'Mapa final'!#REF!),"")</f>
        <v>#REF!</v>
      </c>
      <c r="O55" s="63" t="str">
        <f>IF(AND('Mapa final'!$AH$38="Muy Baja",'Mapa final'!$AJ$38="Leve"),CONCATENATE("R2C",'Mapa final'!$R$38),"")</f>
        <v/>
      </c>
      <c r="P55" s="64" t="str">
        <f>IF(AND('Mapa final'!$AH$39="Muy Baja",'Mapa final'!$AJ$39="Leve"),CONCATENATE("R2C",'Mapa final'!$R$39),"")</f>
        <v/>
      </c>
      <c r="Q55" s="62" t="str">
        <f>IF(AND('Mapa final'!$AH$34="Muy Baja",'Mapa final'!$AJ$34="Menor"),CONCATENATE("R2C",'Mapa final'!$R$34),"")</f>
        <v/>
      </c>
      <c r="R55" s="63" t="str">
        <f>IF(AND('Mapa final'!$AH$35="Muy Baja",'Mapa final'!$AJ$35="Menor"),CONCATENATE("R2C",'Mapa final'!$R$35),"")</f>
        <v/>
      </c>
      <c r="S55" s="63" t="str">
        <f>IF(AND('Mapa final'!$AH$36="Muy Baja",'Mapa final'!$AJ$36="Menor"),CONCATENATE("R2C",'Mapa final'!$R$36),"")</f>
        <v/>
      </c>
      <c r="T55" s="63" t="str">
        <f>IF(AND('Mapa final'!$AH$37="Muy Baja",'Mapa final'!$AJ$37="Menor"),CONCATENATE("R2C",'Mapa final'!$R$37),"")</f>
        <v/>
      </c>
      <c r="U55" s="63" t="str">
        <f>IF(AND('Mapa final'!$AH$38="Muy Baja",'Mapa final'!$AJ$38="LMenor"),CONCATENATE("R2C",'Mapa final'!$R$38),"")</f>
        <v/>
      </c>
      <c r="V55" s="64" t="str">
        <f>IF(AND('Mapa final'!$AH$39="Muy Baja",'Mapa final'!$AJ$39="Menor"),CONCATENATE("R2C",'Mapa final'!$R$39),"")</f>
        <v/>
      </c>
      <c r="W55" s="53" t="str">
        <f>IF(AND('Mapa final'!$AH$34="Muy Baja",'Mapa final'!$AJ$34="Moderado"),CONCATENATE("R2C",'Mapa final'!$R$34),"")</f>
        <v/>
      </c>
      <c r="X55" s="54" t="str">
        <f>IF(AND('Mapa final'!$AH$35="Muy Baja",'Mapa final'!$AJ$35="Moderado"),CONCATENATE("R2C",'Mapa final'!$R$35),"")</f>
        <v/>
      </c>
      <c r="Y55" s="54" t="str">
        <f>IF(AND('Mapa final'!$AH$36="Muy Baja",'Mapa final'!$AJ$36="Moderado"),CONCATENATE("R2C",'Mapa final'!$R$36),"")</f>
        <v/>
      </c>
      <c r="Z55" s="54" t="str">
        <f>IF(AND('Mapa final'!$AH$37="Muy Baja",'Mapa final'!$AJ$37="Moderado"),CONCATENATE("R2C",'Mapa final'!$R$37),"")</f>
        <v/>
      </c>
      <c r="AA55" s="54" t="str">
        <f>IF(AND('Mapa final'!$AH$38="Muy Baja",'Mapa final'!$AJ$38="Moderado"),CONCATENATE("R2C",'Mapa final'!$R$38),"")</f>
        <v/>
      </c>
      <c r="AB55" s="55" t="str">
        <f>IF(AND('Mapa final'!$AH$39="Muy Baja",'Mapa final'!$AJ$39="Moderado"),CONCATENATE("R2C",'Mapa final'!$R$39),"")</f>
        <v/>
      </c>
      <c r="AC55" s="38" t="str">
        <f>IF(AND('Mapa final'!$AH$34="Muy Baja",'Mapa final'!$AJ$34="Mayor"),CONCATENATE("R2C",'Mapa final'!$R$34),"")</f>
        <v/>
      </c>
      <c r="AD55" s="39" t="str">
        <f>IF(AND('Mapa final'!$AH$35="Muy Baja",'Mapa final'!$AJ$35="Mayor"),CONCATENATE("R2C",'Mapa final'!$R$35),"")</f>
        <v/>
      </c>
      <c r="AE55" s="39" t="str">
        <f>IF(AND('Mapa final'!$AH$36="Muy Baja",'Mapa final'!$AJ$36="Mayor"),CONCATENATE("R2C",'Mapa final'!$R$36),"")</f>
        <v/>
      </c>
      <c r="AF55" s="39" t="str">
        <f>IF(AND('Mapa final'!$AH$37="Muy Baja",'Mapa final'!$AJ$37="Mayor"),CONCATENATE("R2C",'Mapa final'!$R$37),"")</f>
        <v/>
      </c>
      <c r="AG55" s="39" t="str">
        <f>IF(AND('Mapa final'!$AH$38="Muy Baja",'Mapa final'!$AJ$38="Mayor"),CONCATENATE("R2C",'Mapa final'!$R$38),"")</f>
        <v/>
      </c>
      <c r="AH55" s="40" t="str">
        <f>IF(AND('Mapa final'!$AH$39="Muy Baja",'Mapa final'!$AJ$39="Mayor"),CONCATENATE("R2C",'Mapa final'!$R$39),"")</f>
        <v/>
      </c>
      <c r="AI55" s="41" t="str">
        <f>IF(AND('Mapa final'!$AH$34="Muy Baja",'Mapa final'!$AJ$34="Catastrófico"),CONCATENATE("R2C",'Mapa final'!$R$34),"")</f>
        <v/>
      </c>
      <c r="AJ55" s="42" t="str">
        <f>IF(AND('Mapa final'!$AH$35="Muy Baja",'Mapa final'!$AJ$35="Catastrófico"),CONCATENATE("R2C",'Mapa final'!$R$35),"")</f>
        <v/>
      </c>
      <c r="AK55" s="42" t="str">
        <f>IF(AND('Mapa final'!$AH$36="Muy Baja",'Mapa final'!$AJ$36="Catastrófico"),CONCATENATE("R2C",'Mapa final'!$R$36),"")</f>
        <v/>
      </c>
      <c r="AL55" s="42" t="str">
        <f>IF(AND('Mapa final'!$AH$37="Muy Baja",'Mapa final'!$AJ$37="Catastrófico"),CONCATENATE("R2C",'Mapa final'!$R$37),"")</f>
        <v/>
      </c>
      <c r="AM55" s="42" t="str">
        <f>IF(AND('Mapa final'!$AH$38="Muy Baja",'Mapa final'!$AJ$38="LCatastrófico"),CONCATENATE("R2C",'Mapa final'!$R$38),"")</f>
        <v/>
      </c>
      <c r="AN55" s="43" t="str">
        <f>IF(AND('Mapa final'!$AH$39="Muy Baja",'Mapa final'!$AJ$39="Catastrófico"),CONCATENATE("R2C",'Mapa final'!$R$39),"")</f>
        <v/>
      </c>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216"/>
      <c r="BM55" s="216"/>
      <c r="BN55" s="216"/>
      <c r="BO55" s="216"/>
      <c r="BP55" s="216"/>
      <c r="BQ55" s="216"/>
      <c r="BR55" s="68"/>
      <c r="BS55" s="68"/>
      <c r="BT55" s="68"/>
      <c r="BU55" s="68"/>
      <c r="BV55" s="68"/>
      <c r="BW55" s="68"/>
      <c r="BX55" s="68"/>
      <c r="BY55" s="68"/>
      <c r="BZ55" s="68"/>
      <c r="CA55" s="68"/>
      <c r="CB55" s="68"/>
      <c r="CC55" s="68"/>
    </row>
    <row r="56" spans="2:81" ht="82" customHeight="1">
      <c r="B56" s="68"/>
      <c r="C56" s="527"/>
      <c r="D56" s="527"/>
      <c r="E56" s="528"/>
      <c r="F56" s="570"/>
      <c r="G56" s="571"/>
      <c r="H56" s="571"/>
      <c r="I56" s="571"/>
      <c r="J56" s="572"/>
      <c r="K56" s="62" t="str">
        <f>IF(AND('Mapa final'!$AH$40="Muy Baja",'Mapa final'!$AJ$40="Leve"),CONCATENATE("R2C",'Mapa final'!$R$40),"")</f>
        <v/>
      </c>
      <c r="L56" s="63" t="str">
        <f>IF(AND('Mapa final'!$AH$41="Muy Baja",'Mapa final'!$AJ$41="Leve"),CONCATENATE("R2C",'Mapa final'!$R$41),"")</f>
        <v/>
      </c>
      <c r="M56" s="63" t="str">
        <f>IF(AND('Mapa final'!$AH$42="Muy Baja",'Mapa final'!$AJ$42="Leve"),CONCATENATE("R2C",'Mapa final'!$R$42),"")</f>
        <v/>
      </c>
      <c r="N56" s="54" t="e">
        <f>IF(AND('Mapa final'!#REF!="Alta",'Mapa final'!#REF!="Leve"),CONCATENATE("R2C",'Mapa final'!#REF!),"")</f>
        <v>#REF!</v>
      </c>
      <c r="O56" s="63" t="str">
        <f>IF(AND('Mapa final'!$AH$44="Muy Baja",'Mapa final'!$AJ$44="Leve"),CONCATENATE("R2C",'Mapa final'!$R$44),"")</f>
        <v/>
      </c>
      <c r="P56" s="64" t="str">
        <f>IF(AND('Mapa final'!$AH$45="Muy Baja",'Mapa final'!$AJ$45="Leve"),CONCATENATE("R2C",'Mapa final'!$R$45),"")</f>
        <v/>
      </c>
      <c r="Q56" s="62" t="str">
        <f>IF(AND('Mapa final'!$AH$40="Muy Baja",'Mapa final'!$AJ$40="Menor"),CONCATENATE("R2C",'Mapa final'!$R$40),"")</f>
        <v/>
      </c>
      <c r="R56" s="63" t="str">
        <f>IF(AND('Mapa final'!$AH$41="Muy Baja",'Mapa final'!$AJ$41="Menor"),CONCATENATE("R2C",'Mapa final'!$R$41),"")</f>
        <v/>
      </c>
      <c r="S56" s="63" t="str">
        <f>IF(AND('Mapa final'!$AH$42="Muy Baja",'Mapa final'!$AJ$42="Menor"),CONCATENATE("R2C",'Mapa final'!$R$42),"")</f>
        <v/>
      </c>
      <c r="T56" s="63" t="str">
        <f>IF(AND('Mapa final'!$AH$43="Muy Baja",'Mapa final'!$AJ$43="Menor"),CONCATENATE("R2C",'Mapa final'!$R$43),"")</f>
        <v/>
      </c>
      <c r="U56" s="63" t="str">
        <f>IF(AND('Mapa final'!$AH$44="Muy Baja",'Mapa final'!$AJ$44="Menor"),CONCATENATE("R2C",'Mapa final'!$R$44),"")</f>
        <v/>
      </c>
      <c r="V56" s="64" t="str">
        <f>IF(AND('Mapa final'!$AH$45="Muy Baja",'Mapa final'!$AJ$45="Menor"),CONCATENATE("R2C",'Mapa final'!$R$45),"")</f>
        <v/>
      </c>
      <c r="W56" s="53" t="str">
        <f>IF(AND('Mapa final'!$AH$40="Muy Baja",'Mapa final'!$AJ$40="Moderado"),CONCATENATE("R2C",'Mapa final'!$R$40),"")</f>
        <v/>
      </c>
      <c r="X56" s="54" t="str">
        <f>IF(AND('Mapa final'!$AH$41="Muy Baja",'Mapa final'!$AJ$41="Moderado"),CONCATENATE("R2C",'Mapa final'!$R$41),"")</f>
        <v/>
      </c>
      <c r="Y56" s="54" t="str">
        <f>IF(AND('Mapa final'!$AH$42="Muy Baja",'Mapa final'!$AJ$42="Moderado"),CONCATENATE("R2C",'Mapa final'!$R$42),"")</f>
        <v/>
      </c>
      <c r="Z56" s="54" t="str">
        <f>IF(AND('Mapa final'!$AH$43="Muy Baja",'Mapa final'!$AJ$43="Moderado"),CONCATENATE("R2C",'Mapa final'!$R$43),"")</f>
        <v/>
      </c>
      <c r="AA56" s="54" t="str">
        <f>IF(AND('Mapa final'!$AH$44="Muy Baja",'Mapa final'!$AJ$44="Moderado"),CONCATENATE("R2C",'Mapa final'!$R$44),"")</f>
        <v/>
      </c>
      <c r="AB56" s="55" t="str">
        <f>IF(AND('Mapa final'!$AH$45="Muy Baja",'Mapa final'!$AJ$45="Moderado"),CONCATENATE("R2C",'Mapa final'!$R$45),"")</f>
        <v/>
      </c>
      <c r="AC56" s="38" t="str">
        <f>IF(AND('Mapa final'!$AH$40="Muy Baja",'Mapa final'!$AJ$40="Mayor"),CONCATENATE("R2C",'Mapa final'!$R$40),"")</f>
        <v/>
      </c>
      <c r="AD56" s="39" t="str">
        <f>IF(AND('Mapa final'!$AH$41="Muy Baja",'Mapa final'!$AJ$41="Mayor"),CONCATENATE("R2C",'Mapa final'!$R$41),"")</f>
        <v/>
      </c>
      <c r="AE56" s="39" t="str">
        <f>IF(AND('Mapa final'!$AH$42="Muy Baja",'Mapa final'!$AJ$42="Mayor"),CONCATENATE("R2C",'Mapa final'!$R$42),"")</f>
        <v/>
      </c>
      <c r="AF56" s="39" t="str">
        <f>IF(AND('Mapa final'!$AH$43="Muy Baja",'Mapa final'!$AJ$43="Mayor"),CONCATENATE("R2C",'Mapa final'!$R$43),"")</f>
        <v/>
      </c>
      <c r="AG56" s="39" t="str">
        <f>IF(AND('Mapa final'!$AH$44="Muy Baja",'Mapa final'!$AJ$44="Mayor"),CONCATENATE("R2C",'Mapa final'!$R$44),"")</f>
        <v/>
      </c>
      <c r="AH56" s="40" t="str">
        <f>IF(AND('Mapa final'!$AH$45="Muy Baja",'Mapa final'!$AJ$45="Mayor"),CONCATENATE("R2C",'Mapa final'!$R$45),"")</f>
        <v/>
      </c>
      <c r="AI56" s="41" t="str">
        <f>IF(AND('Mapa final'!$AH$40="Muy Baja",'Mapa final'!$AJ$40="Catastrófico"),CONCATENATE("R2C",'Mapa final'!$R$40),"")</f>
        <v/>
      </c>
      <c r="AJ56" s="42" t="str">
        <f>IF(AND('Mapa final'!$AH$41="Muy Baja",'Mapa final'!$AJ$41="Catastrófico"),CONCATENATE("R2C",'Mapa final'!$R$41),"")</f>
        <v/>
      </c>
      <c r="AK56" s="42" t="str">
        <f>IF(AND('Mapa final'!$AH$42="Muy Baja",'Mapa final'!$AJ$42="Catastrófico"),CONCATENATE("R2C",'Mapa final'!$R$42),"")</f>
        <v/>
      </c>
      <c r="AL56" s="42" t="str">
        <f>IF(AND('Mapa final'!$AH$43="Muy Baja",'Mapa final'!$AJ$43="Catastrófico"),CONCATENATE("R2C",'Mapa final'!$R$43),"")</f>
        <v/>
      </c>
      <c r="AM56" s="42" t="str">
        <f>IF(AND('Mapa final'!$AH$44="Muy Baja",'Mapa final'!$AJ$44="Catastrófico"),CONCATENATE("R2C",'Mapa final'!$R$44),"")</f>
        <v/>
      </c>
      <c r="AN56" s="43" t="str">
        <f>IF(AND('Mapa final'!$AH$45="Muy Baja",'Mapa final'!$AJ$45="Catastrófico"),CONCATENATE("R2C",'Mapa final'!$R$45),"")</f>
        <v/>
      </c>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216"/>
      <c r="BM56" s="216"/>
      <c r="BN56" s="216"/>
      <c r="BO56" s="216"/>
      <c r="BP56" s="216"/>
      <c r="BQ56" s="216"/>
      <c r="BR56" s="68"/>
      <c r="BS56" s="68"/>
      <c r="BT56" s="68"/>
      <c r="BU56" s="68"/>
      <c r="BV56" s="68"/>
      <c r="BW56" s="68"/>
      <c r="BX56" s="68"/>
      <c r="BY56" s="68"/>
      <c r="BZ56" s="68"/>
      <c r="CA56" s="68"/>
      <c r="CB56" s="68"/>
      <c r="CC56" s="68"/>
    </row>
    <row r="57" spans="2:81" ht="82" customHeight="1">
      <c r="B57" s="68"/>
      <c r="C57" s="527"/>
      <c r="D57" s="527"/>
      <c r="E57" s="528"/>
      <c r="F57" s="570"/>
      <c r="G57" s="571"/>
      <c r="H57" s="571"/>
      <c r="I57" s="571"/>
      <c r="J57" s="572"/>
      <c r="K57" s="62" t="str">
        <f>IF(AND('Mapa final'!$AH$46="Muy Baja",'Mapa final'!$AJ$46="Leve"),CONCATENATE("R2C",'Mapa final'!$R$46),"")</f>
        <v/>
      </c>
      <c r="L57" s="63" t="str">
        <f>IF(AND('Mapa final'!$AH$47="Muy Baja",'Mapa final'!$AJ$47="Leve"),CONCATENATE("R2C",'Mapa final'!$R$47),"")</f>
        <v/>
      </c>
      <c r="M57" s="63" t="str">
        <f>IF(AND('Mapa final'!$AH$48="Muy Baja",'Mapa final'!$AJ$48="Leve"),CONCATENATE("R2C",'Mapa final'!$R$48),"")</f>
        <v/>
      </c>
      <c r="N57" s="54" t="e">
        <f>IF(AND('Mapa final'!#REF!="Alta",'Mapa final'!#REF!="Leve"),CONCATENATE("R2C",'Mapa final'!#REF!),"")</f>
        <v>#REF!</v>
      </c>
      <c r="O57" s="63" t="str">
        <f>IF(AND('Mapa final'!$AH$50="Muy Baja",'Mapa final'!$AJ$50="Leve"),CONCATENATE("R2C",'Mapa final'!$R$50),"")</f>
        <v/>
      </c>
      <c r="P57" s="64" t="str">
        <f>IF(AND('Mapa final'!$AH$61="Muy Baja",'Mapa final'!$AJ$51="Leve"),CONCATENATE("R2C",'Mapa final'!$R$51),"")</f>
        <v/>
      </c>
      <c r="Q57" s="62" t="str">
        <f>IF(AND('Mapa final'!$AH$46="Muy Baja",'Mapa final'!$AJ$46="Menor"),CONCATENATE("R2C",'Mapa final'!$R$46),"")</f>
        <v/>
      </c>
      <c r="R57" s="63" t="str">
        <f>IF(AND('Mapa final'!$AH$47="Muy Baja",'Mapa final'!$AJ$47="Menor"),CONCATENATE("R2C",'Mapa final'!$R$47),"")</f>
        <v/>
      </c>
      <c r="S57" s="63" t="str">
        <f>IF(AND('Mapa final'!$AH$48="Muy Baja",'Mapa final'!$AJ$48="Menor"),CONCATENATE("R2C",'Mapa final'!$R$48),"")</f>
        <v/>
      </c>
      <c r="T57" s="63" t="str">
        <f>IF(AND('Mapa final'!$AH$49="Muy Baja",'Mapa final'!$AJ$49="Menor"),CONCATENATE("R2C",'Mapa final'!$R$49),"")</f>
        <v/>
      </c>
      <c r="U57" s="63" t="str">
        <f>IF(AND('Mapa final'!$AH$50="Muy Baja",'Mapa final'!$AJ$50="Menor"),CONCATENATE("R2C",'Mapa final'!$R$50),"")</f>
        <v/>
      </c>
      <c r="V57" s="64" t="str">
        <f>IF(AND('Mapa final'!$AH$61="Muy Baja",'Mapa final'!$AJ$51="Menor"),CONCATENATE("R2C",'Mapa final'!$R$51),"")</f>
        <v/>
      </c>
      <c r="W57" s="53" t="str">
        <f>IF(AND('Mapa final'!$AH$46="Muy Baja",'Mapa final'!$AJ$46="Moderado"),CONCATENATE("R2C",'Mapa final'!$R$46),"")</f>
        <v/>
      </c>
      <c r="X57" s="54" t="str">
        <f>IF(AND('Mapa final'!$AH$47="Muy Baja",'Mapa final'!$AJ$47="Moderado"),CONCATENATE("R2C",'Mapa final'!$R$47),"")</f>
        <v/>
      </c>
      <c r="Y57" s="54" t="str">
        <f>IF(AND('Mapa final'!$AH$48="Muy Baja",'Mapa final'!$AJ$48="Moderado"),CONCATENATE("R2C",'Mapa final'!$R$48),"")</f>
        <v/>
      </c>
      <c r="Z57" s="54" t="str">
        <f>IF(AND('Mapa final'!$AH$49="Muy Baja",'Mapa final'!$AJ$49="Moderado"),CONCATENATE("R2C",'Mapa final'!$R$49),"")</f>
        <v/>
      </c>
      <c r="AA57" s="54" t="str">
        <f>IF(AND('Mapa final'!$AH$50="Muy Baja",'Mapa final'!$AJ$50="Moderado"),CONCATENATE("R2C",'Mapa final'!$R$50),"")</f>
        <v/>
      </c>
      <c r="AB57" s="55" t="str">
        <f>IF(AND('Mapa final'!$AH$61="Muy Baja",'Mapa final'!$AJ$51="Moderado"),CONCATENATE("R2C",'Mapa final'!$R$51),"")</f>
        <v/>
      </c>
      <c r="AC57" s="38" t="str">
        <f>IF(AND('Mapa final'!$AH$46="Muy Baja",'Mapa final'!$AJ$46="Mayor"),CONCATENATE("R2C",'Mapa final'!$R$46),"")</f>
        <v/>
      </c>
      <c r="AD57" s="39" t="str">
        <f>IF(AND('Mapa final'!$AH$47="Muy Baja",'Mapa final'!$AJ$47="Mayor"),CONCATENATE("R2C",'Mapa final'!$R$47),"")</f>
        <v/>
      </c>
      <c r="AE57" s="39" t="str">
        <f>IF(AND('Mapa final'!$AH$48="Muy Baja",'Mapa final'!$AJ$48="Mayor"),CONCATENATE("R2C",'Mapa final'!$R$48),"")</f>
        <v/>
      </c>
      <c r="AF57" s="39" t="str">
        <f>IF(AND('Mapa final'!$AH$49="Muy Baja",'Mapa final'!$AJ$49="Mayor"),CONCATENATE("R2C",'Mapa final'!$R$49),"")</f>
        <v/>
      </c>
      <c r="AG57" s="39" t="str">
        <f>IF(AND('Mapa final'!$AH$50="Muy Baja",'Mapa final'!$AJ$50="Mayor"),CONCATENATE("R2C",'Mapa final'!$R$50),"")</f>
        <v/>
      </c>
      <c r="AH57" s="40" t="str">
        <f>IF(AND('Mapa final'!$AH$61="Muy Baja",'Mapa final'!$AJ$51="Mayor"),CONCATENATE("R2C",'Mapa final'!$R$51),"")</f>
        <v/>
      </c>
      <c r="AI57" s="41" t="str">
        <f>IF(AND('Mapa final'!$AH$46="Muy Baja",'Mapa final'!$AJ$46="Catastrófico"),CONCATENATE("R2C",'Mapa final'!$R$46),"")</f>
        <v/>
      </c>
      <c r="AJ57" s="42" t="str">
        <f>IF(AND('Mapa final'!$AH$47="Muy Baja",'Mapa final'!$AJ$47="Catastrófico"),CONCATENATE("R2C",'Mapa final'!$R$47),"")</f>
        <v/>
      </c>
      <c r="AK57" s="42" t="str">
        <f>IF(AND('Mapa final'!$AH$48="Muy Baja",'Mapa final'!$AJ$48="Catastrófico"),CONCATENATE("R2C",'Mapa final'!$R$48),"")</f>
        <v/>
      </c>
      <c r="AL57" s="42" t="str">
        <f>IF(AND('Mapa final'!$AH$49="Muy Baja",'Mapa final'!$AJ$49="Catastrófico"),CONCATENATE("R2C",'Mapa final'!$R$49),"")</f>
        <v/>
      </c>
      <c r="AM57" s="42" t="str">
        <f>IF(AND('Mapa final'!$AH$50="Muy Baja",'Mapa final'!$AJ$50="Catastrófico"),CONCATENATE("R2C",'Mapa final'!$R$50),"")</f>
        <v/>
      </c>
      <c r="AN57" s="43" t="str">
        <f>IF(AND('Mapa final'!$AH$61="Muy Baja",'Mapa final'!$AJ$51="Catastrófico"),CONCATENATE("R2C",'Mapa final'!$R$51),"")</f>
        <v/>
      </c>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216"/>
      <c r="BM57" s="216"/>
      <c r="BN57" s="216"/>
      <c r="BO57" s="216"/>
      <c r="BP57" s="216"/>
      <c r="BQ57" s="216"/>
      <c r="BR57" s="68"/>
      <c r="BS57" s="68"/>
      <c r="BT57" s="68"/>
      <c r="BU57" s="68"/>
      <c r="BV57" s="68"/>
      <c r="BW57" s="68"/>
      <c r="BX57" s="68"/>
      <c r="BY57" s="68"/>
      <c r="BZ57" s="68"/>
      <c r="CA57" s="68"/>
      <c r="CB57" s="68"/>
      <c r="CC57" s="68"/>
    </row>
    <row r="58" spans="2:81" ht="57" customHeight="1">
      <c r="B58" s="68"/>
      <c r="C58" s="527"/>
      <c r="D58" s="527"/>
      <c r="E58" s="528"/>
      <c r="F58" s="570"/>
      <c r="G58" s="571"/>
      <c r="H58" s="571"/>
      <c r="I58" s="571"/>
      <c r="J58" s="572"/>
      <c r="K58" s="62" t="str">
        <f>IF(AND('Mapa final'!$AH$52="Muy Baja",'Mapa final'!$AJ$52="Leve"),CONCATENATE("R2C",'Mapa final'!$R$52),"")</f>
        <v/>
      </c>
      <c r="L58" s="63" t="str">
        <f>IF(AND('Mapa final'!$AH$53="Muy Baja",'Mapa final'!$AJ$53="Leve"),CONCATENATE("R2C",'Mapa final'!$R$53),"")</f>
        <v/>
      </c>
      <c r="M58" s="63" t="str">
        <f>IF(AND('Mapa final'!$AH$54="Muy Baja",'Mapa final'!$AJ$54="Leve"),CONCATENATE("R2C",'Mapa final'!$R$54),"")</f>
        <v/>
      </c>
      <c r="N58" s="54" t="e">
        <f>IF(AND('Mapa final'!#REF!="Alta",'Mapa final'!#REF!="Leve"),CONCATENATE("R2C",'Mapa final'!#REF!),"")</f>
        <v>#REF!</v>
      </c>
      <c r="O58" s="63" t="str">
        <f>IF(AND('Mapa final'!$AH$56="Muy Baja",'Mapa final'!$AJ$56="Leve"),CONCATENATE("R2C",'Mapa final'!$R$56),"")</f>
        <v/>
      </c>
      <c r="P58" s="64" t="str">
        <f>IF(AND('Mapa final'!$AH$57="Muy Baja",'Mapa final'!$AJ$57="Leve"),CONCATENATE("R2C",'Mapa final'!$R$57),"")</f>
        <v/>
      </c>
      <c r="Q58" s="62" t="str">
        <f>IF(AND('Mapa final'!$AH$52="Muy Baja",'Mapa final'!$AJ$52="Menor"),CONCATENATE("R2C",'Mapa final'!$R$52),"")</f>
        <v/>
      </c>
      <c r="R58" s="63" t="str">
        <f>IF(AND('Mapa final'!$AH$53="Muy Baja",'Mapa final'!$AJ$53="Menor"),CONCATENATE("R2C",'Mapa final'!$R$53),"")</f>
        <v/>
      </c>
      <c r="S58" s="63" t="str">
        <f>IF(AND('Mapa final'!$AH$54="Muy Baja",'Mapa final'!$AJ$54="Menor"),CONCATENATE("R2C",'Mapa final'!$R$54),"")</f>
        <v/>
      </c>
      <c r="T58" s="63" t="str">
        <f>IF(AND('Mapa final'!$AH$55="Muy Baja",'Mapa final'!$AJ$55="Menor"),CONCATENATE("R2C",'Mapa final'!$R$55),"")</f>
        <v/>
      </c>
      <c r="U58" s="63" t="str">
        <f>IF(AND('Mapa final'!$AH$56="Muy Baja",'Mapa final'!$AJ$56="Menor"),CONCATENATE("R2C",'Mapa final'!$R$56),"")</f>
        <v/>
      </c>
      <c r="V58" s="64" t="str">
        <f>IF(AND('Mapa final'!$AH$57="Muy Baja",'Mapa final'!$AJ$57="Menor"),CONCATENATE("R2C",'Mapa final'!$R$57),"")</f>
        <v/>
      </c>
      <c r="W58" s="53" t="str">
        <f>IF(AND('Mapa final'!$AH$52="Muy Baja",'Mapa final'!$AJ$52="Moderado"),CONCATENATE("R2C",'Mapa final'!$R$52),"")</f>
        <v/>
      </c>
      <c r="X58" s="54" t="str">
        <f>IF(AND('Mapa final'!$AH$53="Muy Baja",'Mapa final'!$AJ$53="Moderado"),CONCATENATE("R2C",'Mapa final'!$R$53),"")</f>
        <v/>
      </c>
      <c r="Y58" s="54" t="str">
        <f>IF(AND('Mapa final'!$AH$54="Muy Baja",'Mapa final'!$AJ$54="Moderado"),CONCATENATE("R2C",'Mapa final'!$R$54),"")</f>
        <v/>
      </c>
      <c r="Z58" s="54" t="str">
        <f>IF(AND('Mapa final'!$AH$55="Muy Baja",'Mapa final'!$AJ$55="Moderado"),CONCATENATE("R2C",'Mapa final'!$R$55),"")</f>
        <v/>
      </c>
      <c r="AA58" s="54" t="str">
        <f>IF(AND('Mapa final'!$AH$56="Muy Baja",'Mapa final'!$AJ$56="Moderado"),CONCATENATE("R2C",'Mapa final'!$R$56),"")</f>
        <v/>
      </c>
      <c r="AB58" s="55" t="str">
        <f>IF(AND('Mapa final'!$AH$57="Muy Baja",'Mapa final'!$AJ$57="Moderado"),CONCATENATE("R2C",'Mapa final'!$R$57),"")</f>
        <v/>
      </c>
      <c r="AC58" s="38" t="str">
        <f>IF(AND('Mapa final'!$AH$52="Muy Baja",'Mapa final'!$AJ$52="Mayor"),CONCATENATE("R2C",'Mapa final'!$R$52),"")</f>
        <v/>
      </c>
      <c r="AD58" s="39" t="str">
        <f>IF(AND('Mapa final'!$AH$53="Muy Baja",'Mapa final'!$AJ$53="Mayor"),CONCATENATE("R2C",'Mapa final'!$R$53),"")</f>
        <v/>
      </c>
      <c r="AE58" s="39" t="str">
        <f>IF(AND('Mapa final'!$AH$54="Muy Baja",'Mapa final'!$AJ$54="Mayor"),CONCATENATE("R2C",'Mapa final'!$R$54),"")</f>
        <v/>
      </c>
      <c r="AF58" s="39" t="str">
        <f>IF(AND('Mapa final'!$AH$55="Muy Baja",'Mapa final'!$AJ$55="Mayor"),CONCATENATE("R2C",'Mapa final'!$R$55),"")</f>
        <v/>
      </c>
      <c r="AG58" s="39" t="str">
        <f>IF(AND('Mapa final'!$AH$56="Muy Baja",'Mapa final'!$AJ$56="Mayor"),CONCATENATE("R2C",'Mapa final'!$R$56),"")</f>
        <v/>
      </c>
      <c r="AH58" s="40" t="str">
        <f>IF(AND('Mapa final'!$AH$57="Muy Baja",'Mapa final'!$AJ$57="Mayor"),CONCATENATE("R2C",'Mapa final'!$R$57),"")</f>
        <v/>
      </c>
      <c r="AI58" s="41" t="str">
        <f>IF(AND('Mapa final'!$AH$52="Muy Baja",'Mapa final'!$AJ$52="Catastrófico"),CONCATENATE("R2C",'Mapa final'!$R$52),"")</f>
        <v/>
      </c>
      <c r="AJ58" s="42" t="str">
        <f>IF(AND('Mapa final'!$AH$53="Muy Baja",'Mapa final'!$AJ$53="Catastrófico"),CONCATENATE("R2C",'Mapa final'!$R$53),"")</f>
        <v/>
      </c>
      <c r="AK58" s="42" t="str">
        <f>IF(AND('Mapa final'!$AH$54="Muy Baja",'Mapa final'!$AJ$54="Catastrófico"),CONCATENATE("R2C",'Mapa final'!$R$54),"")</f>
        <v/>
      </c>
      <c r="AL58" s="42" t="str">
        <f>IF(AND('Mapa final'!$AH$55="Muy Baja",'Mapa final'!$AJ$55="Catastrófico"),CONCATENATE("R2C",'Mapa final'!$R$55),"")</f>
        <v/>
      </c>
      <c r="AM58" s="42" t="str">
        <f>IF(AND('Mapa final'!$AH$56="Muy Baja",'Mapa final'!$AJ$56="Catastrófico"),CONCATENATE("R2C",'Mapa final'!$R$56),"")</f>
        <v/>
      </c>
      <c r="AN58" s="43" t="str">
        <f>IF(AND('Mapa final'!$AH$57="Muy Baja",'Mapa final'!$AJ$57="Catastrófico"),CONCATENATE("R2C",'Mapa final'!$R$57),"")</f>
        <v/>
      </c>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216"/>
      <c r="BM58" s="216"/>
      <c r="BN58" s="216"/>
      <c r="BO58" s="216"/>
      <c r="BP58" s="216"/>
      <c r="BQ58" s="216"/>
      <c r="BR58" s="68"/>
      <c r="BS58" s="68"/>
      <c r="BT58" s="68"/>
      <c r="BU58" s="68"/>
      <c r="BV58" s="68"/>
      <c r="BW58" s="68"/>
      <c r="BX58" s="68"/>
      <c r="BY58" s="68"/>
      <c r="BZ58" s="68"/>
      <c r="CA58" s="68"/>
      <c r="CB58" s="68"/>
      <c r="CC58" s="68"/>
    </row>
    <row r="59" spans="2:81" ht="15" customHeight="1">
      <c r="B59" s="68"/>
      <c r="C59" s="527"/>
      <c r="D59" s="527"/>
      <c r="E59" s="528"/>
      <c r="F59" s="570"/>
      <c r="G59" s="571"/>
      <c r="H59" s="571"/>
      <c r="I59" s="571"/>
      <c r="J59" s="572"/>
      <c r="K59" s="62" t="str">
        <f>IF(AND('Mapa final'!$AH$58="Muy Baja",'Mapa final'!$AJ$58="Leve"),CONCATENATE("R2C",'Mapa final'!$R$58),"")</f>
        <v/>
      </c>
      <c r="L59" s="63" t="str">
        <f>IF(AND('Mapa final'!$AH$59="Muy Baja",'Mapa final'!$AJ$59="Leve"),CONCATENATE("R2C",'Mapa final'!$R$59),"")</f>
        <v/>
      </c>
      <c r="M59" s="63" t="str">
        <f>IF(AND('Mapa final'!$AH$60="Muy Baja",'Mapa final'!$AJ$60="Leve"),CONCATENATE("R2C",'Mapa final'!$R$60),"")</f>
        <v/>
      </c>
      <c r="N59" s="54" t="e">
        <f>IF(AND('Mapa final'!#REF!="Alta",'Mapa final'!#REF!="Leve"),CONCATENATE("R2C",'Mapa final'!#REF!),"")</f>
        <v>#REF!</v>
      </c>
      <c r="O59" s="63" t="str">
        <f>IF(AND('Mapa final'!$AH$62="Muy Baja",'Mapa final'!$AJ$62="Leve"),CONCATENATE("R2C",'Mapa final'!$R$62),"")</f>
        <v/>
      </c>
      <c r="P59" s="64" t="str">
        <f>IF(AND('Mapa final'!$AH$63="Muy Baja",'Mapa final'!$AJ$63="Leve"),CONCATENATE("R2C",'Mapa final'!$R$63),"")</f>
        <v/>
      </c>
      <c r="Q59" s="62" t="str">
        <f>IF(AND('Mapa final'!$AH$58="Muy Baja",'Mapa final'!$AJ$58="Menor"),CONCATENATE("R2C",'Mapa final'!$R$58),"")</f>
        <v/>
      </c>
      <c r="R59" s="63" t="str">
        <f>IF(AND('Mapa final'!$AH$59="Muy Baja",'Mapa final'!$AJ$59="Menor"),CONCATENATE("R2C",'Mapa final'!$R$59),"")</f>
        <v/>
      </c>
      <c r="S59" s="63" t="str">
        <f>IF(AND('Mapa final'!$AH$60="Muy Baja",'Mapa final'!$AJ$60="Menor"),CONCATENATE("R2C",'Mapa final'!$R$60),"")</f>
        <v/>
      </c>
      <c r="T59" s="63" t="str">
        <f>IF(AND('Mapa final'!$AH$61="Muy Baja",'Mapa final'!$AJ$61="Menor"),CONCATENATE("R2C",'Mapa final'!$R$61),"")</f>
        <v/>
      </c>
      <c r="U59" s="63" t="str">
        <f>IF(AND('Mapa final'!$AH$62="Muy Baja",'Mapa final'!$AJ$62="Menor"),CONCATENATE("R2C",'Mapa final'!$R$62),"")</f>
        <v/>
      </c>
      <c r="V59" s="64" t="str">
        <f>IF(AND('Mapa final'!$AH$63="Muy Baja",'Mapa final'!$AJ$63="Menor"),CONCATENATE("R2C",'Mapa final'!$R$63),"")</f>
        <v/>
      </c>
      <c r="W59" s="53" t="str">
        <f>IF(AND('Mapa final'!$AH$58="Muy Baja",'Mapa final'!$AJ$58="Moderado"),CONCATENATE("R2C",'Mapa final'!$R$58),"")</f>
        <v/>
      </c>
      <c r="X59" s="54" t="str">
        <f>IF(AND('Mapa final'!$AH$59="Muy Baja",'Mapa final'!$AJ$59="Moderado"),CONCATENATE("R2C",'Mapa final'!$R$59),"")</f>
        <v/>
      </c>
      <c r="Y59" s="54" t="str">
        <f>IF(AND('Mapa final'!$AH$60="Muy Baja",'Mapa final'!$AJ$60="Moderado"),CONCATENATE("R2C",'Mapa final'!$R$60),"")</f>
        <v/>
      </c>
      <c r="Z59" s="54" t="str">
        <f>IF(AND('Mapa final'!$AH$61="Muy Baja",'Mapa final'!$AJ$61="Moderado"),CONCATENATE("R2C",'Mapa final'!$R$61),"")</f>
        <v/>
      </c>
      <c r="AA59" s="54" t="str">
        <f>IF(AND('Mapa final'!$AH$62="Muy Baja",'Mapa final'!$AJ$62="Moderado"),CONCATENATE("R2C",'Mapa final'!$R$62),"")</f>
        <v/>
      </c>
      <c r="AB59" s="55" t="str">
        <f>IF(AND('Mapa final'!$AH$63="Muy Baja",'Mapa final'!$AJ$63="Moderado"),CONCATENATE("R2C",'Mapa final'!$R$63),"")</f>
        <v/>
      </c>
      <c r="AC59" s="38" t="str">
        <f>IF(AND('Mapa final'!$AH$58="Muy Baja",'Mapa final'!$AJ$58="Mayor"),CONCATENATE("R2C",'Mapa final'!$R$58),"")</f>
        <v/>
      </c>
      <c r="AD59" s="39" t="str">
        <f>IF(AND('Mapa final'!$AH$59="Muy Baja",'Mapa final'!$AJ$59="Mayor"),CONCATENATE("R2C",'Mapa final'!$R$59),"")</f>
        <v/>
      </c>
      <c r="AE59" s="39" t="str">
        <f>IF(AND('Mapa final'!$AH$60="Muy Baja",'Mapa final'!$AJ$60="Mayor"),CONCATENATE("R2C",'Mapa final'!$R$60),"")</f>
        <v/>
      </c>
      <c r="AF59" s="39" t="str">
        <f>IF(AND('Mapa final'!$AH$61="Muy Baja",'Mapa final'!$AJ$61="Mayor"),CONCATENATE("R2C",'Mapa final'!$R$61),"")</f>
        <v/>
      </c>
      <c r="AG59" s="39" t="str">
        <f>IF(AND('Mapa final'!$AH$62="Muy Baja",'Mapa final'!$AJ$62="Mayor"),CONCATENATE("R2C",'Mapa final'!$R$62),"")</f>
        <v/>
      </c>
      <c r="AH59" s="40" t="str">
        <f>IF(AND('Mapa final'!$AH$63="Muy Baja",'Mapa final'!$AJ$63="Mayor"),CONCATENATE("R2C",'Mapa final'!$R$63),"")</f>
        <v/>
      </c>
      <c r="AI59" s="41" t="str">
        <f>IF(AND('Mapa final'!$AH$58="Muy Baja",'Mapa final'!$AJ$58="Catastrófico"),CONCATENATE("R2C",'Mapa final'!$R$58),"")</f>
        <v/>
      </c>
      <c r="AJ59" s="42" t="str">
        <f>IF(AND('Mapa final'!$AH$59="Muy Baja",'Mapa final'!$AJ$59="Catastrófico"),CONCATENATE("R2C",'Mapa final'!$R$59),"")</f>
        <v/>
      </c>
      <c r="AK59" s="42" t="str">
        <f>IF(AND('Mapa final'!$AH$60="Muy Baja",'Mapa final'!$AJ$60="Catastrófico"),CONCATENATE("R2C",'Mapa final'!$R$60),"")</f>
        <v/>
      </c>
      <c r="AL59" s="42" t="str">
        <f>IF(AND('Mapa final'!$AH$61="Muy Baja",'Mapa final'!$AJ$61="Catastrófico"),CONCATENATE("R2C",'Mapa final'!$R$61),"")</f>
        <v/>
      </c>
      <c r="AM59" s="42" t="str">
        <f>IF(AND('Mapa final'!$AH$62="Muy Baja",'Mapa final'!$AJ$62="Catastrófico"),CONCATENATE("R2C",'Mapa final'!$R$62),"")</f>
        <v/>
      </c>
      <c r="AN59" s="43" t="str">
        <f>IF(AND('Mapa final'!$AH$63="Muy Baja",'Mapa final'!$AJ$63="Catastrófico"),CONCATENATE("R2C",'Mapa final'!$R$63),"")</f>
        <v/>
      </c>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row>
    <row r="60" spans="2:81" ht="15" customHeight="1">
      <c r="B60" s="68"/>
      <c r="C60" s="527"/>
      <c r="D60" s="527"/>
      <c r="E60" s="528"/>
      <c r="F60" s="570"/>
      <c r="G60" s="571"/>
      <c r="H60" s="571"/>
      <c r="I60" s="571"/>
      <c r="J60" s="572"/>
      <c r="K60" s="62" t="str">
        <f>IF(AND('Mapa final'!$AH$64="Muy Baja",'Mapa final'!$AJ$64="Leve"),CONCATENATE("R2C",'Mapa final'!$R$64),"")</f>
        <v/>
      </c>
      <c r="L60" s="63" t="str">
        <f>IF(AND('Mapa final'!$AH$65="Muy Baja",'Mapa final'!$AJ$65="Leve"),CONCATENATE("R2C",'Mapa final'!$R$65),"")</f>
        <v/>
      </c>
      <c r="M60" s="63" t="str">
        <f>IF(AND('Mapa final'!$AH$66="Muy Baja",'Mapa final'!$AJ$66="Leve"),CONCATENATE("R2C",'Mapa final'!$R$66),"")</f>
        <v/>
      </c>
      <c r="N60" s="54" t="e">
        <f>IF(AND('Mapa final'!#REF!="Alta",'Mapa final'!#REF!="Leve"),CONCATENATE("R2C",'Mapa final'!#REF!),"")</f>
        <v>#REF!</v>
      </c>
      <c r="O60" s="63" t="str">
        <f>IF(AND('Mapa final'!$AH$68="Muy Baja",'Mapa final'!$AJ$68="Leve"),CONCATENATE("R2C",'Mapa final'!$R$68),"")</f>
        <v/>
      </c>
      <c r="P60" s="64" t="str">
        <f>IF(AND('Mapa final'!$AH$69="Muy Baja",'Mapa final'!$AJ$69="Leve"),CONCATENATE("R2C",'Mapa final'!$R$69),"")</f>
        <v/>
      </c>
      <c r="Q60" s="62" t="str">
        <f>IF(AND('Mapa final'!$AH$64="Muy Baja",'Mapa final'!$AJ$64="Menor"),CONCATENATE("R2C",'Mapa final'!$R$64),"")</f>
        <v/>
      </c>
      <c r="R60" s="63" t="str">
        <f>IF(AND('Mapa final'!$AH$65="Muy Baja",'Mapa final'!$AJ$65="Menor"),CONCATENATE("R2C",'Mapa final'!$R$65),"")</f>
        <v/>
      </c>
      <c r="S60" s="63" t="str">
        <f>IF(AND('Mapa final'!$AH$66="Muy Baja",'Mapa final'!$AJ$66="Menor"),CONCATENATE("R2C",'Mapa final'!$R$66),"")</f>
        <v/>
      </c>
      <c r="T60" s="63" t="str">
        <f>IF(AND('Mapa final'!$AH$67="Muy Baja",'Mapa final'!$AJ$67="Menor"),CONCATENATE("R2C",'Mapa final'!$R$67),"")</f>
        <v/>
      </c>
      <c r="U60" s="63" t="str">
        <f>IF(AND('Mapa final'!$AH$68="Muy Baja",'Mapa final'!$AJ$68="Menor"),CONCATENATE("R2C",'Mapa final'!$R$68),"")</f>
        <v/>
      </c>
      <c r="V60" s="64" t="str">
        <f>IF(AND('Mapa final'!$AH$69="Muy Baja",'Mapa final'!$AJ$69="Menor"),CONCATENATE("R2C",'Mapa final'!$R$69),"")</f>
        <v/>
      </c>
      <c r="W60" s="53" t="str">
        <f>IF(AND('Mapa final'!$AH$64="Muy Baja",'Mapa final'!$AJ$64="Moderado"),CONCATENATE("R2C",'Mapa final'!$R$64),"")</f>
        <v/>
      </c>
      <c r="X60" s="54" t="str">
        <f>IF(AND('Mapa final'!$AH$65="Muy Baja",'Mapa final'!$AJ$65="Moderado"),CONCATENATE("R2C",'Mapa final'!$R$65),"")</f>
        <v/>
      </c>
      <c r="Y60" s="54" t="str">
        <f>IF(AND('Mapa final'!$AH$66="Muy Baja",'Mapa final'!$AJ$66="Moderado"),CONCATENATE("R2C",'Mapa final'!$R$66),"")</f>
        <v/>
      </c>
      <c r="Z60" s="54" t="str">
        <f>IF(AND('Mapa final'!$AH$67="Muy Baja",'Mapa final'!$AJ$67="Moderado"),CONCATENATE("R2C",'Mapa final'!$R$67),"")</f>
        <v/>
      </c>
      <c r="AA60" s="54" t="str">
        <f>IF(AND('Mapa final'!$AH$68="Muy Baja",'Mapa final'!$AJ$68="Moderado"),CONCATENATE("R2C",'Mapa final'!$R$68),"")</f>
        <v/>
      </c>
      <c r="AB60" s="55" t="str">
        <f>IF(AND('Mapa final'!$AH$69="Muy Baja",'Mapa final'!$AJ$69="Moderado"),CONCATENATE("R2C",'Mapa final'!$R$69),"")</f>
        <v/>
      </c>
      <c r="AC60" s="38" t="str">
        <f>IF(AND('Mapa final'!$AH$64="Muy Baja",'Mapa final'!$AJ$64="Mayor"),CONCATENATE("R2C",'Mapa final'!$R$64),"")</f>
        <v/>
      </c>
      <c r="AD60" s="39" t="str">
        <f>IF(AND('Mapa final'!$AH$65="Muy Baja",'Mapa final'!$AJ$65="Mayor"),CONCATENATE("R2C",'Mapa final'!$R$65),"")</f>
        <v/>
      </c>
      <c r="AE60" s="39" t="str">
        <f>IF(AND('Mapa final'!$AH$66="Muy Baja",'Mapa final'!$AJ$66="Mayor"),CONCATENATE("R2C",'Mapa final'!$R$66),"")</f>
        <v/>
      </c>
      <c r="AF60" s="39" t="str">
        <f>IF(AND('Mapa final'!$AH$67="Muy Baja",'Mapa final'!$AJ$67="Mayor"),CONCATENATE("R2C",'Mapa final'!$R$67),"")</f>
        <v/>
      </c>
      <c r="AG60" s="39" t="str">
        <f>IF(AND('Mapa final'!$AH$68="Muy Baja",'Mapa final'!$AJ$68="Mayor"),CONCATENATE("R2C",'Mapa final'!$R$68),"")</f>
        <v/>
      </c>
      <c r="AH60" s="40" t="str">
        <f>IF(AND('Mapa final'!$AH$69="Muy Baja",'Mapa final'!$AJ$69="Mayor"),CONCATENATE("R2C",'Mapa final'!$R$69),"")</f>
        <v/>
      </c>
      <c r="AI60" s="41" t="str">
        <f>IF(AND('Mapa final'!$AH$64="Muy Baja",'Mapa final'!$AJ$64="Catastrófico"),CONCATENATE("R2C",'Mapa final'!$R$64),"")</f>
        <v/>
      </c>
      <c r="AJ60" s="42" t="str">
        <f>IF(AND('Mapa final'!$AH$65="Muy Baja",'Mapa final'!$AJ$65="Catastrófico"),CONCATENATE("R2C",'Mapa final'!$R$65),"")</f>
        <v/>
      </c>
      <c r="AK60" s="42" t="str">
        <f>IF(AND('Mapa final'!$AH$66="Muy Baja",'Mapa final'!$AJ$66="Catastrófico"),CONCATENATE("R2C",'Mapa final'!$R$66),"")</f>
        <v/>
      </c>
      <c r="AL60" s="42" t="str">
        <f>IF(AND('Mapa final'!$AH$67="Muy Baja",'Mapa final'!$AJ$67="Catastrófico"),CONCATENATE("R2C",'Mapa final'!$R$67),"")</f>
        <v/>
      </c>
      <c r="AM60" s="42" t="str">
        <f>IF(AND('Mapa final'!$AH$68="Muy Baja",'Mapa final'!$AJ$68="Catastrófico"),CONCATENATE("R2C",'Mapa final'!$R$68),"")</f>
        <v/>
      </c>
      <c r="AN60" s="43" t="str">
        <f>IF(AND('Mapa final'!$AH$69="Muy Baja",'Mapa final'!$AJ$69="Catastrófico"),CONCATENATE("R2C",'Mapa final'!$R$69),"")</f>
        <v/>
      </c>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row>
    <row r="61" spans="2:81" ht="15.75" customHeight="1" thickBot="1">
      <c r="B61" s="68"/>
      <c r="C61" s="527"/>
      <c r="D61" s="527"/>
      <c r="E61" s="528"/>
      <c r="F61" s="573"/>
      <c r="G61" s="574"/>
      <c r="H61" s="574"/>
      <c r="I61" s="574"/>
      <c r="J61" s="575"/>
      <c r="K61" s="65" t="str">
        <f>IF(AND('Mapa final'!$AH$70="Muy Baja",'Mapa final'!$AJ$70="Leve"),CONCATENATE("R2C",'Mapa final'!$R$70),"")</f>
        <v/>
      </c>
      <c r="L61" s="66" t="str">
        <f>IF(AND('Mapa final'!$AH$71="Muy Baja",'Mapa final'!$AJ$71="Leve"),CONCATENATE("R2C",'Mapa final'!$R$71),"")</f>
        <v/>
      </c>
      <c r="M61" s="66" t="str">
        <f>IF(AND('Mapa final'!$AH$72="Muy Baja",'Mapa final'!$AJ$72="Leve"),CONCATENATE("R2C",'Mapa final'!$R$72),"")</f>
        <v/>
      </c>
      <c r="N61" s="54" t="e">
        <f>IF(AND('Mapa final'!#REF!="Alta",'Mapa final'!#REF!="Leve"),CONCATENATE("R2C",'Mapa final'!#REF!),"")</f>
        <v>#REF!</v>
      </c>
      <c r="O61" s="66" t="str">
        <f>IF(AND('Mapa final'!$AH$75="Muy Baja",'Mapa final'!$AJ$75="Leve"),CONCATENATE("R2C",'Mapa final'!$R$75),"")</f>
        <v/>
      </c>
      <c r="P61" s="67" t="str">
        <f>IF(AND('Mapa final'!$AH$76="Muy Baja",'Mapa final'!$AJ$76="Leve"),CONCATENATE("R2C",'Mapa final'!$R$76),"")</f>
        <v/>
      </c>
      <c r="Q61" s="65" t="str">
        <f>IF(AND('Mapa final'!$AH$70="Muy Baja",'Mapa final'!$AJ$70="Menor"),CONCATENATE("R2C",'Mapa final'!$R$70),"")</f>
        <v/>
      </c>
      <c r="R61" s="66" t="str">
        <f>IF(AND('Mapa final'!$AH$71="Muy Baja",'Mapa final'!$AJ$71="Menor"),CONCATENATE("R2C",'Mapa final'!$R$71),"")</f>
        <v/>
      </c>
      <c r="S61" s="66" t="str">
        <f>IF(AND('Mapa final'!$AH$72="Muy Baja",'Mapa final'!$AJ$72="Menor"),CONCATENATE("R2C",'Mapa final'!$R$72),"")</f>
        <v/>
      </c>
      <c r="T61" s="66" t="str">
        <f>IF(AND('Mapa final'!$AH$73="Muy Baja",'Mapa final'!$AJ$73="Menor"),CONCATENATE("R2C",'Mapa final'!$R$73),"")</f>
        <v/>
      </c>
      <c r="U61" s="66" t="str">
        <f>IF(AND('Mapa final'!$AH$75="Muy Baja",'Mapa final'!$AJ$75="Menor"),CONCATENATE("R2C",'Mapa final'!$R$75),"")</f>
        <v/>
      </c>
      <c r="V61" s="67" t="str">
        <f>IF(AND('Mapa final'!$AH$76="Muy Baja",'Mapa final'!$AJ$76="Menor"),CONCATENATE("R2C",'Mapa final'!$R$76),"")</f>
        <v/>
      </c>
      <c r="W61" s="56" t="str">
        <f>IF(AND('Mapa final'!$AH$70="Muy Baja",'Mapa final'!$AJ$70="Moderado"),CONCATENATE("R2C",'Mapa final'!$R$70),"")</f>
        <v/>
      </c>
      <c r="X61" s="57" t="str">
        <f>IF(AND('Mapa final'!$AH$71="Muy Baja",'Mapa final'!$AJ$71="Moderado"),CONCATENATE("R2C",'Mapa final'!$R$71),"")</f>
        <v/>
      </c>
      <c r="Y61" s="57" t="str">
        <f>IF(AND('Mapa final'!$AH$72="Muy Baja",'Mapa final'!$AJ$72="Moderado"),CONCATENATE("R2C",'Mapa final'!$R$72),"")</f>
        <v/>
      </c>
      <c r="Z61" s="57" t="str">
        <f>IF(AND('Mapa final'!$AH$73="Muy Baja",'Mapa final'!$AJ$73="Moderado"),CONCATENATE("R2C",'Mapa final'!$R$73),"")</f>
        <v/>
      </c>
      <c r="AA61" s="57" t="str">
        <f>IF(AND('Mapa final'!$AH$75="Muy Baja",'Mapa final'!$AJ$75="Moderado"),CONCATENATE("R2C",'Mapa final'!$R$75),"")</f>
        <v/>
      </c>
      <c r="AB61" s="58" t="str">
        <f>IF(AND('Mapa final'!$AH$76="Muy Baja",'Mapa final'!$AJ$76="Moderado"),CONCATENATE("R2C",'Mapa final'!$R$76),"")</f>
        <v/>
      </c>
      <c r="AC61" s="44" t="str">
        <f>IF(AND('Mapa final'!$AH$70="Muy Baja",'Mapa final'!$AJ$70="Mayor"),CONCATENATE("R2C",'Mapa final'!$R$70),"")</f>
        <v/>
      </c>
      <c r="AD61" s="45" t="str">
        <f>IF(AND('Mapa final'!$AH$71="Muy Baja",'Mapa final'!$AJ$71="Mayor"),CONCATENATE("R2C",'Mapa final'!$R$71),"")</f>
        <v/>
      </c>
      <c r="AE61" s="45" t="str">
        <f>IF(AND('Mapa final'!$AH$72="Muy Baja",'Mapa final'!$AJ$72="Mayor"),CONCATENATE("R2C",'Mapa final'!$R$72),"")</f>
        <v/>
      </c>
      <c r="AF61" s="45" t="str">
        <f>IF(AND('Mapa final'!$AH$73="Muy Baja",'Mapa final'!$AJ$73="Mayor"),CONCATENATE("R2C",'Mapa final'!$R$73),"")</f>
        <v/>
      </c>
      <c r="AG61" s="45" t="str">
        <f>IF(AND('Mapa final'!$AH$75="Muy Baja",'Mapa final'!$AJ$75="Mayor"),CONCATENATE("R2C",'Mapa final'!$R$75),"")</f>
        <v/>
      </c>
      <c r="AH61" s="46" t="str">
        <f>IF(AND('Mapa final'!$AH$76="Muy Baja",'Mapa final'!$AJ$76="Mayor"),CONCATENATE("R2C",'Mapa final'!$R$76),"")</f>
        <v/>
      </c>
      <c r="AI61" s="47" t="str">
        <f>IF(AND('Mapa final'!$AH$70="Muy Baja",'Mapa final'!$AJ$70="Catastrófico"),CONCATENATE("R2C",'Mapa final'!$R$70),"")</f>
        <v/>
      </c>
      <c r="AJ61" s="48" t="str">
        <f>IF(AND('Mapa final'!$AH$71="Muy Baja",'Mapa final'!$AJ$71="Catastrófico"),CONCATENATE("R2C",'Mapa final'!$R$71),"")</f>
        <v/>
      </c>
      <c r="AK61" s="48" t="str">
        <f>IF(AND('Mapa final'!$AH$72="Muy Baja",'Mapa final'!$AJ$72="Catastrófico"),CONCATENATE("R2C",'Mapa final'!$R$72),"")</f>
        <v/>
      </c>
      <c r="AL61" s="48" t="str">
        <f>IF(AND('Mapa final'!$AH$73="Muy Baja",'Mapa final'!$AJ$73="Catastrófico"),CONCATENATE("R2C",'Mapa final'!$R$73),"")</f>
        <v/>
      </c>
      <c r="AM61" s="48" t="str">
        <f>IF(AND('Mapa final'!$AH$75="Muy Baja",'Mapa final'!$AJ$75="Catastrófico"),CONCATENATE("R2C",'Mapa final'!$R$75),"")</f>
        <v/>
      </c>
      <c r="AN61" s="49" t="str">
        <f>IF(AND('Mapa final'!$AH$76="Muy Baja",'Mapa final'!$AJ$76="Catastrófico"),CONCATENATE("R2C",'Mapa final'!$R$76),"")</f>
        <v/>
      </c>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row>
    <row r="62" spans="2:81">
      <c r="B62" s="68"/>
      <c r="C62" s="68"/>
      <c r="D62" s="68"/>
      <c r="E62" s="68"/>
      <c r="F62" s="68"/>
      <c r="G62" s="68"/>
      <c r="H62" s="68"/>
      <c r="I62" s="68"/>
      <c r="J62" s="68"/>
      <c r="K62" s="567" t="s">
        <v>260</v>
      </c>
      <c r="L62" s="568"/>
      <c r="M62" s="568"/>
      <c r="N62" s="568"/>
      <c r="O62" s="568"/>
      <c r="P62" s="569"/>
      <c r="Q62" s="567" t="s">
        <v>261</v>
      </c>
      <c r="R62" s="568"/>
      <c r="S62" s="568"/>
      <c r="T62" s="568"/>
      <c r="U62" s="568"/>
      <c r="V62" s="569"/>
      <c r="W62" s="567" t="s">
        <v>262</v>
      </c>
      <c r="X62" s="568"/>
      <c r="Y62" s="568"/>
      <c r="Z62" s="568"/>
      <c r="AA62" s="568"/>
      <c r="AB62" s="569"/>
      <c r="AC62" s="567" t="s">
        <v>263</v>
      </c>
      <c r="AD62" s="576"/>
      <c r="AE62" s="568"/>
      <c r="AF62" s="568"/>
      <c r="AG62" s="568"/>
      <c r="AH62" s="569"/>
      <c r="AI62" s="567" t="s">
        <v>264</v>
      </c>
      <c r="AJ62" s="568"/>
      <c r="AK62" s="568"/>
      <c r="AL62" s="568"/>
      <c r="AM62" s="568"/>
      <c r="AN62" s="569"/>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row>
    <row r="63" spans="2:81">
      <c r="B63" s="68"/>
      <c r="C63" s="68"/>
      <c r="D63" s="68"/>
      <c r="E63" s="68"/>
      <c r="F63" s="68"/>
      <c r="G63" s="68"/>
      <c r="H63" s="68"/>
      <c r="I63" s="68"/>
      <c r="J63" s="68"/>
      <c r="K63" s="570"/>
      <c r="L63" s="571"/>
      <c r="M63" s="571"/>
      <c r="N63" s="571"/>
      <c r="O63" s="571"/>
      <c r="P63" s="572"/>
      <c r="Q63" s="570"/>
      <c r="R63" s="571"/>
      <c r="S63" s="571"/>
      <c r="T63" s="571"/>
      <c r="U63" s="571"/>
      <c r="V63" s="572"/>
      <c r="W63" s="570"/>
      <c r="X63" s="571"/>
      <c r="Y63" s="571"/>
      <c r="Z63" s="571"/>
      <c r="AA63" s="571"/>
      <c r="AB63" s="572"/>
      <c r="AC63" s="570"/>
      <c r="AD63" s="571"/>
      <c r="AE63" s="571"/>
      <c r="AF63" s="571"/>
      <c r="AG63" s="571"/>
      <c r="AH63" s="572"/>
      <c r="AI63" s="570"/>
      <c r="AJ63" s="571"/>
      <c r="AK63" s="571"/>
      <c r="AL63" s="571"/>
      <c r="AM63" s="571"/>
      <c r="AN63" s="572"/>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row>
    <row r="64" spans="2:81">
      <c r="B64" s="68"/>
      <c r="C64" s="68"/>
      <c r="D64" s="68"/>
      <c r="E64" s="68"/>
      <c r="F64" s="68"/>
      <c r="G64" s="68"/>
      <c r="H64" s="68"/>
      <c r="I64" s="68"/>
      <c r="J64" s="68"/>
      <c r="K64" s="570"/>
      <c r="L64" s="571"/>
      <c r="M64" s="571"/>
      <c r="N64" s="571"/>
      <c r="O64" s="571"/>
      <c r="P64" s="572"/>
      <c r="Q64" s="570"/>
      <c r="R64" s="571"/>
      <c r="S64" s="571"/>
      <c r="T64" s="571"/>
      <c r="U64" s="571"/>
      <c r="V64" s="572"/>
      <c r="W64" s="570"/>
      <c r="X64" s="571"/>
      <c r="Y64" s="571"/>
      <c r="Z64" s="571"/>
      <c r="AA64" s="571"/>
      <c r="AB64" s="572"/>
      <c r="AC64" s="570"/>
      <c r="AD64" s="571"/>
      <c r="AE64" s="571"/>
      <c r="AF64" s="571"/>
      <c r="AG64" s="571"/>
      <c r="AH64" s="572"/>
      <c r="AI64" s="570"/>
      <c r="AJ64" s="571"/>
      <c r="AK64" s="571"/>
      <c r="AL64" s="571"/>
      <c r="AM64" s="571"/>
      <c r="AN64" s="572"/>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row>
    <row r="65" spans="2:81">
      <c r="B65" s="68"/>
      <c r="C65" s="68"/>
      <c r="D65" s="68"/>
      <c r="E65" s="68"/>
      <c r="F65" s="68"/>
      <c r="G65" s="68"/>
      <c r="H65" s="68"/>
      <c r="I65" s="68"/>
      <c r="J65" s="68"/>
      <c r="K65" s="570"/>
      <c r="L65" s="571"/>
      <c r="M65" s="571"/>
      <c r="N65" s="571"/>
      <c r="O65" s="571"/>
      <c r="P65" s="572"/>
      <c r="Q65" s="570"/>
      <c r="R65" s="571"/>
      <c r="S65" s="571"/>
      <c r="T65" s="571"/>
      <c r="U65" s="571"/>
      <c r="V65" s="572"/>
      <c r="W65" s="570"/>
      <c r="X65" s="571"/>
      <c r="Y65" s="571"/>
      <c r="Z65" s="571"/>
      <c r="AA65" s="571"/>
      <c r="AB65" s="572"/>
      <c r="AC65" s="570"/>
      <c r="AD65" s="571"/>
      <c r="AE65" s="571"/>
      <c r="AF65" s="571"/>
      <c r="AG65" s="571"/>
      <c r="AH65" s="572"/>
      <c r="AI65" s="570"/>
      <c r="AJ65" s="571"/>
      <c r="AK65" s="571"/>
      <c r="AL65" s="571"/>
      <c r="AM65" s="571"/>
      <c r="AN65" s="572"/>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row>
    <row r="66" spans="2:81">
      <c r="B66" s="68"/>
      <c r="C66" s="68"/>
      <c r="D66" s="68"/>
      <c r="E66" s="68"/>
      <c r="F66" s="68"/>
      <c r="G66" s="68"/>
      <c r="H66" s="68"/>
      <c r="I66" s="68"/>
      <c r="J66" s="68"/>
      <c r="K66" s="570"/>
      <c r="L66" s="571"/>
      <c r="M66" s="571"/>
      <c r="N66" s="571"/>
      <c r="O66" s="571"/>
      <c r="P66" s="572"/>
      <c r="Q66" s="570"/>
      <c r="R66" s="571"/>
      <c r="S66" s="571"/>
      <c r="T66" s="571"/>
      <c r="U66" s="571"/>
      <c r="V66" s="572"/>
      <c r="W66" s="570"/>
      <c r="X66" s="571"/>
      <c r="Y66" s="571"/>
      <c r="Z66" s="571"/>
      <c r="AA66" s="571"/>
      <c r="AB66" s="572"/>
      <c r="AC66" s="570"/>
      <c r="AD66" s="571"/>
      <c r="AE66" s="571"/>
      <c r="AF66" s="571"/>
      <c r="AG66" s="571"/>
      <c r="AH66" s="572"/>
      <c r="AI66" s="570"/>
      <c r="AJ66" s="571"/>
      <c r="AK66" s="571"/>
      <c r="AL66" s="571"/>
      <c r="AM66" s="571"/>
      <c r="AN66" s="572"/>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row>
    <row r="67" spans="2:81" ht="16" thickBot="1">
      <c r="B67" s="68"/>
      <c r="C67" s="68"/>
      <c r="D67" s="68"/>
      <c r="E67" s="68"/>
      <c r="F67" s="68"/>
      <c r="G67" s="68"/>
      <c r="H67" s="68"/>
      <c r="I67" s="68"/>
      <c r="J67" s="68"/>
      <c r="K67" s="573"/>
      <c r="L67" s="574"/>
      <c r="M67" s="574"/>
      <c r="N67" s="574"/>
      <c r="O67" s="574"/>
      <c r="P67" s="575"/>
      <c r="Q67" s="573"/>
      <c r="R67" s="574"/>
      <c r="S67" s="574"/>
      <c r="T67" s="574"/>
      <c r="U67" s="574"/>
      <c r="V67" s="575"/>
      <c r="W67" s="573"/>
      <c r="X67" s="574"/>
      <c r="Y67" s="574"/>
      <c r="Z67" s="574"/>
      <c r="AA67" s="574"/>
      <c r="AB67" s="575"/>
      <c r="AC67" s="573"/>
      <c r="AD67" s="574"/>
      <c r="AE67" s="574"/>
      <c r="AF67" s="574"/>
      <c r="AG67" s="574"/>
      <c r="AH67" s="575"/>
      <c r="AI67" s="573"/>
      <c r="AJ67" s="574"/>
      <c r="AK67" s="574"/>
      <c r="AL67" s="574"/>
      <c r="AM67" s="574"/>
      <c r="AN67" s="575"/>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row>
    <row r="68" spans="2:81">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row>
    <row r="69" spans="2:81" ht="15" customHeight="1">
      <c r="B69" s="68"/>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68"/>
      <c r="AW69" s="68"/>
      <c r="AX69" s="68"/>
      <c r="AY69" s="68"/>
      <c r="AZ69" s="68"/>
      <c r="BA69" s="68"/>
      <c r="BB69" s="68"/>
      <c r="BC69" s="68"/>
      <c r="BD69" s="68"/>
      <c r="BE69" s="68"/>
      <c r="BF69" s="68"/>
      <c r="BG69" s="68"/>
      <c r="BH69" s="68"/>
      <c r="BI69" s="68"/>
    </row>
    <row r="70" spans="2:81" ht="15" customHeight="1">
      <c r="B70" s="68"/>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68"/>
      <c r="AW70" s="68"/>
      <c r="AX70" s="68"/>
      <c r="AY70" s="68"/>
      <c r="AZ70" s="68"/>
      <c r="BA70" s="68"/>
      <c r="BB70" s="68"/>
      <c r="BC70" s="68"/>
      <c r="BD70" s="68"/>
      <c r="BE70" s="68"/>
      <c r="BF70" s="68"/>
      <c r="BG70" s="68"/>
      <c r="BH70" s="68"/>
      <c r="BI70" s="68"/>
    </row>
    <row r="71" spans="2:81">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row>
    <row r="72" spans="2:81">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row>
    <row r="73" spans="2:81">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row>
    <row r="74" spans="2:81">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row>
    <row r="75" spans="2:81">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row>
    <row r="76" spans="2:81">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row>
    <row r="77" spans="2:81">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row>
    <row r="78" spans="2:81">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row>
    <row r="79" spans="2:81">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row>
    <row r="80" spans="2:81">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row>
    <row r="81" spans="2:61">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row>
    <row r="82" spans="2:61">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row>
    <row r="83" spans="2:61">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row>
    <row r="84" spans="2:61">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row>
    <row r="85" spans="2:61">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row>
    <row r="86" spans="2:61">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row>
    <row r="87" spans="2:61">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row>
    <row r="88" spans="2:61">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row>
    <row r="89" spans="2:61">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row>
    <row r="90" spans="2:61">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row>
    <row r="91" spans="2:61">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row>
    <row r="92" spans="2:61">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row>
    <row r="93" spans="2:61">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row>
    <row r="94" spans="2:61">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row>
    <row r="95" spans="2:61">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row>
    <row r="96" spans="2:61">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row>
    <row r="97" spans="2:61">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row>
    <row r="98" spans="2:61">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row>
    <row r="99" spans="2:61">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row>
    <row r="100" spans="2:61">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row>
    <row r="101" spans="2:61">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row>
    <row r="102" spans="2:61">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row>
    <row r="103" spans="2:61">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row>
    <row r="104" spans="2:61">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row>
    <row r="105" spans="2:61">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row>
    <row r="106" spans="2:61">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row>
    <row r="107" spans="2:61">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row>
    <row r="108" spans="2:61">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row>
    <row r="109" spans="2:61">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row>
    <row r="110" spans="2:61">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row>
    <row r="111" spans="2:61">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row>
    <row r="112" spans="2:61">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row>
    <row r="113" spans="2:61">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row>
    <row r="114" spans="2:61">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row>
    <row r="115" spans="2:61">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row>
    <row r="116" spans="2:61">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row>
    <row r="117" spans="2:61">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row>
    <row r="118" spans="2:61">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row>
    <row r="119" spans="2:61">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row>
    <row r="120" spans="2:61">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row>
    <row r="121" spans="2:61">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row>
    <row r="122" spans="2:61">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row>
    <row r="123" spans="2:61">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row>
    <row r="124" spans="2:61">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row>
    <row r="125" spans="2:61">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row>
    <row r="126" spans="2:61">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row>
    <row r="127" spans="2:61">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row>
    <row r="128" spans="2:61">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row>
    <row r="129" spans="2:61">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row>
    <row r="130" spans="2:61">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row>
    <row r="131" spans="2:61">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row>
    <row r="132" spans="2:61">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row>
    <row r="133" spans="2:61">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row>
    <row r="134" spans="2:61">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row>
    <row r="135" spans="2:61">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row>
    <row r="136" spans="2:61">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row>
    <row r="137" spans="2:61">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row>
    <row r="138" spans="2:61">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row>
    <row r="139" spans="2:61">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row>
    <row r="140" spans="2:61">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row>
    <row r="141" spans="2:61">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row>
    <row r="142" spans="2:61">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row>
    <row r="143" spans="2:61">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row>
    <row r="144" spans="2:61">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row>
    <row r="145" spans="2:61">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row>
    <row r="146" spans="2:61">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row>
    <row r="147" spans="2:61">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row>
    <row r="148" spans="2:61">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row>
    <row r="149" spans="2:61">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row>
    <row r="150" spans="2:61">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row>
    <row r="151" spans="2:61">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row>
    <row r="152" spans="2:61">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row>
    <row r="153" spans="2:61">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row>
    <row r="154" spans="2:61">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row>
    <row r="155" spans="2:61">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row>
    <row r="156" spans="2:61">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row>
    <row r="157" spans="2:61">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row>
    <row r="158" spans="2:61">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row>
    <row r="159" spans="2:61">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row>
    <row r="160" spans="2:61">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row>
    <row r="161" spans="2:61">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row>
    <row r="162" spans="2:61">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row>
    <row r="163" spans="2:61">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row>
    <row r="164" spans="2:61">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row>
    <row r="165" spans="2:61">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row>
    <row r="166" spans="2:61">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row>
    <row r="167" spans="2:61">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row>
    <row r="168" spans="2:61">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row>
    <row r="169" spans="2:61">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row>
    <row r="170" spans="2:61">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row>
    <row r="171" spans="2:61">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row>
    <row r="172" spans="2:61">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row>
    <row r="173" spans="2:61">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row>
    <row r="174" spans="2:61">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row>
    <row r="175" spans="2:61">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row>
    <row r="176" spans="2:61">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row>
    <row r="177" spans="2:61">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row>
    <row r="178" spans="2:61">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row>
    <row r="179" spans="2:61">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row>
    <row r="180" spans="2:61">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row>
    <row r="181" spans="2:61">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row>
    <row r="182" spans="2:61">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row>
    <row r="183" spans="2:61">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row>
    <row r="184" spans="2:61">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row>
    <row r="185" spans="2:61">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row>
    <row r="186" spans="2:61">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row>
    <row r="187" spans="2:61">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row>
    <row r="188" spans="2:61">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row>
    <row r="189" spans="2:61">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row>
    <row r="190" spans="2:61">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row>
    <row r="191" spans="2:61">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row>
    <row r="192" spans="2:61">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row>
    <row r="193" spans="2:61">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row>
    <row r="194" spans="2:61">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row>
    <row r="195" spans="2:61">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row>
    <row r="196" spans="2:61">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row>
    <row r="197" spans="2:61">
      <c r="B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row>
    <row r="198" spans="2:61">
      <c r="B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row>
    <row r="199" spans="2:61">
      <c r="B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row>
    <row r="200" spans="2:61">
      <c r="B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row>
    <row r="201" spans="2:61">
      <c r="B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row>
    <row r="202" spans="2:61">
      <c r="B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row>
    <row r="203" spans="2:61">
      <c r="B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row>
    <row r="204" spans="2:61">
      <c r="B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row>
    <row r="205" spans="2:61">
      <c r="B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row>
    <row r="206" spans="2:61">
      <c r="B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row>
    <row r="207" spans="2:61">
      <c r="B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row>
    <row r="208" spans="2:61">
      <c r="B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row>
    <row r="209" spans="2:61">
      <c r="B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row>
    <row r="210" spans="2:61">
      <c r="B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row>
    <row r="211" spans="2:61">
      <c r="B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row>
    <row r="212" spans="2:61">
      <c r="B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row>
    <row r="213" spans="2:61">
      <c r="B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row>
    <row r="214" spans="2:61">
      <c r="B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row>
    <row r="215" spans="2:61">
      <c r="B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row>
    <row r="216" spans="2:61">
      <c r="B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row>
    <row r="217" spans="2:61">
      <c r="B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row>
    <row r="218" spans="2:61">
      <c r="B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row>
    <row r="219" spans="2:61">
      <c r="B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row>
    <row r="220" spans="2:61">
      <c r="B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row>
    <row r="221" spans="2:61">
      <c r="B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row>
    <row r="222" spans="2:61">
      <c r="B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row>
    <row r="223" spans="2:61">
      <c r="B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row>
    <row r="224" spans="2:61">
      <c r="B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row>
    <row r="225" spans="2:61">
      <c r="B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row>
    <row r="226" spans="2:61">
      <c r="B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row>
    <row r="227" spans="2:61">
      <c r="B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row>
    <row r="228" spans="2:61">
      <c r="B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row>
    <row r="229" spans="2:61">
      <c r="B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row>
    <row r="230" spans="2:61">
      <c r="B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row>
    <row r="231" spans="2:61">
      <c r="B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row>
    <row r="232" spans="2:61">
      <c r="B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row>
    <row r="233" spans="2:61">
      <c r="B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row>
    <row r="234" spans="2:61">
      <c r="B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row>
    <row r="235" spans="2:61">
      <c r="B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row>
    <row r="236" spans="2:61">
      <c r="B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row>
    <row r="237" spans="2:61">
      <c r="B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row>
    <row r="238" spans="2:61">
      <c r="B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row>
    <row r="239" spans="2:61">
      <c r="B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row>
    <row r="240" spans="2:61">
      <c r="B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row>
    <row r="241" spans="2:61">
      <c r="B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row>
    <row r="242" spans="2:61">
      <c r="B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row>
    <row r="243" spans="2:61">
      <c r="B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row>
    <row r="244" spans="2:61">
      <c r="B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row>
    <row r="245" spans="2:61">
      <c r="B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row>
    <row r="246" spans="2:61">
      <c r="B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row>
    <row r="247" spans="2:61">
      <c r="B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row>
    <row r="248" spans="2:61">
      <c r="B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row>
    <row r="249" spans="2:61">
      <c r="B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row>
    <row r="250" spans="2:61">
      <c r="B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row>
    <row r="251" spans="2:61">
      <c r="B251" s="68"/>
    </row>
    <row r="252" spans="2:61">
      <c r="B252" s="68"/>
    </row>
    <row r="253" spans="2:61">
      <c r="B253" s="68"/>
    </row>
    <row r="254" spans="2:61">
      <c r="B254" s="68"/>
    </row>
  </sheetData>
  <mergeCells count="24">
    <mergeCell ref="C2:J5"/>
    <mergeCell ref="K2:AN5"/>
    <mergeCell ref="AO2:AU2"/>
    <mergeCell ref="AO3:AU3"/>
    <mergeCell ref="AO4:AU4"/>
    <mergeCell ref="AO5:AU5"/>
    <mergeCell ref="AI62:AN67"/>
    <mergeCell ref="AP22:AU31"/>
    <mergeCell ref="F22:J31"/>
    <mergeCell ref="AP12:AU21"/>
    <mergeCell ref="C8:J10"/>
    <mergeCell ref="K8:AN10"/>
    <mergeCell ref="C12:E61"/>
    <mergeCell ref="F12:J21"/>
    <mergeCell ref="F52:J61"/>
    <mergeCell ref="AP42:AU51"/>
    <mergeCell ref="F42:J51"/>
    <mergeCell ref="AP32:AU41"/>
    <mergeCell ref="F32:J41"/>
    <mergeCell ref="A8:B8"/>
    <mergeCell ref="K62:P67"/>
    <mergeCell ref="Q62:V67"/>
    <mergeCell ref="W62:AB67"/>
    <mergeCell ref="AC62:AH6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3741677E586942B4D77D29BB2C69AC" ma:contentTypeVersion="18" ma:contentTypeDescription="Create a new document." ma:contentTypeScope="" ma:versionID="744615ee4b3cc573fb826caff0ffa34e">
  <xsd:schema xmlns:xsd="http://www.w3.org/2001/XMLSchema" xmlns:xs="http://www.w3.org/2001/XMLSchema" xmlns:p="http://schemas.microsoft.com/office/2006/metadata/properties" xmlns:ns3="f4acbb79-7669-4a1d-89c4-7b2bdc6c9e75" xmlns:ns4="5c68bd02-88e0-41df-bb23-a5f7189c93ca" targetNamespace="http://schemas.microsoft.com/office/2006/metadata/properties" ma:root="true" ma:fieldsID="7d7054d8fc92e2a855438ebeb00e6968" ns3:_="" ns4:_="">
    <xsd:import namespace="f4acbb79-7669-4a1d-89c4-7b2bdc6c9e75"/>
    <xsd:import namespace="5c68bd02-88e0-41df-bb23-a5f7189c93c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acbb79-7669-4a1d-89c4-7b2bdc6c9e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68bd02-88e0-41df-bb23-a5f7189c93c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4acbb79-7669-4a1d-89c4-7b2bdc6c9e75" xsi:nil="true"/>
  </documentManagement>
</p:properties>
</file>

<file path=customXml/itemProps1.xml><?xml version="1.0" encoding="utf-8"?>
<ds:datastoreItem xmlns:ds="http://schemas.openxmlformats.org/officeDocument/2006/customXml" ds:itemID="{159FE180-4D7D-4825-B82A-F713FE702E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acbb79-7669-4a1d-89c4-7b2bdc6c9e75"/>
    <ds:schemaRef ds:uri="5c68bd02-88e0-41df-bb23-a5f7189c93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2B984D-DE57-40D4-B4AD-2A7A41A365A7}">
  <ds:schemaRefs>
    <ds:schemaRef ds:uri="http://schemas.microsoft.com/sharepoint/v3/contenttype/forms"/>
  </ds:schemaRefs>
</ds:datastoreItem>
</file>

<file path=customXml/itemProps3.xml><?xml version="1.0" encoding="utf-8"?>
<ds:datastoreItem xmlns:ds="http://schemas.openxmlformats.org/officeDocument/2006/customXml" ds:itemID="{FAF46008-1D67-487A-9CC4-4775A88B8788}">
  <ds:schemaRefs>
    <ds:schemaRef ds:uri="http://purl.org/dc/elements/1.1/"/>
    <ds:schemaRef ds:uri="http://schemas.microsoft.com/office/infopath/2007/PartnerControls"/>
    <ds:schemaRef ds:uri="http://purl.org/dc/dcmitype/"/>
    <ds:schemaRef ds:uri="http://schemas.openxmlformats.org/package/2006/metadata/core-properties"/>
    <ds:schemaRef ds:uri="f4acbb79-7669-4a1d-89c4-7b2bdc6c9e75"/>
    <ds:schemaRef ds:uri="http://schemas.microsoft.com/office/2006/documentManagement/types"/>
    <ds:schemaRef ds:uri="http://www.w3.org/XML/1998/namespace"/>
    <ds:schemaRef ds:uri="5c68bd02-88e0-41df-bb23-a5f7189c93ca"/>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CRITERIOS R CORRUPCION</vt:lpstr>
      <vt:lpstr>PORTADA </vt:lpstr>
      <vt:lpstr>Mapa final</vt:lpstr>
      <vt:lpstr>Datos</vt:lpstr>
      <vt:lpstr>Formulas</vt:lpstr>
      <vt:lpstr>Apayo Visual </vt:lpstr>
      <vt:lpstr>eliminar</vt:lpstr>
      <vt:lpstr>Matriz Calor Inherente</vt:lpstr>
      <vt:lpstr>Matriz Calor Residual</vt:lpstr>
      <vt:lpstr>CAMBIOS REGISTRO</vt:lpstr>
      <vt:lpstr>SGI</vt:lpstr>
      <vt:lpstr>Intructivo</vt:lpstr>
      <vt:lpstr>CONTROL DE CAMBIOS REGISTRO </vt:lpstr>
      <vt:lpstr>Listas</vt:lpstr>
      <vt:lpstr>Hoja3</vt:lpstr>
      <vt:lpstr>Control de Cambios FORMATO </vt:lpstr>
      <vt:lpstr>Tabla probabilidad</vt:lpstr>
      <vt:lpstr>Tabla Impacto</vt:lpstr>
      <vt:lpstr>Tabla Valoración controles</vt:lpstr>
      <vt:lpstr>Hoja4</vt:lpstr>
      <vt:lpstr>Hoja2</vt:lpstr>
      <vt:lpstr>Opciones Tratamiento</vt:lpstr>
      <vt:lpstr>Hoja1</vt:lpstr>
      <vt:lpstr>'CAMBIOS REGISTRO'!Área_de_impresión</vt:lpstr>
      <vt:lpstr>'Control de Cambios FORMATO '!Área_de_impresión</vt:lpstr>
      <vt:lpstr>Criterios_Impacto</vt:lpstr>
      <vt:lpstr>'CAMBIOS REGISTRO'!OLE_LINK2</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GESTION CULTURA ORGANIZACIONAL ETITC</cp:lastModifiedBy>
  <cp:revision/>
  <dcterms:created xsi:type="dcterms:W3CDTF">2020-03-24T23:12:47Z</dcterms:created>
  <dcterms:modified xsi:type="dcterms:W3CDTF">2026-08-18T16:36:45Z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0x010100A93741677E586942B4D77D29BB2C69AC</vt:lpwstr>
  </property>
</Properties>
</file>