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49C23366-B972-4A7A-B0B4-115E035C3FAA}"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68" r:id="rId24"/>
  </pivotCaches>
</workbook>
</file>

<file path=xl/calcChain.xml><?xml version="1.0" encoding="utf-8"?>
<calcChain xmlns="http://schemas.openxmlformats.org/spreadsheetml/2006/main">
  <c r="O42" i="19" l="1"/>
  <c r="AA19" i="1"/>
  <c r="AA16" i="1"/>
  <c r="AI16" i="1" s="1"/>
  <c r="AK16" i="1" s="1"/>
  <c r="AD16" i="1"/>
  <c r="AI15" i="1"/>
  <c r="AJ16" i="1" l="1"/>
  <c r="L41" i="19" l="1"/>
  <c r="AI22" i="1" l="1"/>
  <c r="AI21" i="1"/>
  <c r="AI20" i="1"/>
  <c r="Q17" i="1" l="1"/>
  <c r="R17" i="1" s="1"/>
  <c r="AA17" i="1"/>
  <c r="AD17" i="1"/>
  <c r="Q18" i="1"/>
  <c r="R18" i="1" s="1"/>
  <c r="AI18" i="1" s="1"/>
  <c r="AA18" i="1"/>
  <c r="AD18" i="1"/>
  <c r="Q20" i="1"/>
  <c r="R20" i="1" s="1"/>
  <c r="AA20" i="1"/>
  <c r="AD20" i="1"/>
  <c r="Q21" i="1"/>
  <c r="R21" i="1" s="1"/>
  <c r="AA21" i="1"/>
  <c r="AD21" i="1"/>
  <c r="Q22" i="1"/>
  <c r="AA22" i="1"/>
  <c r="AM22" i="1" s="1"/>
  <c r="AL22" i="1" s="1"/>
  <c r="AD22" i="1"/>
  <c r="AD15" i="1"/>
  <c r="AA15" i="1"/>
  <c r="Q15" i="1"/>
  <c r="AI17" i="1" l="1"/>
  <c r="AJ21" i="1"/>
  <c r="AK21" i="1"/>
  <c r="AM21" i="1"/>
  <c r="AL21" i="1" s="1"/>
  <c r="AM19" i="1"/>
  <c r="AL19" i="1" s="1"/>
  <c r="AJ20" i="1"/>
  <c r="AK20" i="1"/>
  <c r="AM20" i="1"/>
  <c r="AL20" i="1" s="1"/>
  <c r="AM16" i="1"/>
  <c r="AL16" i="1" s="1"/>
  <c r="R22"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1" i="1" l="1"/>
  <c r="AK17" i="1"/>
  <c r="AJ17" i="1"/>
  <c r="AN20" i="1"/>
  <c r="AJ18" i="1"/>
  <c r="AK18" i="1"/>
  <c r="AI19" i="1" s="1"/>
  <c r="AJ22" i="1"/>
  <c r="AN22" i="1" s="1"/>
  <c r="AK22" i="1"/>
  <c r="AK15" i="1"/>
  <c r="AJ15" i="1"/>
  <c r="AN13" i="18"/>
  <c r="AN29" i="18"/>
  <c r="AN37" i="18"/>
  <c r="AN21" i="18"/>
  <c r="AN45" i="18"/>
  <c r="AJ19" i="1" l="1"/>
  <c r="AN19" i="1" s="1"/>
  <c r="AK19" i="1"/>
  <c r="H10" i="27"/>
  <c r="G29" i="27" s="1"/>
  <c r="H9" i="27"/>
  <c r="H8" i="27"/>
  <c r="F29" i="27"/>
  <c r="E29" i="27"/>
  <c r="AN16" i="1" l="1"/>
  <c r="L52" i="19"/>
  <c r="Q27" i="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32" i="19"/>
  <c r="AG22" i="19"/>
  <c r="U12" i="19"/>
  <c r="AM12" i="19"/>
  <c r="AA22" i="19"/>
  <c r="U32" i="19"/>
  <c r="O22" i="19"/>
  <c r="AA52" i="19"/>
  <c r="AA42" i="19"/>
  <c r="AA32" i="19"/>
  <c r="AG12" i="19"/>
  <c r="U42" i="19"/>
  <c r="AM42" i="19"/>
  <c r="AM32" i="19"/>
  <c r="AA12" i="19"/>
  <c r="AM52" i="19"/>
  <c r="AM22" i="19"/>
  <c r="AD52" i="19"/>
  <c r="AJ52" i="19"/>
  <c r="R52" i="19"/>
  <c r="X52" i="19"/>
  <c r="AJ42" i="19"/>
  <c r="X42" i="19"/>
  <c r="AD42" i="19"/>
  <c r="R42" i="19"/>
  <c r="AD32" i="19"/>
  <c r="AJ32" i="19"/>
  <c r="R32" i="19"/>
  <c r="X32" i="19"/>
  <c r="AJ22" i="19"/>
  <c r="L32" i="19"/>
  <c r="X22" i="19"/>
  <c r="AD22" i="19"/>
  <c r="L22" i="19"/>
  <c r="R22" i="19"/>
  <c r="AD12" i="19"/>
  <c r="AJ12" i="19"/>
  <c r="X12" i="19"/>
  <c r="L12" i="19"/>
  <c r="R12" i="19"/>
  <c r="T15" i="1" l="1"/>
  <c r="U15" i="1" s="1"/>
  <c r="R27" i="18" s="1"/>
  <c r="T18" i="1"/>
  <c r="U18" i="1" s="1"/>
  <c r="L29" i="18" s="1"/>
  <c r="T21" i="1"/>
  <c r="U21" i="1" s="1"/>
  <c r="T22" i="1"/>
  <c r="U22" i="1" s="1"/>
  <c r="T17" i="1"/>
  <c r="U17" i="1" s="1"/>
  <c r="V35" i="18" s="1"/>
  <c r="T20" i="1"/>
  <c r="U20" i="1" s="1"/>
  <c r="AH45" i="18" l="1"/>
  <c r="W20" i="1"/>
  <c r="AB37" i="18"/>
  <c r="AH21" i="18"/>
  <c r="V29" i="18"/>
  <c r="AH13" i="18"/>
  <c r="V13" i="18"/>
  <c r="V20" i="1"/>
  <c r="V45" i="18"/>
  <c r="AB45" i="18"/>
  <c r="AH29" i="18"/>
  <c r="AB13" i="18"/>
  <c r="V37" i="18"/>
  <c r="V21" i="18"/>
  <c r="AB29" i="18"/>
  <c r="AB21" i="18"/>
  <c r="AH37" i="18"/>
  <c r="P27" i="18"/>
  <c r="AB27" i="18"/>
  <c r="V43" i="18"/>
  <c r="AH11" i="18"/>
  <c r="AB35" i="18"/>
  <c r="AH43" i="18"/>
  <c r="V19" i="18"/>
  <c r="AB43" i="18"/>
  <c r="AN19" i="18"/>
  <c r="AN27" i="18"/>
  <c r="V27" i="18"/>
  <c r="AB19" i="18"/>
  <c r="V17" i="1"/>
  <c r="AM17" i="1" s="1"/>
  <c r="AL17" i="1" s="1"/>
  <c r="S42" i="19" s="1"/>
  <c r="AH35" i="18"/>
  <c r="AH19" i="18"/>
  <c r="V11" i="18"/>
  <c r="AB11" i="18"/>
  <c r="AN35" i="18"/>
  <c r="AN43" i="18"/>
  <c r="W17" i="1"/>
  <c r="AH27" i="18"/>
  <c r="AN11" i="18"/>
  <c r="T37" i="18"/>
  <c r="Z29" i="18"/>
  <c r="AF45" i="18"/>
  <c r="AL29" i="18"/>
  <c r="AL21" i="18"/>
  <c r="Z13" i="18"/>
  <c r="T29" i="18"/>
  <c r="AL13" i="18"/>
  <c r="Z21" i="18"/>
  <c r="AL37" i="18"/>
  <c r="AF29" i="18"/>
  <c r="T21" i="18"/>
  <c r="AF37" i="18"/>
  <c r="T45" i="18"/>
  <c r="AF13" i="18"/>
  <c r="AF21" i="18"/>
  <c r="Z45" i="18"/>
  <c r="T13" i="18"/>
  <c r="Z37" i="18"/>
  <c r="AL45" i="18"/>
  <c r="AF31" i="18"/>
  <c r="AF23" i="18"/>
  <c r="W22" i="1"/>
  <c r="Z31" i="18"/>
  <c r="Z23" i="18"/>
  <c r="V22" i="1"/>
  <c r="AL47" i="18"/>
  <c r="AF47" i="18"/>
  <c r="T47" i="18"/>
  <c r="T31" i="18"/>
  <c r="AF39" i="18"/>
  <c r="Z47" i="18"/>
  <c r="AL15" i="18"/>
  <c r="AF15" i="18"/>
  <c r="AL39" i="18"/>
  <c r="AL23" i="18"/>
  <c r="T15" i="18"/>
  <c r="Z39" i="18"/>
  <c r="Z15" i="18"/>
  <c r="T23" i="18"/>
  <c r="AL31" i="18"/>
  <c r="T39" i="18"/>
  <c r="R31" i="18"/>
  <c r="AJ31" i="18"/>
  <c r="X39" i="18"/>
  <c r="AD47" i="18"/>
  <c r="L47" i="18"/>
  <c r="X15" i="18"/>
  <c r="R39" i="18"/>
  <c r="AD23" i="18"/>
  <c r="L15" i="18"/>
  <c r="X47" i="18"/>
  <c r="W21" i="1"/>
  <c r="L31" i="18"/>
  <c r="AJ39" i="18"/>
  <c r="AJ15" i="18"/>
  <c r="L39" i="18"/>
  <c r="R23" i="18"/>
  <c r="L23" i="18"/>
  <c r="AJ47" i="18"/>
  <c r="R15" i="18"/>
  <c r="AD39" i="18"/>
  <c r="X31" i="18"/>
  <c r="AD15" i="18"/>
  <c r="AD31" i="18"/>
  <c r="R47" i="18"/>
  <c r="X23" i="18"/>
  <c r="AJ23" i="18"/>
  <c r="V21" i="1"/>
  <c r="X29" i="18"/>
  <c r="L13" i="18"/>
  <c r="X45" i="18"/>
  <c r="AD37" i="18"/>
  <c r="X13" i="18"/>
  <c r="R37" i="18"/>
  <c r="AJ45" i="18"/>
  <c r="L45" i="18"/>
  <c r="AD29" i="18"/>
  <c r="X21" i="18"/>
  <c r="AJ37" i="18"/>
  <c r="L37" i="18"/>
  <c r="V18" i="1"/>
  <c r="AM18" i="1" s="1"/>
  <c r="AL18" i="1" s="1"/>
  <c r="M42" i="19" s="1"/>
  <c r="L21" i="18"/>
  <c r="W18" i="1"/>
  <c r="AJ21" i="18"/>
  <c r="AD21" i="18"/>
  <c r="X37" i="18"/>
  <c r="R13" i="18"/>
  <c r="AD45" i="18"/>
  <c r="AJ13" i="18"/>
  <c r="AD13" i="18"/>
  <c r="R45" i="18"/>
  <c r="R21" i="18"/>
  <c r="R29" i="18"/>
  <c r="AJ29" i="18"/>
  <c r="AD27" i="18"/>
  <c r="R43" i="18"/>
  <c r="AJ35" i="18"/>
  <c r="L11" i="18"/>
  <c r="AJ27" i="18"/>
  <c r="L35" i="18"/>
  <c r="X35" i="18"/>
  <c r="R19" i="18"/>
  <c r="X27" i="18"/>
  <c r="R11" i="18"/>
  <c r="AJ43" i="18"/>
  <c r="L27" i="18"/>
  <c r="AD19" i="18"/>
  <c r="AD35" i="18"/>
  <c r="W15" i="1"/>
  <c r="X11" i="18"/>
  <c r="V15" i="1"/>
  <c r="AM15" i="1" s="1"/>
  <c r="AL15" i="1" s="1"/>
  <c r="Q42" i="19" s="1"/>
  <c r="L19" i="18"/>
  <c r="AJ19" i="18"/>
  <c r="L43" i="18"/>
  <c r="AD11" i="18"/>
  <c r="AD43" i="18"/>
  <c r="R35" i="18"/>
  <c r="X19" i="18"/>
  <c r="AJ11" i="18"/>
  <c r="X43" i="18"/>
  <c r="AL11" i="18"/>
  <c r="AF35" i="18"/>
  <c r="Z11" i="18"/>
  <c r="T27" i="18"/>
  <c r="T43" i="18"/>
  <c r="AL35" i="18"/>
  <c r="AL27" i="18"/>
  <c r="AL19" i="18"/>
  <c r="AL43" i="18"/>
  <c r="Z35" i="18"/>
  <c r="AF19" i="18"/>
  <c r="T35" i="18"/>
  <c r="Z19" i="18"/>
  <c r="Z43" i="18"/>
  <c r="Z27" i="18"/>
  <c r="AF27" i="18"/>
  <c r="AF11" i="18"/>
  <c r="T19" i="18"/>
  <c r="T11" i="18"/>
  <c r="AF43" i="18"/>
  <c r="AN18" i="1" l="1"/>
  <c r="N12" i="19"/>
  <c r="AL12" i="19"/>
  <c r="T52" i="19"/>
  <c r="N22" i="19"/>
  <c r="N52" i="19"/>
  <c r="Z12" i="19"/>
  <c r="AL32" i="19"/>
  <c r="T22" i="19"/>
  <c r="AF52" i="19"/>
  <c r="AF32" i="19"/>
  <c r="Z52" i="19"/>
  <c r="T12" i="19"/>
  <c r="AL52" i="19"/>
  <c r="AL42" i="19"/>
  <c r="Z42" i="19"/>
  <c r="T42" i="19"/>
  <c r="Z32" i="19"/>
  <c r="T32" i="19"/>
  <c r="N32" i="19"/>
  <c r="Z22" i="19"/>
  <c r="AL22" i="19"/>
  <c r="AF22" i="19"/>
  <c r="AF12" i="19"/>
  <c r="AF42" i="19"/>
  <c r="M22" i="19"/>
  <c r="S32" i="19"/>
  <c r="M52" i="19"/>
  <c r="AE42" i="19"/>
  <c r="AK42" i="19"/>
  <c r="AK22" i="19"/>
  <c r="AN17" i="1"/>
  <c r="AK32" i="19"/>
  <c r="M32" i="19"/>
  <c r="AE12" i="19"/>
  <c r="S22" i="19"/>
  <c r="M12" i="19"/>
  <c r="L42" i="19"/>
  <c r="AK12" i="19"/>
  <c r="AK52" i="19"/>
  <c r="S12" i="19"/>
  <c r="AE32" i="19"/>
  <c r="S52" i="19"/>
  <c r="AE52" i="19"/>
  <c r="AE22" i="19"/>
  <c r="AC42" i="19"/>
  <c r="K32" i="19"/>
  <c r="W12" i="19"/>
  <c r="Q12" i="19"/>
  <c r="Q52" i="19"/>
  <c r="AC52" i="19"/>
  <c r="AI52" i="19"/>
  <c r="AC12" i="19"/>
  <c r="K22" i="19"/>
  <c r="W32" i="19"/>
  <c r="AI22" i="19"/>
  <c r="AN15" i="1"/>
  <c r="W52" i="19"/>
  <c r="AI42" i="19"/>
  <c r="K42" i="19"/>
  <c r="K52" i="19"/>
  <c r="W22" i="19"/>
  <c r="Q32" i="19"/>
  <c r="K12" i="19"/>
  <c r="Q22" i="19"/>
  <c r="W42" i="19"/>
  <c r="AC22" i="19"/>
  <c r="AC32" i="19"/>
  <c r="AI12" i="19"/>
  <c r="AI3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<sst xmlns="http://schemas.openxmlformats.org/spreadsheetml/2006/main" count="710" uniqueCount="430">
  <si>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</si>
  <si>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</si>
  <si>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</si>
  <si>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</si>
  <si>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</si>
  <si>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</si>
  <si>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</si>
  <si>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</si>
  <si>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</si>
  <si>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</si>
  <si>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</si>
  <si>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</si>
  <si>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</si>
  <si>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</si>
  <si>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</si>
  <si>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</si>
  <si>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</si>
  <si>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</si>
  <si>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</si>
  <si>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</si>
  <si>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</si>
  <si>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</si>
  <si>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</si>
  <si>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</si>
  <si>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</si>
  <si>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</si>
  <si>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</si>
  <si>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</si>
  <si>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</si>
  <si>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</si>
  <si>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</si>
  <si>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</si>
  <si>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</si>
  <si>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</si>
  <si>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</si>
  <si>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</si>
  <si>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</si>
  <si>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</si>
  <si>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</si>
  <si>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</si>
  <si>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</si>
  <si>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</si>
  <si>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</si>
  <si>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</si>
  <si>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</si>
  <si>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</si>
  <si>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</si>
  <si>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</si>
  <si>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</si>
  <si>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</si>
  <si>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</si>
  <si>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</si>
  <si>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</si>
  <si>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</si>
  <si>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</si>
  <si>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</si>
  <si>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</si>
  <si>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</si>
  <si>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</si>
  <si>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</si>
  <si>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</si>
  <si>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</si>
  <si>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</si>
  <si>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</si>
  <si>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</si>
  <si>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</si>
  <si>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</si>
  <si>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</si>
  <si>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</si>
  <si>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</si>
  <si>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</si>
  <si>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</si>
  <si>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</si>
  <si>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</si>
  <si>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</si>
  <si>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</si>
  <si>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</si>
  <si>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</si>
  <si>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</si>
  <si>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</si>
  <si>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</si>
  <si>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</si>
  <si>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</si>
  <si>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</si>
  <si>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</si>
  <si>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</si>
  <si>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</si>
  <si>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</si>
  <si>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</si>
  <si>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</si>
  <si>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</si>
  <si>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</si>
  <si>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</si>
  <si>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</si>
  <si>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</si>
  <si>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</si>
  <si>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</si>
  <si>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</si>
  <si>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</si>
  <si>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</si>
  <si>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</si>
  <si>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</si>
  <si>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</si>
  <si>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</si>
  <si>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</si>
  <si>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</si>
  <si>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</si>
  <si>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</si>
  <si>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</si>
  <si>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</si>
  <si>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</si>
  <si>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</si>
  <si>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</si>
  <si>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</si>
  <si>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</si>
  <si>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</si>
  <si>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</si>
  <si>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</si>
  <si>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</si>
  <si>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</si>
  <si>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</si>
  <si>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</si>
  <si>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</si>
  <si>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</si>
  <si>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</si>
  <si>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</si>
  <si>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</si>
  <si>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</si>
  <si>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</si>
  <si>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</si>
  <si>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</si>
  <si>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</si>
  <si>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</si>
  <si>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</si>
  <si>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</si>
  <si>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</si>
  <si>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</si>
  <si>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</si>
  <si>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</si>
  <si>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</si>
  <si>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</si>
  <si>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</si>
  <si>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</si>
  <si>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</si>
  <si>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</si>
  <si>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</si>
  <si>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</si>
  <si>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</si>
  <si>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</si>
  <si>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</si>
  <si>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</si>
  <si>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</si>
  <si>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</si>
  <si>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</si>
  <si>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</si>
  <si>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</si>
  <si>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</si>
  <si>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</si>
  <si>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</si>
  <si>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</si>
  <si>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</si>
  <si>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</si>
  <si>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</si>
  <si>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</si>
  <si>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</si>
  <si>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</si>
  <si>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</si>
  <si>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</si>
  <si>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</si>
  <si>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</si>
  <si>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</si>
  <si>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</si>
  <si>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</si>
  <si>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</si>
  <si>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</si>
  <si>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</si>
  <si>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</si>
  <si>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</si>
  <si>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</si>
  <si>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</si>
  <si>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</si>
  <si>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</si>
  <si>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</si>
  <si>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</si>
  <si>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</si>
  <si>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</si>
  <si>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</si>
  <si>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</si>
  <si>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</si>
  <si>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</si>
  <si>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</si>
  <si>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</si>
  <si>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</si>
  <si>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</si>
  <si>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</si>
  <si>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</si>
  <si>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</si>
  <si>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</si>
  <si>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</si>
  <si>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</si>
  <si>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</si>
  <si>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</si>
  <si>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</si>
  <si>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</si>
  <si>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</si>
  <si>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</si>
  <si>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</si>
  <si>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</si>
  <si>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</si>
  <si>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</si>
  <si>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</si>
  <si>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</si>
  <si>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</si>
  <si>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</si>
  <si>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</si>
  <si>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</si>
  <si>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</si>
  <si>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</si>
  <si>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</si>
  <si>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</si>
  <si>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</si>
  <si>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</si>
  <si>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</si>
  <si>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</si>
  <si>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</si>
  <si>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</si>
  <si>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</si>
  <si>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</si>
  <si>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</si>
  <si>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</si>
  <si>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</si>
  <si>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</si>
  <si>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</si>
  <si>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</si>
  <si>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</si>
  <si>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</si>
  <si>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</si>
  <si>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</si>
  <si>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</si>
  <si>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</si>
  <si>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</si>
  <si>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</si>
  <si>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</si>
  <si>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</si>
  <si>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</si>
  <si>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</si>
  <si>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</si>
  <si>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</si>
  <si>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</si>
  <si>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</si>
  <si>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</si>
  <si>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</si>
  <si>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</si>
  <si>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</si>
  <si>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</si>
  <si>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</si>
  <si>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</si>
  <si>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</si>
  <si>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</si>
  <si>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</si>
  <si>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</si>
  <si>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</si>
  <si>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</si>
  <si>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</si>
  <si>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</si>
  <si>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</si>
  <si>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</si>
  <si>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</si>
  <si>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</si>
  <si>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</si>
  <si>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</si>
  <si>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</si>
  <si>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</si>
  <si>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</si>
  <si>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</si>
  <si>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</si>
  <si>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</si>
  <si>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</si>
  <si>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</si>
  <si>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</si>
  <si>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</si>
  <si>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</si>
  <si>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</si>
  <si>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</si>
  <si>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</si>
  <si>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</si>
  <si>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</si>
  <si>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</si>
  <si>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</si>
  <si>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</si>
  <si>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</si>
  <si>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</si>
  <si>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</si>
  <si>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</si>
  <si>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</si>
  <si>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</si>
  <si>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</si>
  <si>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</si>
  <si>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</si>
  <si>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</si>
  <si>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</si>
  <si>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</si>
  <si>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</si>
  <si>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</si>
  <si>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</si>
  <si>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</si>
  <si>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</si>
  <si>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</si>
  <si>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</si>
  <si>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</si>
  <si>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</si>
  <si>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</si>
  <si>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</si>
  <si>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</si>
  <si>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</si>
  <si>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</si>
  <si>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</si>
  <si>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</si>
  <si>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</si>
  <si>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</si>
  <si>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</si>
  <si>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</si>
  <si>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</si>
  <si>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</si>
  <si>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</si>
  <si>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</si>
  <si>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</si>
  <si>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</si>
  <si>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</si>
  <si>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</si>
  <si>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</si>
  <si>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</si>
  <si>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</si>
  <si>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</si>
  <si>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</si>
  <si>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</si>
  <si>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</si>
  <si>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</si>
  <si>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</si>
  <si>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</si>
  <si>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</si>
  <si>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</si>
  <si>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</si>
  <si>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</si>
  <si>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</si>
  <si>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</si>
  <si>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</si>
  <si>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</si>
  <si>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</si>
  <si>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</si>
  <si>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</si>
  <si>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</si>
  <si>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</si>
  <si>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</si>
  <si>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</si>
  <si>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</si>
  <si>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</si>
  <si>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</si>
  <si>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</si>
  <si>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</si>
  <si>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</si>
  <si>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</si>
  <si>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</si>
  <si>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</si>
  <si>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</si>
  <si>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</si>
  <si>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</si>
  <si>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</si>
  <si>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</si>
  <si>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</si>
  <si>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</si>
  <si>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</si>
  <si>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</si>
  <si>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</si>
  <si>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</si>
  <si>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</si>
  <si>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</si>
  <si>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</si>
  <si>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</si>
  <si>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</si>
  <si>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</si>
  <si>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</si>
  <si>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</si>
  <si>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</si>
  <si>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</si>
  <si>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</si>
  <si>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</si>
  <si>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</si>
  <si>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</si>
  <si>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</si>
  <si>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</si>
  <si>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</si>
  <si>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</si>
  <si>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</si>
  <si>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</si>
  <si>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</si>
  <si>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GESTIÓN JURÍDICA</t>
  </si>
  <si>
    <t>Orientar, asistir, asesorar y defender la Institución, en asuntos jurídico-administrativos internos y externos de su competencia, de manera oportuna y eficaz buscando garantizar los intereses de la Escuela en cumplimiento de la Constitución Política, la Ley y la normatividad interna.</t>
  </si>
  <si>
    <t>Inicia con la ocurrencia de la situación jurídica y/o actuación judicial que incluye todas las actividades propias de la representación legal de la entidad y finaliza con la solución del problema jurídico y/o la decisión judicial o conciliación correspondiente.</t>
  </si>
  <si>
    <r>
      <rPr>
        <b/>
        <sz val="14"/>
        <rFont val="Arial"/>
        <family val="2"/>
      </rPr>
      <t>LIDER DEL PROCESO:</t>
    </r>
    <r>
      <rPr>
        <sz val="14"/>
        <rFont val="Arial"/>
        <family val="2"/>
      </rPr>
      <t xml:space="preserve">  Viviana Pulido</t>
    </r>
  </si>
  <si>
    <t>Viviana Pulido</t>
  </si>
  <si>
    <t>Líder de Proceso</t>
  </si>
  <si>
    <t>Se actualizó formato a versión No 8</t>
  </si>
  <si>
    <t>Respuestas Fuera de Términos a lso requerimientos judiciales</t>
  </si>
  <si>
    <t>Fallas en la prestación del servicio</t>
  </si>
  <si>
    <t>Recibir o solciitar Dádivas</t>
  </si>
  <si>
    <t xml:space="preserve">Vencimiento de Términos </t>
  </si>
  <si>
    <t>Posibilidad de afectación económica por respuesta a los requerimientos judiciales fuera de términos debido a fallas en:  Seguimiento de los procesos, notificaciones y correos Judiciales.</t>
  </si>
  <si>
    <t>Fallas de actualización y socialización de la normatividad vigente</t>
  </si>
  <si>
    <t xml:space="preserve">Posibilidad de afectación económica por fallas en la prestación del servicio debido a falencias en la actualización y socialización de la normatividad vigente. </t>
  </si>
  <si>
    <t>Emitir un concepto que no se encuentre acorde con la normatividad y que este direccionado a justificar, cubrir y/o favorecer a un tercero.</t>
  </si>
  <si>
    <t>Posibilidad afectación económica por recibir o solicitar dádiva con el fin de elaborar documentos errados o emitir concepto no acorde con la normatividad, para justificar, cubrir y/o favorecer a un tercero.</t>
  </si>
  <si>
    <t>La profesional de Gestión Jurídica y el contratista de apoyo dos veces por semana realizan seguimiento de los procesos Judiciales en sitio o a través de la página web de rama judicial, con el fin de evitar el vencimiento de términos de los procesos judiciales.
En caso de que la página web de la rama judicial no se encuentre en funcionamiento, se realiza la revisión diaria del canal de notificaciones judiciales.</t>
  </si>
  <si>
    <t>Cuadernillo de seguimiento a la página web de rama judicial.
Correo electrónico: notificacionesjudiciales@itc.edu.co</t>
  </si>
  <si>
    <t>La profesional de Gestión Jurídica cada vez que llegue un requerimiento judicial, diligenciará y realizará seguimiento a la matriz de seguimiento de términos de respuesta, con el fin de evitar el vencimiento de términos de los procesos judiciales.
En caso de que la profesional de Gestión Jurídica no diligencie oportunamente la matriz, el Secretario General cuenta con acceso a la matriz para verificar su actualización.</t>
  </si>
  <si>
    <t>Matriz seguimiento términos actualizada cuando se requiera.</t>
  </si>
  <si>
    <t>Los profesionales jurídicos de la Secretaría General, analizan y realizan seguimiento cada vez que haya una actualización normativa de impacto para la ETITC, para lo cual realizan Circulares Internas o comunicados de Rectoría, IBTI o Secretaría General, las cuales socializan a  través de correo electrónico  con las dependencias las actualizaciones normativas atinentes a la operaciòn de la institución, con el fin de evitar fallas en la prestación del servicio.
Para este control no aplica desviación, teniendo en cuenta la naturaleza de su ejecución.</t>
  </si>
  <si>
    <t>Circulares y comunicados de Rectoría, IBTI o Secretaría General</t>
  </si>
  <si>
    <t>La profesional de Gestión Jurídica y el contratista de apoyo, dos veces a la semana verifican los servicios de seguimiento y vigilancia a los procesos de manera tal que generen alertas de los movimientos en los diferentes procesos.
En caso de que la página web de la rama judicial no se encuentre en funcionamiento, se realiza la revisión diaria del canal de notificaciones judiciales.</t>
  </si>
  <si>
    <t>El Secretario General, cada vez que se proyecta un documento por cualquier funcionario de la Secretaría General  verifica cada concepto que se elabore, antes de emitirse, con el fin de contar con una validación final a los documentos.
Si el Secretario General identifica que el documento no se encuentra conforme, realiza las observaciones al funcionario responsable para los ajustes pertinentes.</t>
  </si>
  <si>
    <t>Constancia de vistos buenos en los documentos emitidos por el área, mediante correo electrónico.</t>
  </si>
  <si>
    <t>Por identificar</t>
  </si>
  <si>
    <t>El líder de gestión jurídica debe formular el procedimiento de Gestión Jurídica</t>
  </si>
  <si>
    <t>Líder de Gestión Jurídica</t>
  </si>
  <si>
    <t>El líder de gestión jurídica velará por la revisión contínua de los canales dispuestos para recibir y dar respuesta a los requerimientos judiciales de la ETITC.</t>
  </si>
  <si>
    <t>Jurídica y Contratista de Apoyo</t>
  </si>
  <si>
    <t>La Secretaría General velará por la socialización de nuevas normas que apliquen a la operación institucional a los lederes de procesos y directivos de la ETITC.</t>
  </si>
  <si>
    <t>Profesionales Jurídicos Secretaría General</t>
  </si>
  <si>
    <t>El líder de gestión jurídica compartirá el seguimiento y vigilancia de procesos judiciales con el contratista de apoyo del área con el fin de generar las alertas a las que haya lugar</t>
  </si>
  <si>
    <t xml:space="preserve">Los documentos que son proyectados por los profesionales jurídicos de la Secretaría Genenral antes de su sociliazacion serán verificados por el Secretario General o la Lider de Gestión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</si>
</sst>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4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100"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100" fillId="0" borderId="110" xfId="0" applyFont="1" applyBorder="1" applyAlignment="1" applyProtection="1">
      <alignment vertical="center" wrapText="1"/>
      <protection locked="0"/>
    </xf>
    <xf numFmtId="0" fontId="66" fillId="0" borderId="110" xfId="0" applyFont="1" applyBorder="1" applyAlignment="1">
      <alignment vertical="center" wrapText="1"/>
    </xf>
    <xf numFmtId="0" fontId="66" fillId="0" borderId="110" xfId="0" applyFont="1" applyBorder="1" applyAlignment="1" applyProtection="1">
      <alignment vertical="center" wrapText="1"/>
      <protection locked="0"/>
    </xf>
    <xf numFmtId="9" fontId="66" fillId="0" borderId="110" xfId="0" applyNumberFormat="1" applyFont="1" applyBorder="1" applyAlignment="1" applyProtection="1">
      <alignment vertical="center" wrapText="1"/>
      <protection hidden="1"/>
    </xf>
    <xf numFmtId="9" fontId="66" fillId="0" borderId="110" xfId="0" applyNumberFormat="1" applyFont="1" applyBorder="1" applyAlignment="1" applyProtection="1">
      <alignment vertical="center" wrapText="1"/>
      <protection locked="0"/>
    </xf>
    <xf numFmtId="14" fontId="66" fillId="0" borderId="110" xfId="0" applyNumberFormat="1" applyFont="1" applyBorder="1" applyAlignment="1" applyProtection="1">
      <alignment vertical="center" wrapText="1"/>
      <protection locked="0"/>
    </xf>
    <xf numFmtId="0" fontId="66" fillId="0" borderId="110" xfId="0" applyFont="1" applyBorder="1" applyAlignment="1" applyProtection="1">
      <alignment horizontal="center" vertical="center" textRotation="90" wrapText="1"/>
      <protection locked="0"/>
    </xf>
    <xf numFmtId="0" fontId="77" fillId="0" borderId="110" xfId="0" applyFont="1" applyBorder="1" applyAlignment="1" applyProtection="1">
      <alignment horizontal="center" vertical="center" textRotation="90" wrapText="1"/>
      <protection hidden="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88" fillId="16" borderId="21" xfId="0" applyFont="1" applyFill="1" applyBorder="1" applyAlignment="1">
      <alignment horizontal="center" vertical="center" textRotation="90" wrapText="1"/>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22" xfId="0" applyFont="1" applyFill="1" applyBorder="1" applyAlignment="1">
      <alignment horizontal="center"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23" fillId="0" borderId="0" xfId="0" applyFont="1" applyAlignment="1">
      <alignment horizontal="center" vertical="center" wrapText="1"/>
    </xf>
    <xf numFmtId="0" fontId="18" fillId="5" borderId="7"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15" fillId="0" borderId="0" xfId="0" applyFont="1" applyBorder="1" applyAlignment="1">
      <alignment horizontal="center" vertical="center"/>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2" fillId="0" borderId="0" xfId="0" applyFont="1" applyAlignment="1">
      <alignment horizontal="center"/>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100" fillId="0" borderId="21" xfId="0" applyFont="1" applyBorder="1" applyAlignment="1" applyProtection="1">
      <alignment horizontal="left" vertical="center" wrapText="1"/>
      <protection locked="0"/>
    </xf>
    <xf numFmtId="0" fontId="100" fillId="0" borderId="21" xfId="0" applyFont="1" applyBorder="1" applyAlignment="1" applyProtection="1">
      <alignment horizontal="left" vertical="center" wrapText="1"/>
      <protection locked="0"/>
    </xf>
    <xf numFmtId="0" fontId="1" fillId="0" borderId="110"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11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72" fillId="0" borderId="110" xfId="0" applyFont="1" applyBorder="1" applyAlignment="1">
      <alignment horizontal="center" vertical="center" wrapText="1"/>
    </xf>
    <xf numFmtId="0" fontId="72" fillId="0" borderId="22" xfId="0" applyFont="1" applyBorder="1" applyAlignment="1">
      <alignment horizontal="center" vertical="center" wrapText="1"/>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10"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100" fillId="0" borderId="21" xfId="0" applyFont="1" applyBorder="1" applyAlignment="1" applyProtection="1">
      <alignment horizontal="left" vertical="center"/>
      <protection locked="0"/>
    </xf>
    <xf numFmtId="0" fontId="100" fillId="0" borderId="21" xfId="0" applyFont="1" applyBorder="1" applyAlignment="1" applyProtection="1">
      <alignment horizontal="left" vertical="center"/>
      <protection locked="0"/>
    </xf>
    <xf numFmtId="0" fontId="77" fillId="0" borderId="110"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0" fontId="3" fillId="0" borderId="110"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100" fillId="0" borderId="21" xfId="0" applyFont="1" applyBorder="1" applyAlignment="1">
      <alignment horizontal="left" vertical="center"/>
    </xf>
    <xf numFmtId="0" fontId="72" fillId="0" borderId="21" xfId="0" applyFont="1" applyBorder="1" applyAlignment="1">
      <alignment horizontal="left" vertical="center" wrapText="1"/>
    </xf>
    <xf numFmtId="0" fontId="72" fillId="0" borderId="21" xfId="0" applyFont="1" applyBorder="1" applyAlignment="1" applyProtection="1">
      <alignment horizontal="left" vertical="center" wrapText="1"/>
      <protection locked="0"/>
    </xf>
    <xf numFmtId="0" fontId="100" fillId="0" borderId="21" xfId="0" applyFont="1" applyBorder="1" applyAlignment="1">
      <alignment horizontal="left" vertical="center" wrapText="1"/>
    </xf>
    <xf numFmtId="0" fontId="102" fillId="0" borderId="21" xfId="0" applyFont="1" applyBorder="1" applyAlignment="1" applyProtection="1">
      <alignment horizontal="left" vertical="center" wrapText="1"/>
      <protection locked="0"/>
    </xf>
    <xf numFmtId="0" fontId="66" fillId="0" borderId="110" xfId="0" applyFont="1" applyBorder="1" applyAlignment="1" applyProtection="1">
      <alignment vertical="center" textRotation="90" wrapText="1"/>
      <protection locked="0"/>
    </xf>
    <xf numFmtId="9" fontId="66" fillId="0" borderId="22" xfId="0" applyNumberFormat="1" applyFont="1" applyBorder="1" applyAlignment="1" applyProtection="1">
      <alignment vertical="center" wrapText="1"/>
      <protection hidden="1"/>
    </xf>
    <xf numFmtId="0" fontId="66" fillId="0" borderId="110" xfId="0" applyFont="1" applyBorder="1" applyAlignment="1" applyProtection="1">
      <alignment vertical="center" wrapText="1"/>
      <protection hidden="1"/>
    </xf>
    <xf numFmtId="0" fontId="100" fillId="0" borderId="21" xfId="0" applyFont="1" applyBorder="1" applyAlignment="1" applyProtection="1">
      <alignment horizontal="left" vertical="top" wrapText="1"/>
      <protection locked="0"/>
    </xf>
    <xf numFmtId="0" fontId="0" fillId="0" borderId="21" xfId="0" applyBorder="1" applyAlignment="1">
      <alignment horizontal="center" vertical="center" wrapText="1"/>
    </xf>
    <xf numFmtId="0" fontId="100" fillId="0" borderId="21" xfId="0" applyFont="1" applyBorder="1" applyAlignment="1" applyProtection="1">
      <alignment vertical="top" wrapText="1"/>
      <protection locked="0"/>
    </xf>
    <xf numFmtId="14" fontId="66" fillId="0" borderId="110" xfId="0" applyNumberFormat="1" applyFont="1" applyBorder="1" applyAlignment="1" applyProtection="1">
      <alignment horizontal="center" vertical="center" wrapText="1"/>
      <protection locked="0"/>
    </xf>
    <xf numFmtId="14" fontId="66" fillId="0" borderId="22" xfId="0" applyNumberFormat="1"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4" t="s">
        <v>267</v>
      </c>
      <c r="C2" s="245"/>
      <c r="D2" s="235" t="s">
        <v>205</v>
      </c>
      <c r="E2" s="236"/>
      <c r="F2" s="236"/>
      <c r="G2" s="236"/>
      <c r="H2" s="236"/>
      <c r="I2" s="236"/>
      <c r="J2" s="236"/>
      <c r="K2" s="236"/>
      <c r="L2" s="237"/>
      <c r="M2" s="250" t="s">
        <v>390</v>
      </c>
      <c r="N2" s="251"/>
    </row>
    <row r="3" spans="2:14" ht="29.25" customHeight="1" x14ac:dyDescent="0.25">
      <c r="B3" s="246"/>
      <c r="C3" s="247"/>
      <c r="D3" s="238"/>
      <c r="E3" s="239"/>
      <c r="F3" s="239"/>
      <c r="G3" s="239"/>
      <c r="H3" s="239"/>
      <c r="I3" s="239"/>
      <c r="J3" s="239"/>
      <c r="K3" s="239"/>
      <c r="L3" s="240"/>
      <c r="M3" s="252" t="s">
        <v>264</v>
      </c>
      <c r="N3" s="253"/>
    </row>
    <row r="4" spans="2:14" ht="29.25" customHeight="1" x14ac:dyDescent="0.25">
      <c r="B4" s="246"/>
      <c r="C4" s="247"/>
      <c r="D4" s="238"/>
      <c r="E4" s="239"/>
      <c r="F4" s="239"/>
      <c r="G4" s="239"/>
      <c r="H4" s="239"/>
      <c r="I4" s="239"/>
      <c r="J4" s="239"/>
      <c r="K4" s="239"/>
      <c r="L4" s="240"/>
      <c r="M4" s="252" t="s">
        <v>389</v>
      </c>
      <c r="N4" s="253"/>
    </row>
    <row r="5" spans="2:14" ht="29.25" customHeight="1" thickBot="1" x14ac:dyDescent="0.3">
      <c r="B5" s="248"/>
      <c r="C5" s="249"/>
      <c r="D5" s="241"/>
      <c r="E5" s="242"/>
      <c r="F5" s="242"/>
      <c r="G5" s="242"/>
      <c r="H5" s="242"/>
      <c r="I5" s="242"/>
      <c r="J5" s="242"/>
      <c r="K5" s="242"/>
      <c r="L5" s="243"/>
      <c r="M5" s="254" t="s">
        <v>245</v>
      </c>
      <c r="N5" s="255"/>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4" t="s">
        <v>309</v>
      </c>
      <c r="E31" s="234"/>
      <c r="N31" s="138"/>
    </row>
    <row r="32" spans="2:14" x14ac:dyDescent="0.25">
      <c r="B32" s="137"/>
      <c r="D32" s="234"/>
      <c r="E32" s="234"/>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16" t="s">
        <v>162</v>
      </c>
      <c r="C2" s="517"/>
      <c r="D2" s="517"/>
      <c r="E2" s="517"/>
      <c r="F2" s="517"/>
      <c r="G2" s="517"/>
      <c r="H2" s="518"/>
      <c r="J2" s="151" t="s">
        <v>274</v>
      </c>
    </row>
    <row r="3" spans="2:10" ht="20.25" x14ac:dyDescent="0.25">
      <c r="B3" s="70"/>
      <c r="C3" s="71"/>
      <c r="D3" s="71"/>
      <c r="E3" s="71"/>
      <c r="F3" s="71"/>
      <c r="G3" s="71"/>
      <c r="H3" s="72"/>
      <c r="J3" s="151"/>
    </row>
    <row r="4" spans="2:10" ht="63" customHeight="1" x14ac:dyDescent="0.25">
      <c r="B4" s="519" t="s">
        <v>305</v>
      </c>
      <c r="C4" s="520"/>
      <c r="D4" s="520"/>
      <c r="E4" s="520"/>
      <c r="F4" s="520"/>
      <c r="G4" s="520"/>
      <c r="H4" s="521"/>
    </row>
    <row r="5" spans="2:10" ht="63" customHeight="1" x14ac:dyDescent="0.25">
      <c r="B5" s="522"/>
      <c r="C5" s="523"/>
      <c r="D5" s="523"/>
      <c r="E5" s="523"/>
      <c r="F5" s="523"/>
      <c r="G5" s="523"/>
      <c r="H5" s="524"/>
    </row>
    <row r="6" spans="2:10" ht="16.5" x14ac:dyDescent="0.25">
      <c r="B6" s="525" t="s">
        <v>160</v>
      </c>
      <c r="C6" s="526"/>
      <c r="D6" s="526"/>
      <c r="E6" s="526"/>
      <c r="F6" s="526"/>
      <c r="G6" s="526"/>
      <c r="H6" s="527"/>
    </row>
    <row r="7" spans="2:10" ht="95.25" customHeight="1" x14ac:dyDescent="0.25">
      <c r="B7" s="535" t="s">
        <v>165</v>
      </c>
      <c r="C7" s="536"/>
      <c r="D7" s="536"/>
      <c r="E7" s="536"/>
      <c r="F7" s="536"/>
      <c r="G7" s="536"/>
      <c r="H7" s="537"/>
    </row>
    <row r="8" spans="2:10" ht="16.5" x14ac:dyDescent="0.25">
      <c r="B8" s="106"/>
      <c r="C8" s="107"/>
      <c r="D8" s="107"/>
      <c r="E8" s="107"/>
      <c r="F8" s="107"/>
      <c r="G8" s="107"/>
      <c r="H8" s="108"/>
    </row>
    <row r="9" spans="2:10" ht="16.5" customHeight="1" x14ac:dyDescent="0.25">
      <c r="B9" s="528" t="s">
        <v>293</v>
      </c>
      <c r="C9" s="529"/>
      <c r="D9" s="529"/>
      <c r="E9" s="529"/>
      <c r="F9" s="529"/>
      <c r="G9" s="529"/>
      <c r="H9" s="530"/>
    </row>
    <row r="10" spans="2:10" ht="44.25" customHeight="1" x14ac:dyDescent="0.25">
      <c r="B10" s="528"/>
      <c r="C10" s="529"/>
      <c r="D10" s="529"/>
      <c r="E10" s="529"/>
      <c r="F10" s="529"/>
      <c r="G10" s="529"/>
      <c r="H10" s="530"/>
    </row>
    <row r="11" spans="2:10" ht="15.75" thickBot="1" x14ac:dyDescent="0.3">
      <c r="B11" s="95"/>
      <c r="C11" s="98"/>
      <c r="D11" s="103"/>
      <c r="E11" s="104"/>
      <c r="F11" s="104"/>
      <c r="G11" s="105"/>
      <c r="H11" s="99"/>
    </row>
    <row r="12" spans="2:10" ht="15.75" thickTop="1" x14ac:dyDescent="0.25">
      <c r="B12" s="95"/>
      <c r="C12" s="531" t="s">
        <v>161</v>
      </c>
      <c r="D12" s="532"/>
      <c r="E12" s="533" t="s">
        <v>198</v>
      </c>
      <c r="F12" s="534"/>
      <c r="G12" s="98"/>
      <c r="H12" s="99"/>
    </row>
    <row r="13" spans="2:10" ht="35.25" customHeight="1" x14ac:dyDescent="0.25">
      <c r="B13" s="95"/>
      <c r="C13" s="538" t="s">
        <v>192</v>
      </c>
      <c r="D13" s="539"/>
      <c r="E13" s="540" t="s">
        <v>197</v>
      </c>
      <c r="F13" s="541"/>
      <c r="G13" s="98"/>
      <c r="H13" s="99"/>
    </row>
    <row r="14" spans="2:10" ht="17.25" customHeight="1" x14ac:dyDescent="0.25">
      <c r="B14" s="95"/>
      <c r="C14" s="538" t="s">
        <v>193</v>
      </c>
      <c r="D14" s="539"/>
      <c r="E14" s="540" t="s">
        <v>195</v>
      </c>
      <c r="F14" s="541"/>
      <c r="G14" s="98"/>
      <c r="H14" s="99"/>
    </row>
    <row r="15" spans="2:10" ht="19.5" customHeight="1" x14ac:dyDescent="0.25">
      <c r="B15" s="95"/>
      <c r="C15" s="538" t="s">
        <v>194</v>
      </c>
      <c r="D15" s="539"/>
      <c r="E15" s="540" t="s">
        <v>196</v>
      </c>
      <c r="F15" s="541"/>
      <c r="G15" s="98"/>
      <c r="H15" s="99"/>
    </row>
    <row r="16" spans="2:10" ht="69.75" customHeight="1" x14ac:dyDescent="0.25">
      <c r="B16" s="95"/>
      <c r="C16" s="538" t="s">
        <v>163</v>
      </c>
      <c r="D16" s="539"/>
      <c r="E16" s="540" t="s">
        <v>164</v>
      </c>
      <c r="F16" s="541"/>
      <c r="G16" s="98"/>
      <c r="H16" s="99"/>
    </row>
    <row r="17" spans="2:8" ht="34.5" customHeight="1" x14ac:dyDescent="0.25">
      <c r="B17" s="95"/>
      <c r="C17" s="542" t="s">
        <v>2</v>
      </c>
      <c r="D17" s="543"/>
      <c r="E17" s="544" t="s">
        <v>199</v>
      </c>
      <c r="F17" s="545"/>
      <c r="G17" s="98"/>
      <c r="H17" s="99"/>
    </row>
    <row r="18" spans="2:8" ht="27.75" customHeight="1" x14ac:dyDescent="0.25">
      <c r="B18" s="95"/>
      <c r="C18" s="542" t="s">
        <v>3</v>
      </c>
      <c r="D18" s="543"/>
      <c r="E18" s="544" t="s">
        <v>200</v>
      </c>
      <c r="F18" s="545"/>
      <c r="G18" s="98"/>
      <c r="H18" s="99"/>
    </row>
    <row r="19" spans="2:8" ht="28.5" customHeight="1" x14ac:dyDescent="0.25">
      <c r="B19" s="95"/>
      <c r="C19" s="542" t="s">
        <v>41</v>
      </c>
      <c r="D19" s="543"/>
      <c r="E19" s="544" t="s">
        <v>201</v>
      </c>
      <c r="F19" s="545"/>
      <c r="G19" s="98"/>
      <c r="H19" s="99"/>
    </row>
    <row r="20" spans="2:8" ht="72.75" customHeight="1" x14ac:dyDescent="0.25">
      <c r="B20" s="95"/>
      <c r="C20" s="542" t="s">
        <v>1</v>
      </c>
      <c r="D20" s="543"/>
      <c r="E20" s="544" t="s">
        <v>202</v>
      </c>
      <c r="F20" s="545"/>
      <c r="G20" s="98"/>
      <c r="H20" s="99"/>
    </row>
    <row r="21" spans="2:8" ht="64.5" customHeight="1" x14ac:dyDescent="0.25">
      <c r="B21" s="95"/>
      <c r="C21" s="542" t="s">
        <v>49</v>
      </c>
      <c r="D21" s="543"/>
      <c r="E21" s="544" t="s">
        <v>167</v>
      </c>
      <c r="F21" s="545"/>
      <c r="G21" s="98"/>
      <c r="H21" s="99"/>
    </row>
    <row r="22" spans="2:8" ht="71.25" customHeight="1" x14ac:dyDescent="0.25">
      <c r="B22" s="95"/>
      <c r="C22" s="542" t="s">
        <v>166</v>
      </c>
      <c r="D22" s="543"/>
      <c r="E22" s="544" t="s">
        <v>168</v>
      </c>
      <c r="F22" s="545"/>
      <c r="G22" s="98"/>
      <c r="H22" s="99"/>
    </row>
    <row r="23" spans="2:8" ht="55.5" customHeight="1" x14ac:dyDescent="0.25">
      <c r="B23" s="95"/>
      <c r="C23" s="549" t="s">
        <v>169</v>
      </c>
      <c r="D23" s="550"/>
      <c r="E23" s="544" t="s">
        <v>170</v>
      </c>
      <c r="F23" s="545"/>
      <c r="G23" s="98"/>
      <c r="H23" s="99"/>
    </row>
    <row r="24" spans="2:8" ht="42" customHeight="1" x14ac:dyDescent="0.25">
      <c r="B24" s="95"/>
      <c r="C24" s="549" t="s">
        <v>47</v>
      </c>
      <c r="D24" s="550"/>
      <c r="E24" s="544" t="s">
        <v>171</v>
      </c>
      <c r="F24" s="545"/>
      <c r="G24" s="98"/>
      <c r="H24" s="99"/>
    </row>
    <row r="25" spans="2:8" ht="59.25" customHeight="1" x14ac:dyDescent="0.25">
      <c r="B25" s="95"/>
      <c r="C25" s="549" t="s">
        <v>159</v>
      </c>
      <c r="D25" s="550"/>
      <c r="E25" s="544" t="s">
        <v>172</v>
      </c>
      <c r="F25" s="545"/>
      <c r="G25" s="98"/>
      <c r="H25" s="99"/>
    </row>
    <row r="26" spans="2:8" ht="23.25" customHeight="1" x14ac:dyDescent="0.25">
      <c r="B26" s="95"/>
      <c r="C26" s="549" t="s">
        <v>12</v>
      </c>
      <c r="D26" s="550"/>
      <c r="E26" s="544" t="s">
        <v>173</v>
      </c>
      <c r="F26" s="545"/>
      <c r="G26" s="98"/>
      <c r="H26" s="99"/>
    </row>
    <row r="27" spans="2:8" ht="30.75" customHeight="1" x14ac:dyDescent="0.25">
      <c r="B27" s="95"/>
      <c r="C27" s="549" t="s">
        <v>177</v>
      </c>
      <c r="D27" s="550"/>
      <c r="E27" s="544" t="s">
        <v>174</v>
      </c>
      <c r="F27" s="545"/>
      <c r="G27" s="98"/>
      <c r="H27" s="99"/>
    </row>
    <row r="28" spans="2:8" ht="35.25" customHeight="1" x14ac:dyDescent="0.25">
      <c r="B28" s="95"/>
      <c r="C28" s="549" t="s">
        <v>178</v>
      </c>
      <c r="D28" s="550"/>
      <c r="E28" s="544" t="s">
        <v>175</v>
      </c>
      <c r="F28" s="545"/>
      <c r="G28" s="98"/>
      <c r="H28" s="99"/>
    </row>
    <row r="29" spans="2:8" ht="33" customHeight="1" x14ac:dyDescent="0.25">
      <c r="B29" s="95"/>
      <c r="C29" s="549" t="s">
        <v>178</v>
      </c>
      <c r="D29" s="550"/>
      <c r="E29" s="544" t="s">
        <v>175</v>
      </c>
      <c r="F29" s="545"/>
      <c r="G29" s="98"/>
      <c r="H29" s="99"/>
    </row>
    <row r="30" spans="2:8" ht="30" customHeight="1" x14ac:dyDescent="0.25">
      <c r="B30" s="95"/>
      <c r="C30" s="549" t="s">
        <v>179</v>
      </c>
      <c r="D30" s="550"/>
      <c r="E30" s="544" t="s">
        <v>176</v>
      </c>
      <c r="F30" s="545"/>
      <c r="G30" s="98"/>
      <c r="H30" s="99"/>
    </row>
    <row r="31" spans="2:8" ht="35.25" customHeight="1" x14ac:dyDescent="0.25">
      <c r="B31" s="95"/>
      <c r="C31" s="549" t="s">
        <v>180</v>
      </c>
      <c r="D31" s="550"/>
      <c r="E31" s="544" t="s">
        <v>181</v>
      </c>
      <c r="F31" s="545"/>
      <c r="G31" s="98"/>
      <c r="H31" s="99"/>
    </row>
    <row r="32" spans="2:8" ht="31.5" customHeight="1" x14ac:dyDescent="0.25">
      <c r="B32" s="95"/>
      <c r="C32" s="549" t="s">
        <v>182</v>
      </c>
      <c r="D32" s="550"/>
      <c r="E32" s="544" t="s">
        <v>183</v>
      </c>
      <c r="F32" s="545"/>
      <c r="G32" s="98"/>
      <c r="H32" s="99"/>
    </row>
    <row r="33" spans="2:8" ht="35.25" customHeight="1" x14ac:dyDescent="0.25">
      <c r="B33" s="95"/>
      <c r="C33" s="549" t="s">
        <v>184</v>
      </c>
      <c r="D33" s="550"/>
      <c r="E33" s="544" t="s">
        <v>185</v>
      </c>
      <c r="F33" s="545"/>
      <c r="G33" s="98"/>
      <c r="H33" s="99"/>
    </row>
    <row r="34" spans="2:8" ht="59.25" customHeight="1" x14ac:dyDescent="0.25">
      <c r="B34" s="95"/>
      <c r="C34" s="549" t="s">
        <v>186</v>
      </c>
      <c r="D34" s="550"/>
      <c r="E34" s="544" t="s">
        <v>187</v>
      </c>
      <c r="F34" s="545"/>
      <c r="G34" s="98"/>
      <c r="H34" s="99"/>
    </row>
    <row r="35" spans="2:8" ht="29.25" customHeight="1" x14ac:dyDescent="0.25">
      <c r="B35" s="95"/>
      <c r="C35" s="549" t="s">
        <v>29</v>
      </c>
      <c r="D35" s="550"/>
      <c r="E35" s="544" t="s">
        <v>188</v>
      </c>
      <c r="F35" s="545"/>
      <c r="G35" s="98"/>
      <c r="H35" s="99"/>
    </row>
    <row r="36" spans="2:8" ht="82.5" customHeight="1" x14ac:dyDescent="0.25">
      <c r="B36" s="95"/>
      <c r="C36" s="549" t="s">
        <v>190</v>
      </c>
      <c r="D36" s="550"/>
      <c r="E36" s="544" t="s">
        <v>189</v>
      </c>
      <c r="F36" s="545"/>
      <c r="G36" s="98"/>
      <c r="H36" s="99"/>
    </row>
    <row r="37" spans="2:8" ht="46.5" customHeight="1" x14ac:dyDescent="0.25">
      <c r="B37" s="95"/>
      <c r="C37" s="549" t="s">
        <v>38</v>
      </c>
      <c r="D37" s="550"/>
      <c r="E37" s="544" t="s">
        <v>191</v>
      </c>
      <c r="F37" s="545"/>
      <c r="G37" s="98"/>
      <c r="H37" s="99"/>
    </row>
    <row r="38" spans="2:8" ht="6.75" customHeight="1" thickBot="1" x14ac:dyDescent="0.3">
      <c r="B38" s="95"/>
      <c r="C38" s="551"/>
      <c r="D38" s="552"/>
      <c r="E38" s="553"/>
      <c r="F38" s="554"/>
      <c r="G38" s="98"/>
      <c r="H38" s="99"/>
    </row>
    <row r="39" spans="2:8" ht="15.75" thickTop="1" x14ac:dyDescent="0.25">
      <c r="B39" s="95"/>
      <c r="C39" s="96"/>
      <c r="D39" s="96"/>
      <c r="E39" s="97"/>
      <c r="F39" s="97"/>
      <c r="G39" s="98"/>
      <c r="H39" s="99"/>
    </row>
    <row r="40" spans="2:8" ht="21" customHeight="1" x14ac:dyDescent="0.25">
      <c r="B40" s="546" t="s">
        <v>294</v>
      </c>
      <c r="C40" s="547"/>
      <c r="D40" s="547"/>
      <c r="E40" s="547"/>
      <c r="F40" s="547"/>
      <c r="G40" s="547"/>
      <c r="H40" s="548"/>
    </row>
    <row r="41" spans="2:8" ht="20.25" customHeight="1" x14ac:dyDescent="0.25">
      <c r="B41" s="546" t="s">
        <v>295</v>
      </c>
      <c r="C41" s="547"/>
      <c r="D41" s="547"/>
      <c r="E41" s="547"/>
      <c r="F41" s="547"/>
      <c r="G41" s="547"/>
      <c r="H41" s="548"/>
    </row>
    <row r="42" spans="2:8" ht="20.25" customHeight="1" x14ac:dyDescent="0.25">
      <c r="B42" s="546" t="s">
        <v>296</v>
      </c>
      <c r="C42" s="547"/>
      <c r="D42" s="547"/>
      <c r="E42" s="547"/>
      <c r="F42" s="547"/>
      <c r="G42" s="547"/>
      <c r="H42" s="548"/>
    </row>
    <row r="43" spans="2:8" ht="20.25" customHeight="1" x14ac:dyDescent="0.25">
      <c r="B43" s="546" t="s">
        <v>297</v>
      </c>
      <c r="C43" s="547"/>
      <c r="D43" s="547"/>
      <c r="E43" s="547"/>
      <c r="F43" s="547"/>
      <c r="G43" s="547"/>
      <c r="H43" s="548"/>
    </row>
    <row r="44" spans="2:8" ht="15" customHeight="1" x14ac:dyDescent="0.25">
      <c r="B44" s="546" t="s">
        <v>298</v>
      </c>
      <c r="C44" s="547"/>
      <c r="D44" s="547"/>
      <c r="E44" s="547"/>
      <c r="F44" s="547"/>
      <c r="G44" s="547"/>
      <c r="H44" s="548"/>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55" t="s">
        <v>251</v>
      </c>
      <c r="C2" s="556" t="s">
        <v>205</v>
      </c>
      <c r="D2" s="557"/>
      <c r="E2" s="557"/>
      <c r="F2" s="557"/>
      <c r="G2" s="557"/>
      <c r="H2" s="557"/>
      <c r="I2" s="557"/>
      <c r="J2" s="262" t="s">
        <v>250</v>
      </c>
      <c r="K2" s="251"/>
    </row>
    <row r="3" spans="2:11" ht="15" customHeight="1" x14ac:dyDescent="0.25">
      <c r="B3" s="509"/>
      <c r="C3" s="558"/>
      <c r="D3" s="559"/>
      <c r="E3" s="559"/>
      <c r="F3" s="559"/>
      <c r="G3" s="559"/>
      <c r="H3" s="559"/>
      <c r="I3" s="559"/>
      <c r="J3" s="263" t="s">
        <v>264</v>
      </c>
      <c r="K3" s="253"/>
    </row>
    <row r="4" spans="2:11" ht="15" customHeight="1" x14ac:dyDescent="0.25">
      <c r="B4" s="509"/>
      <c r="C4" s="558"/>
      <c r="D4" s="559"/>
      <c r="E4" s="559"/>
      <c r="F4" s="559"/>
      <c r="G4" s="559"/>
      <c r="H4" s="559"/>
      <c r="I4" s="559"/>
      <c r="J4" s="263" t="s">
        <v>263</v>
      </c>
      <c r="K4" s="253" t="s">
        <v>263</v>
      </c>
    </row>
    <row r="5" spans="2:11" ht="15" customHeight="1" thickBot="1" x14ac:dyDescent="0.3">
      <c r="B5" s="510"/>
      <c r="C5" s="560"/>
      <c r="D5" s="561"/>
      <c r="E5" s="561"/>
      <c r="F5" s="561"/>
      <c r="G5" s="561"/>
      <c r="H5" s="561"/>
      <c r="I5" s="561"/>
      <c r="J5" s="264" t="s">
        <v>245</v>
      </c>
      <c r="K5" s="255" t="s">
        <v>245</v>
      </c>
    </row>
    <row r="6" spans="2:11" ht="15.75" thickBot="1" x14ac:dyDescent="0.3"/>
    <row r="7" spans="2:11" customFormat="1" ht="15.75" thickBot="1" x14ac:dyDescent="0.3">
      <c r="B7" s="562" t="s">
        <v>246</v>
      </c>
      <c r="C7" s="563"/>
      <c r="D7" s="564" t="s">
        <v>252</v>
      </c>
      <c r="E7" s="565"/>
      <c r="F7" s="564" t="s">
        <v>253</v>
      </c>
      <c r="G7" s="566"/>
      <c r="H7" s="566"/>
      <c r="I7" s="566"/>
      <c r="J7" s="566"/>
      <c r="K7" s="567"/>
    </row>
    <row r="8" spans="2:11" customFormat="1" ht="18" customHeight="1" thickBot="1" x14ac:dyDescent="0.3">
      <c r="B8" s="568"/>
      <c r="C8" s="569"/>
      <c r="D8" s="570">
        <v>1</v>
      </c>
      <c r="E8" s="571"/>
      <c r="F8" s="572"/>
      <c r="G8" s="572"/>
      <c r="H8" s="572"/>
      <c r="I8" s="572"/>
      <c r="J8" s="572"/>
      <c r="K8" s="573"/>
    </row>
    <row r="9" spans="2:11" customFormat="1" ht="18" customHeight="1" thickBot="1" x14ac:dyDescent="0.3">
      <c r="B9" s="568"/>
      <c r="C9" s="569"/>
      <c r="D9" s="570">
        <v>2</v>
      </c>
      <c r="E9" s="571"/>
      <c r="F9" s="572"/>
      <c r="G9" s="572"/>
      <c r="H9" s="572"/>
      <c r="I9" s="572"/>
      <c r="J9" s="572"/>
      <c r="K9" s="573"/>
    </row>
    <row r="10" spans="2:11" customFormat="1" ht="18" customHeight="1" thickBot="1" x14ac:dyDescent="0.3">
      <c r="B10" s="568"/>
      <c r="C10" s="569"/>
      <c r="D10" s="570">
        <v>3</v>
      </c>
      <c r="E10" s="571"/>
      <c r="F10" s="572"/>
      <c r="G10" s="572"/>
      <c r="H10" s="572"/>
      <c r="I10" s="572"/>
      <c r="J10" s="572"/>
      <c r="K10" s="573"/>
    </row>
    <row r="11" spans="2:11" customFormat="1" ht="18" customHeight="1" thickBot="1" x14ac:dyDescent="0.3">
      <c r="B11" s="568"/>
      <c r="C11" s="569"/>
      <c r="D11" s="570">
        <v>4</v>
      </c>
      <c r="E11" s="571"/>
      <c r="F11" s="572"/>
      <c r="G11" s="572"/>
      <c r="H11" s="572"/>
      <c r="I11" s="572"/>
      <c r="J11" s="572"/>
      <c r="K11" s="573"/>
    </row>
    <row r="12" spans="2:11" customFormat="1" ht="18" customHeight="1" thickBot="1" x14ac:dyDescent="0.3">
      <c r="B12" s="568"/>
      <c r="C12" s="569"/>
      <c r="D12" s="570">
        <v>5</v>
      </c>
      <c r="E12" s="571"/>
      <c r="F12" s="572"/>
      <c r="G12" s="572"/>
      <c r="H12" s="572"/>
      <c r="I12" s="572"/>
      <c r="J12" s="572"/>
      <c r="K12" s="573"/>
    </row>
    <row r="13" spans="2:11" customFormat="1" ht="18" customHeight="1" thickBot="1" x14ac:dyDescent="0.3">
      <c r="B13" s="568"/>
      <c r="C13" s="569"/>
      <c r="D13" s="570">
        <v>6</v>
      </c>
      <c r="E13" s="571"/>
      <c r="F13" s="572"/>
      <c r="G13" s="572"/>
      <c r="H13" s="572"/>
      <c r="I13" s="572"/>
      <c r="J13" s="572"/>
      <c r="K13" s="573"/>
    </row>
    <row r="14" spans="2:11" customFormat="1" ht="18" customHeight="1" thickBot="1" x14ac:dyDescent="0.3">
      <c r="B14" s="568"/>
      <c r="C14" s="569"/>
      <c r="D14" s="570">
        <v>7</v>
      </c>
      <c r="E14" s="571"/>
      <c r="F14" s="572"/>
      <c r="G14" s="572"/>
      <c r="H14" s="572"/>
      <c r="I14" s="572"/>
      <c r="J14" s="572"/>
      <c r="K14" s="573"/>
    </row>
    <row r="15" spans="2:11" customFormat="1" ht="18" customHeight="1" thickBot="1" x14ac:dyDescent="0.3">
      <c r="B15" s="568">
        <v>45352</v>
      </c>
      <c r="C15" s="569"/>
      <c r="D15" s="570">
        <v>8</v>
      </c>
      <c r="E15" s="571"/>
      <c r="F15" s="572" t="s">
        <v>265</v>
      </c>
      <c r="G15" s="572"/>
      <c r="H15" s="572"/>
      <c r="I15" s="572"/>
      <c r="J15" s="572"/>
      <c r="K15" s="573"/>
    </row>
    <row r="16" spans="2:11" customFormat="1" ht="15.75" customHeight="1" thickBot="1" x14ac:dyDescent="0.3">
      <c r="B16" s="574"/>
      <c r="C16" s="574"/>
      <c r="D16" s="574"/>
      <c r="E16" s="574"/>
      <c r="F16" s="574"/>
      <c r="G16" s="574"/>
      <c r="H16" s="574"/>
      <c r="I16" s="574"/>
      <c r="J16" s="574"/>
      <c r="K16" s="574"/>
    </row>
    <row r="17" spans="2:12" customFormat="1" ht="15.75" customHeight="1" thickBot="1" x14ac:dyDescent="0.3">
      <c r="B17" s="575" t="s">
        <v>254</v>
      </c>
      <c r="C17" s="576"/>
      <c r="D17" s="576"/>
      <c r="E17" s="577"/>
      <c r="F17" s="578" t="s">
        <v>255</v>
      </c>
      <c r="G17" s="579"/>
      <c r="H17" s="580"/>
      <c r="I17" s="581" t="s">
        <v>256</v>
      </c>
      <c r="J17" s="582"/>
      <c r="K17" s="577"/>
    </row>
    <row r="18" spans="2:12" customFormat="1" ht="27" customHeight="1" x14ac:dyDescent="0.25">
      <c r="B18" s="583"/>
      <c r="C18" s="584"/>
      <c r="D18" s="584"/>
      <c r="E18" s="584"/>
      <c r="F18" s="584"/>
      <c r="G18" s="584"/>
      <c r="H18" s="584"/>
      <c r="I18" s="585"/>
      <c r="J18" s="585"/>
      <c r="K18" s="586"/>
    </row>
    <row r="19" spans="2:12" customFormat="1" ht="15" customHeight="1" x14ac:dyDescent="0.25">
      <c r="B19" s="588" t="s">
        <v>257</v>
      </c>
      <c r="C19" s="589"/>
      <c r="D19" s="589"/>
      <c r="E19" s="589"/>
      <c r="F19" s="590" t="s">
        <v>258</v>
      </c>
      <c r="G19" s="590"/>
      <c r="H19" s="591"/>
      <c r="I19" s="590" t="s">
        <v>258</v>
      </c>
      <c r="J19" s="590"/>
      <c r="K19" s="591"/>
    </row>
    <row r="20" spans="2:12" customFormat="1" ht="22.5" customHeight="1" thickBot="1" x14ac:dyDescent="0.3">
      <c r="B20" s="592" t="s">
        <v>259</v>
      </c>
      <c r="C20" s="593"/>
      <c r="D20" s="593"/>
      <c r="E20" s="593"/>
      <c r="F20" s="593" t="s">
        <v>260</v>
      </c>
      <c r="G20" s="593"/>
      <c r="H20" s="594"/>
      <c r="I20" s="593" t="s">
        <v>260</v>
      </c>
      <c r="J20" s="593"/>
      <c r="K20" s="594"/>
    </row>
    <row r="21" spans="2:12" customFormat="1" ht="9" customHeight="1" thickBot="1" x14ac:dyDescent="0.3">
      <c r="B21" s="595"/>
      <c r="C21" s="595"/>
      <c r="D21" s="595"/>
      <c r="E21" s="595"/>
      <c r="F21" s="595"/>
      <c r="G21" s="595"/>
      <c r="H21" s="595"/>
      <c r="I21" s="595"/>
      <c r="J21" s="595"/>
      <c r="K21" s="595"/>
    </row>
    <row r="22" spans="2:12" customFormat="1" ht="15.75" thickBot="1" x14ac:dyDescent="0.3">
      <c r="B22" s="596" t="s">
        <v>207</v>
      </c>
      <c r="C22" s="597"/>
      <c r="D22" s="598"/>
      <c r="E22" s="131" t="s">
        <v>208</v>
      </c>
      <c r="F22" s="596" t="s">
        <v>209</v>
      </c>
      <c r="G22" s="598"/>
      <c r="H22" s="132" t="s">
        <v>210</v>
      </c>
      <c r="I22" s="596" t="s">
        <v>211</v>
      </c>
      <c r="J22" s="598"/>
      <c r="K22" s="133">
        <v>1</v>
      </c>
    </row>
    <row r="23" spans="2:12" ht="8.25" customHeight="1" x14ac:dyDescent="0.25"/>
    <row r="24" spans="2:12" x14ac:dyDescent="0.25">
      <c r="B24" s="587" t="s">
        <v>261</v>
      </c>
      <c r="C24" s="587"/>
      <c r="D24" s="587"/>
      <c r="E24" s="587"/>
      <c r="F24" s="587"/>
      <c r="G24" s="587"/>
      <c r="H24" s="587"/>
      <c r="I24" s="587"/>
      <c r="J24" s="587"/>
      <c r="K24" s="587"/>
      <c r="L24" s="587"/>
    </row>
    <row r="25" spans="2:12" x14ac:dyDescent="0.25">
      <c r="B25" s="587" t="s">
        <v>262</v>
      </c>
      <c r="C25" s="587"/>
      <c r="D25" s="587"/>
      <c r="E25" s="587"/>
      <c r="F25" s="587"/>
      <c r="G25" s="587"/>
      <c r="H25" s="587"/>
      <c r="I25" s="587"/>
      <c r="J25" s="587"/>
      <c r="K25" s="587"/>
      <c r="L25" s="587"/>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99" t="s">
        <v>54</v>
      </c>
      <c r="C1" s="599"/>
      <c r="D1" s="59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0" t="s">
        <v>62</v>
      </c>
      <c r="C1" s="600"/>
      <c r="D1" s="600"/>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1" t="s">
        <v>77</v>
      </c>
      <c r="C1" s="602"/>
      <c r="D1" s="602"/>
      <c r="E1" s="602"/>
      <c r="F1" s="603"/>
    </row>
    <row r="2" spans="2:6" ht="16.5" thickBot="1" x14ac:dyDescent="0.3">
      <c r="B2" s="75"/>
      <c r="C2" s="75"/>
      <c r="D2" s="75"/>
      <c r="E2" s="75"/>
      <c r="F2" s="75"/>
    </row>
    <row r="3" spans="2:6" ht="16.5" thickBot="1" x14ac:dyDescent="0.25">
      <c r="B3" s="605" t="s">
        <v>63</v>
      </c>
      <c r="C3" s="606"/>
      <c r="D3" s="606"/>
      <c r="E3" s="87" t="s">
        <v>64</v>
      </c>
      <c r="F3" s="88" t="s">
        <v>65</v>
      </c>
    </row>
    <row r="4" spans="2:6" ht="31.5" x14ac:dyDescent="0.2">
      <c r="B4" s="607" t="s">
        <v>66</v>
      </c>
      <c r="C4" s="609" t="s">
        <v>13</v>
      </c>
      <c r="D4" s="76" t="s">
        <v>14</v>
      </c>
      <c r="E4" s="77" t="s">
        <v>67</v>
      </c>
      <c r="F4" s="78">
        <v>0.25</v>
      </c>
    </row>
    <row r="5" spans="2:6" ht="47.25" x14ac:dyDescent="0.2">
      <c r="B5" s="608"/>
      <c r="C5" s="610"/>
      <c r="D5" s="79" t="s">
        <v>15</v>
      </c>
      <c r="E5" s="80" t="s">
        <v>68</v>
      </c>
      <c r="F5" s="81">
        <v>0.15</v>
      </c>
    </row>
    <row r="6" spans="2:6" ht="47.25" x14ac:dyDescent="0.2">
      <c r="B6" s="608"/>
      <c r="C6" s="610"/>
      <c r="D6" s="79" t="s">
        <v>16</v>
      </c>
      <c r="E6" s="80" t="s">
        <v>69</v>
      </c>
      <c r="F6" s="81">
        <v>0.1</v>
      </c>
    </row>
    <row r="7" spans="2:6" ht="63" x14ac:dyDescent="0.2">
      <c r="B7" s="608"/>
      <c r="C7" s="610" t="s">
        <v>17</v>
      </c>
      <c r="D7" s="79" t="s">
        <v>10</v>
      </c>
      <c r="E7" s="80" t="s">
        <v>70</v>
      </c>
      <c r="F7" s="81">
        <v>0.25</v>
      </c>
    </row>
    <row r="8" spans="2:6" ht="31.5" x14ac:dyDescent="0.2">
      <c r="B8" s="608"/>
      <c r="C8" s="610"/>
      <c r="D8" s="79" t="s">
        <v>9</v>
      </c>
      <c r="E8" s="80" t="s">
        <v>71</v>
      </c>
      <c r="F8" s="81">
        <v>0.15</v>
      </c>
    </row>
    <row r="9" spans="2:6" ht="47.25" x14ac:dyDescent="0.2">
      <c r="B9" s="608" t="s">
        <v>158</v>
      </c>
      <c r="C9" s="610" t="s">
        <v>18</v>
      </c>
      <c r="D9" s="79" t="s">
        <v>19</v>
      </c>
      <c r="E9" s="80" t="s">
        <v>72</v>
      </c>
      <c r="F9" s="82" t="s">
        <v>73</v>
      </c>
    </row>
    <row r="10" spans="2:6" ht="63" x14ac:dyDescent="0.2">
      <c r="B10" s="608"/>
      <c r="C10" s="610"/>
      <c r="D10" s="79" t="s">
        <v>20</v>
      </c>
      <c r="E10" s="80" t="s">
        <v>74</v>
      </c>
      <c r="F10" s="82" t="s">
        <v>73</v>
      </c>
    </row>
    <row r="11" spans="2:6" ht="47.25" x14ac:dyDescent="0.2">
      <c r="B11" s="608"/>
      <c r="C11" s="610" t="s">
        <v>21</v>
      </c>
      <c r="D11" s="79" t="s">
        <v>22</v>
      </c>
      <c r="E11" s="80" t="s">
        <v>75</v>
      </c>
      <c r="F11" s="82" t="s">
        <v>73</v>
      </c>
    </row>
    <row r="12" spans="2:6" ht="47.25" x14ac:dyDescent="0.2">
      <c r="B12" s="608"/>
      <c r="C12" s="610"/>
      <c r="D12" s="79" t="s">
        <v>23</v>
      </c>
      <c r="E12" s="80" t="s">
        <v>76</v>
      </c>
      <c r="F12" s="82" t="s">
        <v>73</v>
      </c>
    </row>
    <row r="13" spans="2:6" ht="31.5" x14ac:dyDescent="0.2">
      <c r="B13" s="608"/>
      <c r="C13" s="610" t="s">
        <v>24</v>
      </c>
      <c r="D13" s="79" t="s">
        <v>118</v>
      </c>
      <c r="E13" s="80" t="s">
        <v>121</v>
      </c>
      <c r="F13" s="82" t="s">
        <v>73</v>
      </c>
    </row>
    <row r="14" spans="2:6" ht="32.25" thickBot="1" x14ac:dyDescent="0.25">
      <c r="B14" s="611"/>
      <c r="C14" s="612"/>
      <c r="D14" s="83" t="s">
        <v>119</v>
      </c>
      <c r="E14" s="84" t="s">
        <v>120</v>
      </c>
      <c r="F14" s="85" t="s">
        <v>73</v>
      </c>
    </row>
    <row r="15" spans="2:6" ht="49.5" customHeight="1" x14ac:dyDescent="0.2">
      <c r="B15" s="604" t="s">
        <v>155</v>
      </c>
      <c r="C15" s="604"/>
      <c r="D15" s="604"/>
      <c r="E15" s="604"/>
      <c r="F15" s="604"/>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7" t="s">
        <v>244</v>
      </c>
      <c r="C2" s="278"/>
      <c r="D2" s="265" t="s">
        <v>300</v>
      </c>
      <c r="E2" s="262" t="s">
        <v>377</v>
      </c>
      <c r="F2" s="251"/>
    </row>
    <row r="3" spans="1:8" ht="19.5" customHeight="1" x14ac:dyDescent="0.25">
      <c r="B3" s="246"/>
      <c r="C3" s="279"/>
      <c r="D3" s="266"/>
      <c r="E3" s="263" t="s">
        <v>264</v>
      </c>
      <c r="F3" s="253"/>
    </row>
    <row r="4" spans="1:8" ht="19.5" customHeight="1" x14ac:dyDescent="0.25">
      <c r="B4" s="246"/>
      <c r="C4" s="279"/>
      <c r="D4" s="266"/>
      <c r="E4" s="263" t="s">
        <v>389</v>
      </c>
      <c r="F4" s="253"/>
    </row>
    <row r="5" spans="1:8" ht="19.5" customHeight="1" thickBot="1" x14ac:dyDescent="0.3">
      <c r="A5" t="s">
        <v>266</v>
      </c>
      <c r="B5" s="248"/>
      <c r="C5" s="280"/>
      <c r="D5" s="267"/>
      <c r="E5" s="264" t="s">
        <v>245</v>
      </c>
      <c r="F5" s="255"/>
    </row>
    <row r="6" spans="1:8" ht="15.75" thickBot="1" x14ac:dyDescent="0.3"/>
    <row r="7" spans="1:8" x14ac:dyDescent="0.25">
      <c r="B7" s="268" t="s">
        <v>299</v>
      </c>
      <c r="C7" s="271" t="s">
        <v>268</v>
      </c>
      <c r="D7" s="272"/>
      <c r="E7" s="258" t="s">
        <v>270</v>
      </c>
      <c r="F7" s="259"/>
    </row>
    <row r="8" spans="1:8" ht="15.75" thickBot="1" x14ac:dyDescent="0.3">
      <c r="B8" s="269"/>
      <c r="C8" s="273"/>
      <c r="D8" s="274"/>
      <c r="E8" s="260"/>
      <c r="F8" s="261"/>
      <c r="H8" s="156">
        <f>+COUNTA($E$10:$E$28)</f>
        <v>0</v>
      </c>
    </row>
    <row r="9" spans="1:8" ht="15.75" thickBot="1" x14ac:dyDescent="0.3">
      <c r="B9" s="270"/>
      <c r="C9" s="275" t="s">
        <v>269</v>
      </c>
      <c r="D9" s="276"/>
      <c r="E9" s="153" t="s">
        <v>271</v>
      </c>
      <c r="F9" s="153" t="s">
        <v>272</v>
      </c>
      <c r="H9" s="156">
        <f>+COUNTA($F$10:$F$28)</f>
        <v>0</v>
      </c>
    </row>
    <row r="10" spans="1:8" ht="15.75" thickBot="1" x14ac:dyDescent="0.3">
      <c r="B10" s="152">
        <v>1</v>
      </c>
      <c r="C10" s="256" t="s">
        <v>273</v>
      </c>
      <c r="D10" s="257"/>
      <c r="E10" s="148"/>
      <c r="F10" s="149"/>
      <c r="H10" s="156">
        <f>+COUNTA($E$10:$E$28)-COUNTA(F10:F28)</f>
        <v>0</v>
      </c>
    </row>
    <row r="11" spans="1:8" ht="15.75" thickBot="1" x14ac:dyDescent="0.3">
      <c r="B11" s="152">
        <v>2</v>
      </c>
      <c r="C11" s="256" t="s">
        <v>275</v>
      </c>
      <c r="D11" s="257" t="s">
        <v>275</v>
      </c>
      <c r="E11" s="148"/>
      <c r="F11" s="149"/>
      <c r="H11" s="157"/>
    </row>
    <row r="12" spans="1:8" ht="15.75" thickBot="1" x14ac:dyDescent="0.3">
      <c r="B12" s="152">
        <v>3</v>
      </c>
      <c r="C12" s="256" t="s">
        <v>276</v>
      </c>
      <c r="D12" s="257" t="s">
        <v>276</v>
      </c>
      <c r="E12" s="148"/>
      <c r="F12" s="149"/>
    </row>
    <row r="13" spans="1:8" ht="15.75" thickBot="1" x14ac:dyDescent="0.3">
      <c r="B13" s="152">
        <v>4</v>
      </c>
      <c r="C13" s="256" t="s">
        <v>388</v>
      </c>
      <c r="D13" s="257" t="s">
        <v>277</v>
      </c>
      <c r="E13" s="148"/>
      <c r="F13" s="149"/>
    </row>
    <row r="14" spans="1:8" ht="15.75" thickBot="1" x14ac:dyDescent="0.3">
      <c r="B14" s="152">
        <v>5</v>
      </c>
      <c r="C14" s="256" t="s">
        <v>278</v>
      </c>
      <c r="D14" s="257" t="s">
        <v>278</v>
      </c>
      <c r="E14" s="148"/>
      <c r="F14" s="149"/>
    </row>
    <row r="15" spans="1:8" ht="15.75" thickBot="1" x14ac:dyDescent="0.3">
      <c r="B15" s="152">
        <v>6</v>
      </c>
      <c r="C15" s="256" t="s">
        <v>279</v>
      </c>
      <c r="D15" s="257" t="s">
        <v>279</v>
      </c>
      <c r="E15" s="148"/>
      <c r="F15" s="149"/>
    </row>
    <row r="16" spans="1:8" ht="15.75" thickBot="1" x14ac:dyDescent="0.3">
      <c r="B16" s="152">
        <v>7</v>
      </c>
      <c r="C16" s="256" t="s">
        <v>280</v>
      </c>
      <c r="D16" s="257" t="s">
        <v>280</v>
      </c>
      <c r="E16" s="148"/>
      <c r="F16" s="149"/>
    </row>
    <row r="17" spans="2:7" ht="28.5" customHeight="1" thickBot="1" x14ac:dyDescent="0.3">
      <c r="B17" s="152">
        <v>8</v>
      </c>
      <c r="C17" s="256" t="s">
        <v>281</v>
      </c>
      <c r="D17" s="257" t="s">
        <v>281</v>
      </c>
      <c r="E17" s="148"/>
      <c r="F17" s="149"/>
    </row>
    <row r="18" spans="2:7" ht="18.75" customHeight="1" thickBot="1" x14ac:dyDescent="0.3">
      <c r="B18" s="152">
        <v>9</v>
      </c>
      <c r="C18" s="256" t="s">
        <v>282</v>
      </c>
      <c r="D18" s="257" t="s">
        <v>282</v>
      </c>
      <c r="E18" s="148"/>
      <c r="F18" s="149"/>
    </row>
    <row r="19" spans="2:7" ht="15.75" thickBot="1" x14ac:dyDescent="0.3">
      <c r="B19" s="152">
        <v>10</v>
      </c>
      <c r="C19" s="256" t="s">
        <v>283</v>
      </c>
      <c r="D19" s="257" t="s">
        <v>283</v>
      </c>
      <c r="E19" s="148"/>
      <c r="F19" s="149"/>
    </row>
    <row r="20" spans="2:7" ht="15.75" thickBot="1" x14ac:dyDescent="0.3">
      <c r="B20" s="152">
        <v>11</v>
      </c>
      <c r="C20" s="256" t="s">
        <v>284</v>
      </c>
      <c r="D20" s="257" t="s">
        <v>284</v>
      </c>
      <c r="E20" s="148"/>
      <c r="F20" s="149"/>
    </row>
    <row r="21" spans="2:7" ht="15.75" thickBot="1" x14ac:dyDescent="0.3">
      <c r="B21" s="152">
        <v>12</v>
      </c>
      <c r="C21" s="256" t="s">
        <v>285</v>
      </c>
      <c r="D21" s="257" t="s">
        <v>285</v>
      </c>
      <c r="E21" s="148"/>
      <c r="F21" s="149"/>
    </row>
    <row r="22" spans="2:7" ht="15.75" thickBot="1" x14ac:dyDescent="0.3">
      <c r="B22" s="152">
        <v>13</v>
      </c>
      <c r="C22" s="256" t="s">
        <v>286</v>
      </c>
      <c r="D22" s="257" t="s">
        <v>286</v>
      </c>
      <c r="E22" s="148"/>
      <c r="F22" s="149"/>
    </row>
    <row r="23" spans="2:7" ht="15.75" thickBot="1" x14ac:dyDescent="0.3">
      <c r="B23" s="152">
        <v>14</v>
      </c>
      <c r="C23" s="256" t="s">
        <v>287</v>
      </c>
      <c r="D23" s="257" t="s">
        <v>287</v>
      </c>
      <c r="E23" s="148"/>
      <c r="F23" s="149"/>
    </row>
    <row r="24" spans="2:7" ht="15.75" thickBot="1" x14ac:dyDescent="0.3">
      <c r="B24" s="152">
        <v>15</v>
      </c>
      <c r="C24" s="256" t="s">
        <v>288</v>
      </c>
      <c r="D24" s="257" t="s">
        <v>288</v>
      </c>
      <c r="E24" s="148"/>
      <c r="F24" s="149"/>
    </row>
    <row r="25" spans="2:7" ht="15.75" thickBot="1" x14ac:dyDescent="0.3">
      <c r="B25" s="152">
        <v>16</v>
      </c>
      <c r="C25" s="256" t="s">
        <v>289</v>
      </c>
      <c r="D25" s="257" t="s">
        <v>289</v>
      </c>
      <c r="E25" s="148"/>
      <c r="F25" s="149"/>
    </row>
    <row r="26" spans="2:7" ht="15.75" thickBot="1" x14ac:dyDescent="0.3">
      <c r="B26" s="152">
        <v>17</v>
      </c>
      <c r="C26" s="256" t="s">
        <v>290</v>
      </c>
      <c r="D26" s="257" t="s">
        <v>290</v>
      </c>
      <c r="E26" s="148"/>
      <c r="F26" s="149"/>
    </row>
    <row r="27" spans="2:7" ht="15.75" thickBot="1" x14ac:dyDescent="0.3">
      <c r="B27" s="152">
        <v>18</v>
      </c>
      <c r="C27" s="256" t="s">
        <v>291</v>
      </c>
      <c r="D27" s="257" t="s">
        <v>291</v>
      </c>
      <c r="E27" s="148"/>
      <c r="F27" s="149"/>
    </row>
    <row r="28" spans="2:7" ht="15.75" thickBot="1" x14ac:dyDescent="0.3">
      <c r="B28" s="152">
        <v>19</v>
      </c>
      <c r="C28" s="256" t="s">
        <v>292</v>
      </c>
      <c r="D28" s="257"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32" priority="1" stopIfTrue="1" operator="equal">
      <formula>"Catastrófico"</formula>
    </cfRule>
    <cfRule type="cellIs" dxfId="31" priority="2" stopIfTrue="1" operator="equal">
      <formula>"Moderado"</formula>
    </cfRule>
    <cfRule type="cellIs" dxfId="30"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50" zoomScaleNormal="50" workbookViewId="0">
      <pane ySplit="10" topLeftCell="A12" activePane="bottomLeft" state="frozen"/>
      <selection pane="bottomLeft"/>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customWidth="1"/>
    <col min="12" max="12" width="32.42578125" style="181" customWidth="1"/>
    <col min="13" max="15" width="19" style="183" customWidth="1"/>
    <col min="16" max="16" width="9.140625" style="181" customWidth="1"/>
    <col min="17" max="17" width="16.42578125" style="181" customWidth="1"/>
    <col min="18" max="18" width="6.28515625" style="181" bestFit="1" customWidth="1"/>
    <col min="19" max="19" width="19.28515625" style="18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70.140625" style="181" customWidth="1"/>
    <col min="26" max="26" width="69.57031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8" style="181" customWidth="1"/>
    <col min="34"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19" t="s">
        <v>301</v>
      </c>
      <c r="E2" s="320"/>
      <c r="F2" s="320"/>
      <c r="G2" s="320"/>
      <c r="H2" s="320"/>
      <c r="I2" s="325" t="s">
        <v>205</v>
      </c>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10" t="s">
        <v>377</v>
      </c>
      <c r="BB2" s="311"/>
    </row>
    <row r="3" spans="1:80" ht="27.75" customHeight="1" x14ac:dyDescent="0.2">
      <c r="D3" s="321"/>
      <c r="E3" s="322"/>
      <c r="F3" s="322"/>
      <c r="G3" s="322"/>
      <c r="H3" s="322"/>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12" t="s">
        <v>242</v>
      </c>
      <c r="BB3" s="312"/>
    </row>
    <row r="4" spans="1:80" ht="27.75" customHeight="1" x14ac:dyDescent="0.2">
      <c r="D4" s="321"/>
      <c r="E4" s="322"/>
      <c r="F4" s="322"/>
      <c r="G4" s="322"/>
      <c r="H4" s="322"/>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12" t="s">
        <v>389</v>
      </c>
      <c r="BB4" s="312"/>
    </row>
    <row r="5" spans="1:80" ht="27.75" customHeight="1" thickBot="1" x14ac:dyDescent="0.25">
      <c r="D5" s="323"/>
      <c r="E5" s="324"/>
      <c r="F5" s="324"/>
      <c r="G5" s="324"/>
      <c r="H5" s="324"/>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12" t="s">
        <v>206</v>
      </c>
      <c r="BB5" s="312"/>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0" t="s">
        <v>42</v>
      </c>
      <c r="E7" s="291"/>
      <c r="F7" s="291"/>
      <c r="G7" s="292"/>
      <c r="H7" s="293" t="s">
        <v>396</v>
      </c>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90" t="s">
        <v>129</v>
      </c>
      <c r="E8" s="291"/>
      <c r="F8" s="291"/>
      <c r="G8" s="292"/>
      <c r="H8" s="293" t="s">
        <v>397</v>
      </c>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0" t="s">
        <v>43</v>
      </c>
      <c r="E9" s="291"/>
      <c r="F9" s="291"/>
      <c r="G9" s="292"/>
      <c r="H9" s="293" t="s">
        <v>398</v>
      </c>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288" t="s">
        <v>266</v>
      </c>
      <c r="B11" s="288"/>
      <c r="C11" s="289"/>
      <c r="D11" s="297" t="s">
        <v>304</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9" t="s">
        <v>302</v>
      </c>
      <c r="AW11" s="300"/>
      <c r="AX11" s="300"/>
      <c r="AY11" s="301"/>
      <c r="AZ11" s="302" t="s">
        <v>303</v>
      </c>
      <c r="BA11" s="303"/>
      <c r="BB11" s="304"/>
    </row>
    <row r="12" spans="1:80" ht="15.75" x14ac:dyDescent="0.2">
      <c r="D12" s="307" t="s">
        <v>137</v>
      </c>
      <c r="E12" s="307"/>
      <c r="F12" s="307"/>
      <c r="G12" s="307"/>
      <c r="H12" s="307"/>
      <c r="I12" s="329"/>
      <c r="J12" s="329"/>
      <c r="K12" s="329"/>
      <c r="L12" s="329"/>
      <c r="M12" s="329"/>
      <c r="N12" s="329"/>
      <c r="O12" s="329"/>
      <c r="P12" s="329"/>
      <c r="Q12" s="329" t="s">
        <v>138</v>
      </c>
      <c r="R12" s="329"/>
      <c r="S12" s="329"/>
      <c r="T12" s="329"/>
      <c r="U12" s="329"/>
      <c r="V12" s="329"/>
      <c r="W12" s="329"/>
      <c r="X12" s="329" t="s">
        <v>139</v>
      </c>
      <c r="Y12" s="329"/>
      <c r="Z12" s="329"/>
      <c r="AA12" s="329"/>
      <c r="AB12" s="329"/>
      <c r="AC12" s="329"/>
      <c r="AD12" s="329"/>
      <c r="AE12" s="329"/>
      <c r="AF12" s="329"/>
      <c r="AG12" s="329"/>
      <c r="AH12" s="285" t="s">
        <v>18</v>
      </c>
      <c r="AI12" s="329" t="s">
        <v>140</v>
      </c>
      <c r="AJ12" s="329"/>
      <c r="AK12" s="329"/>
      <c r="AL12" s="329"/>
      <c r="AM12" s="329"/>
      <c r="AN12" s="329"/>
      <c r="AO12" s="329"/>
      <c r="AP12" s="315" t="s">
        <v>34</v>
      </c>
      <c r="AQ12" s="316"/>
      <c r="AR12" s="316"/>
      <c r="AS12" s="316"/>
      <c r="AT12" s="316"/>
      <c r="AU12" s="316"/>
      <c r="AV12" s="316"/>
      <c r="AW12" s="316"/>
      <c r="AX12" s="316"/>
      <c r="AY12" s="316"/>
      <c r="AZ12" s="316"/>
      <c r="BA12" s="316"/>
      <c r="BB12" s="316"/>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296" t="s">
        <v>0</v>
      </c>
      <c r="E13" s="306" t="s">
        <v>311</v>
      </c>
      <c r="F13" s="192"/>
      <c r="G13" s="192"/>
      <c r="H13" s="307" t="s">
        <v>224</v>
      </c>
      <c r="I13" s="306" t="s">
        <v>307</v>
      </c>
      <c r="J13" s="193"/>
      <c r="K13" s="306" t="s">
        <v>308</v>
      </c>
      <c r="L13" s="307" t="s">
        <v>1</v>
      </c>
      <c r="M13" s="327" t="s">
        <v>49</v>
      </c>
      <c r="N13" s="283" t="s">
        <v>392</v>
      </c>
      <c r="O13" s="284"/>
      <c r="P13" s="306" t="s">
        <v>133</v>
      </c>
      <c r="Q13" s="306" t="s">
        <v>33</v>
      </c>
      <c r="R13" s="307" t="s">
        <v>5</v>
      </c>
      <c r="S13" s="306" t="s">
        <v>86</v>
      </c>
      <c r="T13" s="306" t="s">
        <v>91</v>
      </c>
      <c r="U13" s="306" t="s">
        <v>44</v>
      </c>
      <c r="V13" s="307" t="s">
        <v>5</v>
      </c>
      <c r="W13" s="306" t="s">
        <v>47</v>
      </c>
      <c r="X13" s="326" t="s">
        <v>11</v>
      </c>
      <c r="Y13" s="306" t="s">
        <v>159</v>
      </c>
      <c r="Z13" s="306" t="s">
        <v>204</v>
      </c>
      <c r="AA13" s="306" t="s">
        <v>12</v>
      </c>
      <c r="AB13" s="306" t="s">
        <v>8</v>
      </c>
      <c r="AC13" s="306"/>
      <c r="AD13" s="306"/>
      <c r="AE13" s="306"/>
      <c r="AF13" s="306"/>
      <c r="AG13" s="306"/>
      <c r="AH13" s="286"/>
      <c r="AI13" s="326" t="s">
        <v>136</v>
      </c>
      <c r="AJ13" s="326" t="s">
        <v>45</v>
      </c>
      <c r="AK13" s="326" t="s">
        <v>5</v>
      </c>
      <c r="AL13" s="326" t="s">
        <v>46</v>
      </c>
      <c r="AM13" s="326" t="s">
        <v>5</v>
      </c>
      <c r="AN13" s="326" t="s">
        <v>48</v>
      </c>
      <c r="AO13" s="326" t="s">
        <v>29</v>
      </c>
      <c r="AP13" s="306" t="s">
        <v>34</v>
      </c>
      <c r="AQ13" s="306" t="s">
        <v>35</v>
      </c>
      <c r="AR13" s="306" t="s">
        <v>36</v>
      </c>
      <c r="AS13" s="306" t="s">
        <v>37</v>
      </c>
      <c r="AT13" s="306" t="s">
        <v>212</v>
      </c>
      <c r="AU13" s="306" t="s">
        <v>38</v>
      </c>
      <c r="AV13" s="317" t="s">
        <v>37</v>
      </c>
      <c r="AW13" s="308" t="s">
        <v>213</v>
      </c>
      <c r="AX13" s="308" t="s">
        <v>38</v>
      </c>
      <c r="AY13" s="313" t="s">
        <v>243</v>
      </c>
      <c r="AZ13" s="305" t="s">
        <v>37</v>
      </c>
      <c r="BA13" s="305" t="s">
        <v>214</v>
      </c>
      <c r="BB13" s="305"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296"/>
      <c r="E14" s="306"/>
      <c r="F14" s="192" t="s">
        <v>2</v>
      </c>
      <c r="G14" s="193" t="s">
        <v>317</v>
      </c>
      <c r="H14" s="307"/>
      <c r="I14" s="306"/>
      <c r="J14" s="193" t="s">
        <v>367</v>
      </c>
      <c r="K14" s="306"/>
      <c r="L14" s="307"/>
      <c r="M14" s="328"/>
      <c r="N14" s="214" t="s">
        <v>240</v>
      </c>
      <c r="O14" s="214" t="s">
        <v>241</v>
      </c>
      <c r="P14" s="306"/>
      <c r="Q14" s="306"/>
      <c r="R14" s="307"/>
      <c r="S14" s="306"/>
      <c r="T14" s="306"/>
      <c r="U14" s="307"/>
      <c r="V14" s="307"/>
      <c r="W14" s="306"/>
      <c r="X14" s="326"/>
      <c r="Y14" s="306"/>
      <c r="Z14" s="306"/>
      <c r="AA14" s="306"/>
      <c r="AB14" s="195" t="s">
        <v>13</v>
      </c>
      <c r="AC14" s="195" t="s">
        <v>17</v>
      </c>
      <c r="AD14" s="195" t="s">
        <v>28</v>
      </c>
      <c r="AE14" s="195" t="s">
        <v>18</v>
      </c>
      <c r="AF14" s="195" t="s">
        <v>21</v>
      </c>
      <c r="AG14" s="195" t="s">
        <v>24</v>
      </c>
      <c r="AH14" s="287"/>
      <c r="AI14" s="326"/>
      <c r="AJ14" s="326"/>
      <c r="AK14" s="326"/>
      <c r="AL14" s="326"/>
      <c r="AM14" s="326"/>
      <c r="AN14" s="326"/>
      <c r="AO14" s="326"/>
      <c r="AP14" s="306"/>
      <c r="AQ14" s="306"/>
      <c r="AR14" s="306"/>
      <c r="AS14" s="306"/>
      <c r="AT14" s="306"/>
      <c r="AU14" s="306"/>
      <c r="AV14" s="318"/>
      <c r="AW14" s="309"/>
      <c r="AX14" s="309"/>
      <c r="AY14" s="314"/>
      <c r="AZ14" s="305"/>
      <c r="BA14" s="305"/>
      <c r="BB14" s="305"/>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29.75" customHeight="1" x14ac:dyDescent="0.25">
      <c r="D15" s="621">
        <v>1</v>
      </c>
      <c r="E15" s="621" t="s">
        <v>219</v>
      </c>
      <c r="F15" s="621" t="s">
        <v>131</v>
      </c>
      <c r="G15" s="621" t="s">
        <v>313</v>
      </c>
      <c r="H15" s="621" t="s">
        <v>227</v>
      </c>
      <c r="I15" s="613" t="s">
        <v>403</v>
      </c>
      <c r="J15" s="222"/>
      <c r="K15" s="615" t="s">
        <v>406</v>
      </c>
      <c r="L15" s="616" t="s">
        <v>407</v>
      </c>
      <c r="M15" s="623" t="s">
        <v>122</v>
      </c>
      <c r="N15" s="623" t="s">
        <v>233</v>
      </c>
      <c r="O15" s="623" t="s">
        <v>235</v>
      </c>
      <c r="P15" s="625">
        <v>300</v>
      </c>
      <c r="Q15" s="627" t="str">
        <f>IF(P15&lt;=0,"",IF(P15&lt;=2,"Muy Baja",IF(P15&lt;=24,"Baja",IF(P15&lt;=500,"Media",IF(P15&lt;=5000,"Alta","Muy Alta")))))</f>
        <v>Media</v>
      </c>
      <c r="R15" s="629">
        <f>IF(Q15="","",IF(Q15="Muy Baja",0.2,IF(Q15="Baja",0.4,IF(Q15="Media",0.6,IF(Q15="Alta",0.8,IF(Q15="Muy Alta",1,))))))</f>
        <v>0.6</v>
      </c>
      <c r="S15" s="631" t="s">
        <v>146</v>
      </c>
      <c r="T15" s="629" t="str">
        <f ca="1">IF(NOT(ISERROR(MATCH(S15,'[2]Tabla Impacto'!$B$221:$B$223,0))),'[2]Tabla Impacto'!$F$223&amp;"Por favor no seleccionar los criterios de impacto(Afectación Económica o presupuestal y Pérdida Reputacional)",S15)</f>
        <v xml:space="preserve">     Entre 10 y 50 SMLMV </v>
      </c>
      <c r="U15" s="633" t="str">
        <f ca="1">IF(OR(T15='[3]Tabla Impacto'!$C$11,T15='[3]Tabla Impacto'!$D$11),"Leve",IF(OR(T15='[3]Tabla Impacto'!$C$12,T15='[3]Tabla Impacto'!$D$12),"Menor",IF(OR(T15='[3]Tabla Impacto'!$C$13,T15='[3]Tabla Impacto'!$D$13),"Moderado",IF(OR(T15='[3]Tabla Impacto'!$C$14,T15='[3]Tabla Impacto'!$D$14),"Mayor",IF(OR(T15='[3]Tabla Impacto'!$C$15,T15='[3]Tabla Impacto'!$D$15),"Catastrófico","")))))</f>
        <v>Menor</v>
      </c>
      <c r="V15" s="629">
        <f ca="1">IF(U15="","",IF(U15="Leve",0.2,IF(U15="Menor",0.4,IF(U15="Moderado",0.6,IF(U15="Mayor",0.8,IF(U15="Catastrófico",1,))))))</f>
        <v>0.4</v>
      </c>
      <c r="W15" s="627"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635">
        <v>1</v>
      </c>
      <c r="Y15" s="636" t="s">
        <v>412</v>
      </c>
      <c r="Z15" s="636" t="s">
        <v>413</v>
      </c>
      <c r="AA15" s="642" t="str">
        <f>IF(OR(AB15="Preventivo",AB15="Detectivo"),"Probabilidad",IF(AB15="Correctivo","Impacto",""))</f>
        <v>Probabilidad</v>
      </c>
      <c r="AB15" s="640" t="s">
        <v>14</v>
      </c>
      <c r="AC15" s="640" t="s">
        <v>9</v>
      </c>
      <c r="AD15" s="229" t="str">
        <f>IF(AND(AB15="Preventivo",AC15="Automático"),"50%",IF(AND(AB15="Preventivo",AC15="Manual"),"40%",IF(AND(AB15="Detectivo",AC15="Automático"),"40%",IF(AND(AB15="Detectivo",AC15="Manual"),"30%",IF(AND(AB15="Correctivo",AC15="Automático"),"35%",IF(AND(AB15="Correctivo",AC15="Manual"),"25%",""))))))</f>
        <v>40%</v>
      </c>
      <c r="AE15" s="640" t="s">
        <v>19</v>
      </c>
      <c r="AF15" s="640" t="s">
        <v>23</v>
      </c>
      <c r="AG15" s="640" t="s">
        <v>119</v>
      </c>
      <c r="AH15" s="228" t="s">
        <v>421</v>
      </c>
      <c r="AI15" s="220">
        <f>IFERROR(IF(AA15="Probabilidad",(R15-(+R15*AD15)),IF(AA15="Impacto",R15,"")),"")</f>
        <v>0.36</v>
      </c>
      <c r="AJ15" s="233" t="str">
        <f>IFERROR(IF(AI15="","",IF(AI15&lt;=0.2,"Muy Baja",IF(AI15&lt;=0.4,"Baja",IF(AI15&lt;=0.6,"Media",IF(AI15&lt;=0.8,"Alta","Muy Alta"))))),"")</f>
        <v>Baja</v>
      </c>
      <c r="AK15" s="223">
        <f t="shared" ref="AK15:AK16" si="0">+AI15</f>
        <v>0.36</v>
      </c>
      <c r="AL15" s="233" t="str">
        <f ca="1">IFERROR(IF(AM15="","",IF(AM15&lt;=0.2,"Leve",IF(AM15&lt;=0.4,"Menor",IF(AM15&lt;=0.6,"Moderado",IF(AM15&lt;=0.8,"Mayor","Catastrófico"))))),"")</f>
        <v>Menor</v>
      </c>
      <c r="AM15" s="223">
        <f ca="1">IFERROR(IF(AA15="Impacto",(V15-(+V15*AD15)),IF(AA15="Probabilidad",V15,"")),"")</f>
        <v>0.4</v>
      </c>
      <c r="AN15" s="233"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32" t="s">
        <v>134</v>
      </c>
      <c r="AP15" s="226" t="s">
        <v>422</v>
      </c>
      <c r="AQ15" s="221" t="s">
        <v>423</v>
      </c>
      <c r="AR15" s="646">
        <v>45687</v>
      </c>
      <c r="AS15" s="225"/>
      <c r="AT15" s="222"/>
      <c r="AU15" s="222"/>
      <c r="AV15" s="225"/>
      <c r="AW15" s="222"/>
      <c r="AX15" s="222"/>
      <c r="AY15" s="222"/>
      <c r="AZ15" s="225"/>
      <c r="BA15" s="222"/>
      <c r="BB15" s="222"/>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40.25" customHeight="1" x14ac:dyDescent="0.25">
      <c r="D16" s="622"/>
      <c r="E16" s="622"/>
      <c r="F16" s="622"/>
      <c r="G16" s="622"/>
      <c r="H16" s="622"/>
      <c r="I16" s="613"/>
      <c r="J16" s="200"/>
      <c r="K16" s="617"/>
      <c r="L16" s="616"/>
      <c r="M16" s="624"/>
      <c r="N16" s="624"/>
      <c r="O16" s="624"/>
      <c r="P16" s="625"/>
      <c r="Q16" s="628"/>
      <c r="R16" s="630"/>
      <c r="S16" s="632"/>
      <c r="T16" s="630"/>
      <c r="U16" s="634"/>
      <c r="V16" s="630"/>
      <c r="W16" s="628"/>
      <c r="X16" s="635">
        <v>2</v>
      </c>
      <c r="Y16" s="636" t="s">
        <v>414</v>
      </c>
      <c r="Z16" s="637" t="s">
        <v>415</v>
      </c>
      <c r="AA16" s="642" t="str">
        <f>IF(OR(AB16="Preventivo",AB16="Detectivo"),"Probabilidad",IF(AB16="Correctivo","Impacto",""))</f>
        <v>Probabilidad</v>
      </c>
      <c r="AB16" s="640" t="s">
        <v>14</v>
      </c>
      <c r="AC16" s="640" t="s">
        <v>9</v>
      </c>
      <c r="AD16" s="229" t="str">
        <f>IF(AND(AB16="Preventivo",AC16="Automático"),"50%",IF(AND(AB16="Preventivo",AC16="Manual"),"40%",IF(AND(AB16="Detectivo",AC16="Automático"),"40%",IF(AND(AB16="Detectivo",AC16="Manual"),"30%",IF(AND(AB16="Correctivo",AC16="Automático"),"35%",IF(AND(AB16="Correctivo",AC16="Manual"),"25%",""))))))</f>
        <v>40%</v>
      </c>
      <c r="AE16" s="640" t="s">
        <v>19</v>
      </c>
      <c r="AF16" s="640" t="s">
        <v>23</v>
      </c>
      <c r="AG16" s="640" t="s">
        <v>119</v>
      </c>
      <c r="AH16" s="228" t="s">
        <v>421</v>
      </c>
      <c r="AI16" s="219">
        <f>IFERROR(IF(AND(AA15="Probabilidad",AA16="Probabilidad"),(AK15-(+AK15*AD16)),IF(AA16="Probabilidad",(S15-(+S15*AA16)),IF(AA16="Impacto",AK15,""))),"")</f>
        <v>0.216</v>
      </c>
      <c r="AJ16" s="233" t="str">
        <f>IFERROR(IF(AI16="","",IF(AI16&lt;=0.2,"Muy Baja",IF(AI16&lt;=0.4,"Baja",IF(AI16&lt;=0.6,"Media",IF(AI16&lt;=0.8,"Alta","Muy Alta"))))),"")</f>
        <v>Baja</v>
      </c>
      <c r="AK16" s="223">
        <f t="shared" si="0"/>
        <v>0.216</v>
      </c>
      <c r="AL16" s="233" t="str">
        <f>IFERROR(IF(AM16="","",IF(AM16&lt;=0.2,"Leve",IF(AM16&lt;=0.4,"Menor",IF(AM16&lt;=0.6,"Moderado",IF(AM16&lt;=0.8,"Mayor","Catastrófico"))))),"")</f>
        <v>Leve</v>
      </c>
      <c r="AM16" s="202">
        <f t="shared" ref="AM16:AM22" si="2">IFERROR(IF(AA16="Impacto",(V16-(+V16*AD16)),IF(AA16="Probabilidad",V16,"")),"")</f>
        <v>0</v>
      </c>
      <c r="AN16" s="206" t="str">
        <f t="shared" ref="AN16:AN22" si="3">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232" t="s">
        <v>134</v>
      </c>
      <c r="AP16" s="226" t="s">
        <v>424</v>
      </c>
      <c r="AQ16" s="221" t="s">
        <v>425</v>
      </c>
      <c r="AR16" s="647"/>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72.9" customHeight="1" x14ac:dyDescent="0.25">
      <c r="D17" s="215">
        <v>2</v>
      </c>
      <c r="E17" s="227" t="s">
        <v>219</v>
      </c>
      <c r="F17" s="227" t="s">
        <v>131</v>
      </c>
      <c r="G17" s="227" t="s">
        <v>313</v>
      </c>
      <c r="H17" s="227" t="s">
        <v>228</v>
      </c>
      <c r="I17" s="614" t="s">
        <v>404</v>
      </c>
      <c r="J17" s="200"/>
      <c r="K17" s="614" t="s">
        <v>408</v>
      </c>
      <c r="L17" s="618" t="s">
        <v>409</v>
      </c>
      <c r="M17" s="228" t="s">
        <v>122</v>
      </c>
      <c r="N17" s="228" t="s">
        <v>233</v>
      </c>
      <c r="O17" s="228" t="s">
        <v>235</v>
      </c>
      <c r="P17" s="626">
        <v>5</v>
      </c>
      <c r="Q17" s="201" t="str">
        <f t="shared" ref="Q17:Q22" si="4">IF(P17&lt;=0,"",IF(P17&lt;=2,"Muy Baja",IF(P17&lt;=24,"Baja",IF(P17&lt;=500,"Media",IF(P17&lt;=5000,"Alta","Muy Alta")))))</f>
        <v>Baja</v>
      </c>
      <c r="R17" s="202">
        <f t="shared" ref="R17:R22" si="5">IF(Q17="","",IF(Q17="Muy Baja",0.2,IF(Q17="Baja",0.4,IF(Q17="Media",0.6,IF(Q17="Alta",0.8,IF(Q17="Muy Alta",1,))))))</f>
        <v>0.4</v>
      </c>
      <c r="S17" s="230" t="s">
        <v>146</v>
      </c>
      <c r="T17" s="202" t="str">
        <f ca="1">IF(NOT(ISERROR(MATCH(S17,'[2]Tabla Impacto'!$B$221:$B$223,0))),'[2]Tabla Impacto'!$F$223&amp;"Por favor no seleccionar los criterios de impacto(Afectación Económica o presupuestal y Pérdida Reputacional)",S17)</f>
        <v xml:space="preserve">     Entre 10 y 50 SMLMV </v>
      </c>
      <c r="U17" s="224" t="str">
        <f ca="1">IF(OR(T17='[3]Tabla Impacto'!$C$11,T17='[3]Tabla Impacto'!$D$11),"Leve",IF(OR(T17='[3]Tabla Impacto'!$C$12,T17='[3]Tabla Impacto'!$D$12),"Menor",IF(OR(T17='[3]Tabla Impacto'!$C$13,T17='[3]Tabla Impacto'!$D$13),"Moderado",IF(OR(T17='[3]Tabla Impacto'!$C$14,T17='[3]Tabla Impacto'!$D$14),"Mayor",IF(OR(T17='[3]Tabla Impacto'!$C$15,T17='[3]Tabla Impacto'!$D$15),"Catastrófico","")))))</f>
        <v>Menor</v>
      </c>
      <c r="V17" s="202">
        <f t="shared" ref="V17:V22" ca="1" si="6">IF(U17="","",IF(U17="Leve",0.2,IF(U17="Menor",0.4,IF(U17="Moderado",0.6,IF(U17="Mayor",0.8,IF(U17="Catastrófico",1,))))))</f>
        <v>0.4</v>
      </c>
      <c r="W17" s="201" t="str">
        <f t="shared" ref="W17:W22" ca="1" si="7">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Moderado</v>
      </c>
      <c r="X17" s="638">
        <v>1</v>
      </c>
      <c r="Y17" s="639" t="s">
        <v>416</v>
      </c>
      <c r="Z17" s="637" t="s">
        <v>417</v>
      </c>
      <c r="AA17" s="204" t="str">
        <f t="shared" ref="AA16:AA22" si="8">IF(OR(AB17="Preventivo",AB17="Detectivo"),"Probabilidad",IF(AB17="Correctivo","Impacto",""))</f>
        <v>Probabilidad</v>
      </c>
      <c r="AB17" s="232" t="s">
        <v>14</v>
      </c>
      <c r="AC17" s="232" t="s">
        <v>9</v>
      </c>
      <c r="AD17" s="202" t="str">
        <f t="shared" ref="AD16:AD22" si="9">IF(AND(AB17="Preventivo",AC17="Automático"),"50%",IF(AND(AB17="Preventivo",AC17="Manual"),"40%",IF(AND(AB17="Detectivo",AC17="Automático"),"40%",IF(AND(AB17="Detectivo",AC17="Manual"),"30%",IF(AND(AB17="Correctivo",AC17="Automático"),"35%",IF(AND(AB17="Correctivo",AC17="Manual"),"25%",""))))))</f>
        <v>40%</v>
      </c>
      <c r="AE17" s="232" t="s">
        <v>19</v>
      </c>
      <c r="AF17" s="232" t="s">
        <v>23</v>
      </c>
      <c r="AG17" s="232" t="s">
        <v>119</v>
      </c>
      <c r="AH17" s="200" t="s">
        <v>421</v>
      </c>
      <c r="AI17" s="220">
        <f>IFERROR(IF(AA17="Probabilidad",(R17-(+R17*AD17)),IF(AA17="Impacto",R17,"")),"")</f>
        <v>0.24</v>
      </c>
      <c r="AJ17" s="206" t="str">
        <f t="shared" ref="AJ16:AJ22" si="10">IFERROR(IF(AI17="","",IF(AI17&lt;=0.2,"Muy Baja",IF(AI17&lt;=0.4,"Baja",IF(AI17&lt;=0.6,"Media",IF(AI17&lt;=0.8,"Alta","Muy Alta"))))),"")</f>
        <v>Baja</v>
      </c>
      <c r="AK17" s="202">
        <f t="shared" ref="AK16:AK22" si="11">+AI17</f>
        <v>0.24</v>
      </c>
      <c r="AL17" s="206" t="str">
        <f t="shared" ref="AL17" ca="1" si="12">IFERROR(IF(AM17="","",IF(AM17&lt;=0.2,"Leve",IF(AM17&lt;=0.4,"Menor",IF(AM17&lt;=0.6,"Moderado",IF(AM17&lt;=0.8,"Mayor","Catastrófico"))))),"")</f>
        <v>Menor</v>
      </c>
      <c r="AM17" s="202">
        <f t="shared" ref="AM17" ca="1" si="13">IFERROR(IF(AA17="Impacto",(V17-(+V17*AD17)),IF(AA17="Probabilidad",V17,"")),"")</f>
        <v>0.4</v>
      </c>
      <c r="AN17" s="206" t="str">
        <f t="shared" ref="AN17" ca="1" si="14">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Moderado</v>
      </c>
      <c r="AO17" s="232" t="s">
        <v>134</v>
      </c>
      <c r="AP17" s="643" t="s">
        <v>426</v>
      </c>
      <c r="AQ17" s="221" t="s">
        <v>427</v>
      </c>
      <c r="AR17" s="231">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customHeight="1" x14ac:dyDescent="0.25">
      <c r="D18" s="621">
        <v>3</v>
      </c>
      <c r="E18" s="621" t="s">
        <v>216</v>
      </c>
      <c r="F18" s="621" t="s">
        <v>130</v>
      </c>
      <c r="G18" s="621" t="s">
        <v>314</v>
      </c>
      <c r="H18" s="621" t="s">
        <v>228</v>
      </c>
      <c r="I18" s="613" t="s">
        <v>405</v>
      </c>
      <c r="J18" s="200"/>
      <c r="K18" s="619" t="s">
        <v>410</v>
      </c>
      <c r="L18" s="613" t="s">
        <v>411</v>
      </c>
      <c r="M18" s="623" t="s">
        <v>122</v>
      </c>
      <c r="N18" s="623" t="s">
        <v>233</v>
      </c>
      <c r="O18" s="623" t="s">
        <v>235</v>
      </c>
      <c r="P18" s="625">
        <v>40</v>
      </c>
      <c r="Q18" s="627" t="str">
        <f t="shared" si="4"/>
        <v>Media</v>
      </c>
      <c r="R18" s="629">
        <f t="shared" si="5"/>
        <v>0.6</v>
      </c>
      <c r="S18" s="631" t="s">
        <v>149</v>
      </c>
      <c r="T18" s="629" t="str">
        <f ca="1">IF(NOT(ISERROR(MATCH(S18,'[2]Tabla Impacto'!$B$221:$B$223,0))),'[2]Tabla Impacto'!$F$223&amp;"Por favor no seleccionar los criterios de impacto(Afectación Económica o presupuestal y Pérdida Reputacional)",S18)</f>
        <v xml:space="preserve">     El riesgo afecta la imagen de alguna área de la organización</v>
      </c>
      <c r="U18" s="633" t="str">
        <f ca="1">IF(OR(T18='[3]Tabla Impacto'!$C$11,T18='[3]Tabla Impacto'!$D$11),"Leve",IF(OR(T18='[3]Tabla Impacto'!$C$12,T18='[3]Tabla Impacto'!$D$12),"Menor",IF(OR(T18='[3]Tabla Impacto'!$C$13,T18='[3]Tabla Impacto'!$D$13),"Moderado",IF(OR(T18='[3]Tabla Impacto'!$C$14,T18='[3]Tabla Impacto'!$D$14),"Mayor",IF(OR(T18='[3]Tabla Impacto'!$C$15,T18='[3]Tabla Impacto'!$D$15),"Catastrófico","")))))</f>
        <v>Leve</v>
      </c>
      <c r="V18" s="629">
        <f t="shared" ca="1" si="6"/>
        <v>0.2</v>
      </c>
      <c r="W18" s="627" t="str">
        <f t="shared" ca="1" si="7"/>
        <v>Moderado</v>
      </c>
      <c r="X18" s="638">
        <v>1</v>
      </c>
      <c r="Y18" s="636" t="s">
        <v>418</v>
      </c>
      <c r="Z18" s="636" t="s">
        <v>413</v>
      </c>
      <c r="AA18" s="642" t="str">
        <f t="shared" si="8"/>
        <v>Probabilidad</v>
      </c>
      <c r="AB18" s="640" t="s">
        <v>14</v>
      </c>
      <c r="AC18" s="640" t="s">
        <v>9</v>
      </c>
      <c r="AD18" s="229" t="str">
        <f t="shared" si="9"/>
        <v>40%</v>
      </c>
      <c r="AE18" s="640" t="s">
        <v>19</v>
      </c>
      <c r="AF18" s="640" t="s">
        <v>23</v>
      </c>
      <c r="AG18" s="640" t="s">
        <v>119</v>
      </c>
      <c r="AH18" s="228" t="s">
        <v>421</v>
      </c>
      <c r="AI18" s="220">
        <f>IFERROR(IF(AA18="Probabilidad",(R18-(+R18*AD18)),IF(AA18="Impacto",R18,"")),"")</f>
        <v>0.36</v>
      </c>
      <c r="AJ18" s="206" t="str">
        <f t="shared" si="10"/>
        <v>Baja</v>
      </c>
      <c r="AK18" s="202">
        <f t="shared" si="11"/>
        <v>0.36</v>
      </c>
      <c r="AL18" s="206" t="str">
        <f t="shared" ref="AL16:AL22" ca="1" si="15">IFERROR(IF(AM18="","",IF(AM18&lt;=0.2,"Leve",IF(AM18&lt;=0.4,"Menor",IF(AM18&lt;=0.6,"Moderado",IF(AM18&lt;=0.8,"Mayor","Catastrófico"))))),"")</f>
        <v>Leve</v>
      </c>
      <c r="AM18" s="202">
        <f t="shared" ca="1" si="2"/>
        <v>0.2</v>
      </c>
      <c r="AN18" s="206" t="str">
        <f t="shared" ca="1" si="3"/>
        <v>Bajo</v>
      </c>
      <c r="AO18" s="205" t="s">
        <v>134</v>
      </c>
      <c r="AP18" s="644" t="s">
        <v>428</v>
      </c>
      <c r="AQ18" s="221" t="s">
        <v>423</v>
      </c>
      <c r="AR18" s="231">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customHeight="1" x14ac:dyDescent="0.25">
      <c r="D19" s="622"/>
      <c r="E19" s="622"/>
      <c r="F19" s="622"/>
      <c r="G19" s="622"/>
      <c r="H19" s="622"/>
      <c r="I19" s="613"/>
      <c r="J19" s="200"/>
      <c r="K19" s="620"/>
      <c r="L19" s="613"/>
      <c r="M19" s="624"/>
      <c r="N19" s="624"/>
      <c r="O19" s="624"/>
      <c r="P19" s="625"/>
      <c r="Q19" s="628"/>
      <c r="R19" s="630"/>
      <c r="S19" s="632"/>
      <c r="T19" s="630"/>
      <c r="U19" s="634"/>
      <c r="V19" s="630"/>
      <c r="W19" s="628"/>
      <c r="X19" s="638">
        <v>2</v>
      </c>
      <c r="Y19" s="637" t="s">
        <v>419</v>
      </c>
      <c r="Z19" s="637" t="s">
        <v>420</v>
      </c>
      <c r="AA19" s="642" t="str">
        <f t="shared" si="8"/>
        <v>Probabilidad</v>
      </c>
      <c r="AB19" s="640" t="s">
        <v>14</v>
      </c>
      <c r="AC19" s="640" t="s">
        <v>9</v>
      </c>
      <c r="AD19" s="641"/>
      <c r="AE19" s="640" t="s">
        <v>19</v>
      </c>
      <c r="AF19" s="640" t="s">
        <v>23</v>
      </c>
      <c r="AG19" s="640" t="s">
        <v>119</v>
      </c>
      <c r="AH19" s="228" t="s">
        <v>421</v>
      </c>
      <c r="AI19" s="219">
        <f>IFERROR(IF(AND(AA18="Probabilidad",AA19="Probabilidad"),(AK18-(+AK18*AD19)),IF(AA19="Probabilidad",(S18-(+S18*AA19)),IF(AA19="Impacto",AK18,""))),"")</f>
        <v>0.36</v>
      </c>
      <c r="AJ19" s="206" t="str">
        <f t="shared" si="10"/>
        <v>Baja</v>
      </c>
      <c r="AK19" s="202">
        <f t="shared" si="11"/>
        <v>0.36</v>
      </c>
      <c r="AL19" s="206" t="str">
        <f t="shared" si="15"/>
        <v>Leve</v>
      </c>
      <c r="AM19" s="202">
        <f t="shared" si="2"/>
        <v>0</v>
      </c>
      <c r="AN19" s="206" t="str">
        <f t="shared" si="3"/>
        <v>Bajo</v>
      </c>
      <c r="AO19" s="205"/>
      <c r="AP19" s="645" t="s">
        <v>429</v>
      </c>
      <c r="AQ19" s="221" t="s">
        <v>427</v>
      </c>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6</v>
      </c>
      <c r="E20" s="215"/>
      <c r="F20" s="215"/>
      <c r="G20" s="215"/>
      <c r="H20" s="199"/>
      <c r="I20" s="200"/>
      <c r="J20" s="200"/>
      <c r="K20" s="200"/>
      <c r="L20" s="216"/>
      <c r="M20" s="217"/>
      <c r="N20" s="200"/>
      <c r="O20" s="200"/>
      <c r="P20" s="200"/>
      <c r="Q20" s="201" t="str">
        <f t="shared" si="4"/>
        <v/>
      </c>
      <c r="R20" s="202" t="str">
        <f t="shared" si="5"/>
        <v/>
      </c>
      <c r="S20" s="203"/>
      <c r="T20" s="202">
        <f ca="1">IF(NOT(ISERROR(MATCH(S20,'[2]Tabla Impacto'!$B$221:$B$223,0))),'[2]Tabla Impacto'!$F$223&amp;"Por favor no seleccionar los criterios de impacto(Afectación Económica o presupuestal y Pérdida Reputacional)",S20)</f>
        <v>0</v>
      </c>
      <c r="U20" s="224"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6"/>
        <v/>
      </c>
      <c r="W20" s="201" t="str">
        <f t="shared" ca="1" si="7"/>
        <v/>
      </c>
      <c r="X20" s="199"/>
      <c r="Y20" s="163"/>
      <c r="Z20" s="163"/>
      <c r="AA20" s="204" t="str">
        <f t="shared" si="8"/>
        <v/>
      </c>
      <c r="AB20" s="205"/>
      <c r="AC20" s="205"/>
      <c r="AD20" s="202" t="str">
        <f t="shared" si="9"/>
        <v/>
      </c>
      <c r="AE20" s="205"/>
      <c r="AF20" s="205"/>
      <c r="AG20" s="205"/>
      <c r="AH20" s="200"/>
      <c r="AI20" s="219" t="str">
        <f>IFERROR(IF(AND(AB19="Probabilidad",AB20="Probabilidad"),(AK19-(+AK19*AE20)),IF(AB20="Probabilidad",(T19-(+T19*AE20)),IF(AB20="Impacto",AK19,""))),"")</f>
        <v/>
      </c>
      <c r="AJ20" s="206" t="str">
        <f t="shared" si="10"/>
        <v/>
      </c>
      <c r="AK20" s="202" t="str">
        <f t="shared" si="11"/>
        <v/>
      </c>
      <c r="AL20" s="206" t="str">
        <f t="shared" si="15"/>
        <v/>
      </c>
      <c r="AM20" s="202" t="str">
        <f t="shared" si="2"/>
        <v/>
      </c>
      <c r="AN20" s="206" t="str">
        <f t="shared" si="3"/>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7</v>
      </c>
      <c r="E21" s="215"/>
      <c r="F21" s="215"/>
      <c r="G21" s="215"/>
      <c r="H21" s="199"/>
      <c r="I21" s="200"/>
      <c r="J21" s="200"/>
      <c r="K21" s="200"/>
      <c r="L21" s="216"/>
      <c r="M21" s="217"/>
      <c r="N21" s="200"/>
      <c r="O21" s="200"/>
      <c r="P21" s="200"/>
      <c r="Q21" s="201" t="str">
        <f t="shared" si="4"/>
        <v/>
      </c>
      <c r="R21" s="202" t="str">
        <f t="shared" si="5"/>
        <v/>
      </c>
      <c r="S21" s="203"/>
      <c r="T21" s="202">
        <f ca="1">IF(NOT(ISERROR(MATCH(S21,'[2]Tabla Impacto'!$B$221:$B$223,0))),'[2]Tabla Impacto'!$F$223&amp;"Por favor no seleccionar los criterios de impacto(Afectación Económica o presupuestal y Pérdida Reputacional)",S21)</f>
        <v>0</v>
      </c>
      <c r="U21" s="224"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6"/>
        <v/>
      </c>
      <c r="W21" s="201" t="str">
        <f t="shared" ca="1" si="7"/>
        <v/>
      </c>
      <c r="X21" s="199"/>
      <c r="Y21" s="163"/>
      <c r="Z21" s="163"/>
      <c r="AA21" s="204" t="str">
        <f t="shared" si="8"/>
        <v/>
      </c>
      <c r="AB21" s="205"/>
      <c r="AC21" s="205"/>
      <c r="AD21" s="202" t="str">
        <f t="shared" si="9"/>
        <v/>
      </c>
      <c r="AE21" s="205"/>
      <c r="AF21" s="205"/>
      <c r="AG21" s="205"/>
      <c r="AH21" s="200"/>
      <c r="AI21" s="218" t="str">
        <f t="shared" ref="AI21" si="16">IFERROR(IF(AB21="Probabilidad",(S21-(+S21*AE21)),IF(AB21="Impacto",S21,"")),"")</f>
        <v/>
      </c>
      <c r="AJ21" s="206" t="str">
        <f t="shared" si="10"/>
        <v/>
      </c>
      <c r="AK21" s="202" t="str">
        <f t="shared" si="11"/>
        <v/>
      </c>
      <c r="AL21" s="206" t="str">
        <f t="shared" si="15"/>
        <v/>
      </c>
      <c r="AM21" s="202" t="str">
        <f t="shared" si="2"/>
        <v/>
      </c>
      <c r="AN21" s="206" t="str">
        <f t="shared" si="3"/>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8</v>
      </c>
      <c r="E22" s="215"/>
      <c r="F22" s="215"/>
      <c r="G22" s="215"/>
      <c r="H22" s="199"/>
      <c r="I22" s="200"/>
      <c r="J22" s="200"/>
      <c r="K22" s="200"/>
      <c r="L22" s="216"/>
      <c r="M22" s="217"/>
      <c r="N22" s="200"/>
      <c r="O22" s="200"/>
      <c r="P22" s="200"/>
      <c r="Q22" s="201" t="str">
        <f t="shared" si="4"/>
        <v/>
      </c>
      <c r="R22" s="202" t="str">
        <f t="shared" si="5"/>
        <v/>
      </c>
      <c r="S22" s="203"/>
      <c r="T22" s="202">
        <f ca="1">IF(NOT(ISERROR(MATCH(S22,'[2]Tabla Impacto'!$B$221:$B$223,0))),'[2]Tabla Impacto'!$F$223&amp;"Por favor no seleccionar los criterios de impacto(Afectación Económica o presupuestal y Pérdida Reputacional)",S22)</f>
        <v>0</v>
      </c>
      <c r="U22" s="224"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6"/>
        <v/>
      </c>
      <c r="W22" s="201" t="str">
        <f t="shared" ca="1" si="7"/>
        <v/>
      </c>
      <c r="X22" s="199"/>
      <c r="Y22" s="163"/>
      <c r="Z22" s="163"/>
      <c r="AA22" s="204" t="str">
        <f t="shared" si="8"/>
        <v/>
      </c>
      <c r="AB22" s="205"/>
      <c r="AC22" s="205"/>
      <c r="AD22" s="202" t="str">
        <f t="shared" si="9"/>
        <v/>
      </c>
      <c r="AE22" s="205"/>
      <c r="AF22" s="205"/>
      <c r="AG22" s="205"/>
      <c r="AH22" s="200"/>
      <c r="AI22" s="219" t="str">
        <f>IFERROR(IF(AND(AB21="Probabilidad",AB22="Probabilidad"),(AK21-(+AK21*AE22)),IF(AB22="Probabilidad",(T21-(+T21*AE22)),IF(AB22="Impacto",AK21,""))),"")</f>
        <v/>
      </c>
      <c r="AJ22" s="206" t="str">
        <f t="shared" si="10"/>
        <v/>
      </c>
      <c r="AK22" s="202" t="str">
        <f t="shared" si="11"/>
        <v/>
      </c>
      <c r="AL22" s="206" t="str">
        <f t="shared" si="15"/>
        <v/>
      </c>
      <c r="AM22" s="202" t="str">
        <f t="shared" si="2"/>
        <v/>
      </c>
      <c r="AN22" s="206" t="str">
        <f t="shared" si="3"/>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330" t="s">
        <v>393</v>
      </c>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1"/>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337" t="s">
        <v>399</v>
      </c>
      <c r="E26" s="337"/>
      <c r="F26" s="337"/>
      <c r="G26" s="337"/>
      <c r="H26" s="337"/>
      <c r="I26" s="337"/>
      <c r="J26" s="337"/>
      <c r="K26" s="337"/>
      <c r="L26" s="337"/>
      <c r="M26" s="181"/>
      <c r="N26" s="181"/>
      <c r="O26" s="181"/>
      <c r="P26" s="334" t="s">
        <v>391</v>
      </c>
      <c r="Q26" s="335"/>
      <c r="R26" s="335"/>
      <c r="S26" s="336"/>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332" t="s">
        <v>207</v>
      </c>
      <c r="E28" s="332"/>
      <c r="F28" s="332"/>
      <c r="G28" s="332"/>
      <c r="H28" s="332"/>
      <c r="I28" s="332"/>
      <c r="J28" s="332"/>
      <c r="K28" s="332"/>
      <c r="L28" s="180" t="s">
        <v>208</v>
      </c>
      <c r="M28" s="332" t="s">
        <v>209</v>
      </c>
      <c r="N28" s="332"/>
      <c r="O28" s="332"/>
      <c r="P28" s="332"/>
      <c r="Q28" s="332"/>
      <c r="R28" s="332"/>
      <c r="S28" s="332"/>
      <c r="T28" s="118"/>
      <c r="U28" s="333" t="s">
        <v>210</v>
      </c>
      <c r="V28" s="333"/>
      <c r="W28" s="333"/>
      <c r="X28" s="332" t="s">
        <v>211</v>
      </c>
      <c r="Y28" s="332"/>
      <c r="Z28" s="332"/>
      <c r="AA28" s="332"/>
      <c r="AB28" s="333">
        <v>1</v>
      </c>
      <c r="AC28" s="333"/>
      <c r="AD28" s="333"/>
      <c r="AE28" s="333"/>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281" t="s">
        <v>394</v>
      </c>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row>
  </sheetData>
  <dataConsolidate/>
  <mergeCells count="111">
    <mergeCell ref="AR15:AR16"/>
    <mergeCell ref="S18:S19"/>
    <mergeCell ref="T18:T19"/>
    <mergeCell ref="U18:U19"/>
    <mergeCell ref="V18:V19"/>
    <mergeCell ref="W18:W19"/>
    <mergeCell ref="S15:S16"/>
    <mergeCell ref="T15:T16"/>
    <mergeCell ref="U15:U16"/>
    <mergeCell ref="W15:W16"/>
    <mergeCell ref="V15:V16"/>
    <mergeCell ref="P15:P16"/>
    <mergeCell ref="P18:P19"/>
    <mergeCell ref="Q15:Q16"/>
    <mergeCell ref="R15:R16"/>
    <mergeCell ref="Q18:Q19"/>
    <mergeCell ref="R18:R19"/>
    <mergeCell ref="M15:M16"/>
    <mergeCell ref="M18:M19"/>
    <mergeCell ref="N15:N16"/>
    <mergeCell ref="O15:O16"/>
    <mergeCell ref="N18:N19"/>
    <mergeCell ref="O18:O19"/>
    <mergeCell ref="D18:D19"/>
    <mergeCell ref="E18:E19"/>
    <mergeCell ref="F18:F19"/>
    <mergeCell ref="G18:G19"/>
    <mergeCell ref="H18:H19"/>
    <mergeCell ref="D15:D16"/>
    <mergeCell ref="E15:E16"/>
    <mergeCell ref="F15:F16"/>
    <mergeCell ref="G15:G16"/>
    <mergeCell ref="H15:H16"/>
    <mergeCell ref="I15:I16"/>
    <mergeCell ref="I18:I19"/>
    <mergeCell ref="K15:K16"/>
    <mergeCell ref="L15:L16"/>
    <mergeCell ref="K18:K19"/>
    <mergeCell ref="L18:L19"/>
    <mergeCell ref="X12:AG12"/>
    <mergeCell ref="X13:X14"/>
    <mergeCell ref="Y13:Y14"/>
    <mergeCell ref="AP13:AP14"/>
    <mergeCell ref="AI12:AO12"/>
    <mergeCell ref="AB13:AG13"/>
    <mergeCell ref="X28:AA28"/>
    <mergeCell ref="AB28:AE28"/>
    <mergeCell ref="D28:K28"/>
    <mergeCell ref="P26:S26"/>
    <mergeCell ref="M28:S28"/>
    <mergeCell ref="U28:W28"/>
    <mergeCell ref="D26:L26"/>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AX13:AX14"/>
    <mergeCell ref="BA2:BB2"/>
    <mergeCell ref="BA3:BB3"/>
    <mergeCell ref="BA4:BB4"/>
    <mergeCell ref="BA5:BB5"/>
    <mergeCell ref="AY13:AY14"/>
    <mergeCell ref="AP12:BB12"/>
    <mergeCell ref="BA13:BA14"/>
    <mergeCell ref="BB13:BB14"/>
    <mergeCell ref="AV13:AV14"/>
    <mergeCell ref="AW13:AW14"/>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s>
  <conditionalFormatting sqref="Q15 Q17:Q18 Q20:Q22 AJ15:AJ22">
    <cfRule type="cellIs" dxfId="29" priority="57" operator="equal">
      <formula>"Muy Alta"</formula>
    </cfRule>
    <cfRule type="cellIs" dxfId="28" priority="58" operator="equal">
      <formula>"Alta"</formula>
    </cfRule>
    <cfRule type="cellIs" dxfId="27" priority="59" operator="equal">
      <formula>"Media"</formula>
    </cfRule>
    <cfRule type="cellIs" dxfId="26" priority="60" operator="equal">
      <formula>"Baja"</formula>
    </cfRule>
    <cfRule type="cellIs" dxfId="25" priority="61" operator="equal">
      <formula>"Muy Baja"</formula>
    </cfRule>
  </conditionalFormatting>
  <conditionalFormatting sqref="T15 T17:T18 T20:T22">
    <cfRule type="containsText" dxfId="24" priority="33" operator="containsText" text="❌">
      <formula>NOT(ISERROR(SEARCH("❌",T15)))</formula>
    </cfRule>
  </conditionalFormatting>
  <conditionalFormatting sqref="AN15:AN22 W15 W17:W18 W20:W22">
    <cfRule type="cellIs" dxfId="23" priority="48" operator="equal">
      <formula>"Extremo"</formula>
    </cfRule>
    <cfRule type="cellIs" dxfId="22" priority="49" operator="equal">
      <formula>"Alto"</formula>
    </cfRule>
    <cfRule type="cellIs" dxfId="21" priority="50" operator="equal">
      <formula>"Moderado"</formula>
    </cfRule>
    <cfRule type="cellIs" dxfId="20" priority="51" operator="equal">
      <formula>"Bajo"</formula>
    </cfRule>
  </conditionalFormatting>
  <conditionalFormatting sqref="AK25:AK27">
    <cfRule type="cellIs" dxfId="19" priority="21" stopIfTrue="1" operator="equal">
      <formula>#REF!</formula>
    </cfRule>
    <cfRule type="cellIs" dxfId="18" priority="22" operator="equal">
      <formula>#REF!</formula>
    </cfRule>
    <cfRule type="cellIs" dxfId="17" priority="23" operator="equal">
      <formula>#REF!</formula>
    </cfRule>
  </conditionalFormatting>
  <conditionalFormatting sqref="AL15:AL22">
    <cfRule type="cellIs" dxfId="16" priority="38" operator="equal">
      <formula>"Catastrófico"</formula>
    </cfRule>
    <cfRule type="cellIs" dxfId="15" priority="39" operator="equal">
      <formula>"Mayor"</formula>
    </cfRule>
    <cfRule type="cellIs" dxfId="14" priority="40" operator="equal">
      <formula>"Moderado"</formula>
    </cfRule>
    <cfRule type="cellIs" dxfId="13" priority="41" operator="equal">
      <formula>"Menor"</formula>
    </cfRule>
    <cfRule type="cellIs" dxfId="12" priority="42" operator="equal">
      <formula>"Leve"</formula>
    </cfRule>
  </conditionalFormatting>
  <conditionalFormatting sqref="AL25:AL27">
    <cfRule type="cellIs" dxfId="11" priority="24" stopIfTrue="1" operator="equal">
      <formula>#REF!</formula>
    </cfRule>
    <cfRule type="cellIs" dxfId="10" priority="25" stopIfTrue="1" operator="equal">
      <formula>#REF!</formula>
    </cfRule>
    <cfRule type="cellIs" dxfId="9" priority="26" stopIfTrue="1" operator="equal">
      <formula>#REF!</formula>
    </cfRule>
  </conditionalFormatting>
  <conditionalFormatting sqref="U15 U17:U18 U20:U22">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5E056D49-2A01-4844-9657-EAFD8E3B5A80}">
          <x14:formula1>
            <xm:f>'Opciones Tratamiento'!$B$13:$B$19</xm:f>
          </x14:formula1>
          <xm:sqref>M15 M17:M18 M20:M22</xm:sqref>
        </x14:dataValidation>
        <x14:dataValidation type="list" allowBlank="1" showInputMessage="1" showErrorMessage="1" xr:uid="{EF0C0067-1765-4F11-A967-1A801D325D81}">
          <x14:formula1>
            <xm:f>'Tabla Impacto'!$F$210:$F$221</xm:f>
          </x14:formula1>
          <xm:sqref>S15 S17:S18 S20:S22</xm:sqref>
        </x14:dataValidation>
        <x14:dataValidation type="custom" allowBlank="1" showInputMessage="1" showErrorMessage="1" error="Recuerde que las acciones se generan bajo la medida de mitigar el riesgo" xr:uid="{7ED48018-4235-4B97-8418-73E7BBDB0232}">
          <x14:formula1>
            <xm:f>IF(OR(AO20='Opciones Tratamiento'!$B$2,AO20='Opciones Tratamiento'!$B$3,AO20='Opciones Tratamiento'!$B$4),ISBLANK(AO20),ISTEXT(AO20))</xm:f>
          </x14:formula1>
          <xm:sqref>AP20:AP22</xm:sqref>
        </x14:dataValidation>
        <x14:dataValidation type="custom" allowBlank="1" showInputMessage="1" showErrorMessage="1" error="Recuerde que las acciones se generan bajo la medida de mitigar el riesgo" xr:uid="{B9F9F086-C384-4D55-BBDC-46D063DF530B}">
          <x14:formula1>
            <xm:f>IF(OR(AO20='Opciones Tratamiento'!$B$2,AO20='Opciones Tratamiento'!$B$3,AO20='Opciones Tratamiento'!$B$4),ISBLANK(AO20),ISTEXT(AO20))</xm:f>
          </x14:formula1>
          <xm:sqref>AQ20:AQ22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 AR17:AR22</xm:sqref>
        </x14:dataValidation>
        <x14:dataValidation type="list" allowBlank="1" showInputMessage="1" showErrorMessage="1" xr:uid="{9E41A0A5-9033-48F4-A523-E78EEE31291B}">
          <x14:formula1>
            <xm:f>Listas!$B$2:$B$7</xm:f>
          </x14:formula1>
          <xm:sqref>H15 H17:H18 H20:H22</xm:sqref>
        </x14:dataValidation>
        <x14:dataValidation type="list" allowBlank="1" showInputMessage="1" showErrorMessage="1" xr:uid="{E1211B7A-6A4E-4A48-9C6D-50DFE53A34CF}">
          <x14:formula1>
            <xm:f>Listas!$C$2:$C$6</xm:f>
          </x14:formula1>
          <xm:sqref>N15 N17:N18 N20:N22</xm:sqref>
        </x14:dataValidation>
        <x14:dataValidation type="list" allowBlank="1" showInputMessage="1" showErrorMessage="1" xr:uid="{B88BA28A-2600-4BF8-8D1C-1591DFA3694A}">
          <x14:formula1>
            <xm:f>Listas!$D$2:$D$5</xm:f>
          </x14:formula1>
          <xm:sqref>O15 O17:O18 O20:O22</xm:sqref>
        </x14:dataValidation>
        <x14:dataValidation type="list" allowBlank="1" showInputMessage="1" showErrorMessage="1" xr:uid="{C1C18457-6497-4468-A0EC-5756D2A505AB}">
          <x14:formula1>
            <xm:f>Hoja2!$B$3:$B$18</xm:f>
          </x14:formula1>
          <xm:sqref>E15 E17:E18 E20:E22</xm:sqref>
        </x14:dataValidation>
        <x14:dataValidation type="list" allowBlank="1" showInputMessage="1" showErrorMessage="1" xr:uid="{30B1B799-4F7E-4DF0-8163-3420DCED9D9B}">
          <x14:formula1>
            <xm:f>Hoja2!$D$3:$D$21</xm:f>
          </x14:formula1>
          <xm:sqref>F15 F17:F18 F20:F22</xm:sqref>
        </x14:dataValidation>
        <x14:dataValidation type="list" allowBlank="1" showInputMessage="1" showErrorMessage="1" xr:uid="{4543C4BE-F1CB-4CCC-8B32-CEE48E0F43C3}">
          <x14:formula1>
            <xm:f>Hoja2!$E$3:$E$23</xm:f>
          </x14:formula1>
          <xm:sqref>G15 G17:G18 G20:G22</xm:sqref>
        </x14:dataValidation>
        <x14:dataValidation type="list" allowBlank="1" showInputMessage="1" showErrorMessage="1" xr:uid="{FFA9F3EB-8AAC-4371-8BA9-EA5BFF31F870}">
          <x14:formula1>
            <xm:f>'Opciones Tratamiento'!$B$9:$B$10</xm:f>
          </x14:formula1>
          <xm:sqref>AU15:AU22 BB15:BB22 AX15:AY22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BCC5CE02-71F3-4D30-B2B6-0BC8D084AB56}">
          <x14:formula1>
            <xm:f>'Opciones Tratamiento'!$B$2:$B$5</xm:f>
          </x14:formula1>
          <xm:sqref>AO15:AO22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AZ15:AZ22 AW15:AW22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custom" allowBlank="1" showInputMessage="1" showErrorMessage="1" error="Recuerde que las acciones se generan bajo la medida de mitigar el riesgo" xr:uid="{42AB4796-9D4D-42F1-A124-DDC38E6CDC48}">
          <x14:formula1>
            <xm:f>IF(OR(AO15='[mapaderiesgojuridica24.xlsx]Opciones Tratamiento'!#REF!,AO15='[mapaderiesgojuridica24.xlsx]Opciones Tratamiento'!#REF!,AO15='[mapaderiesgojuridica24.xlsx]Opciones Tratamiento'!#REF!),ISBLANK(AO15),ISTEXT(AO15))</xm:f>
          </x14:formula1>
          <xm:sqref>AQ15:AQ19</xm:sqref>
        </x14:dataValidation>
        <x14:dataValidation type="custom" allowBlank="1" showInputMessage="1" showErrorMessage="1" error="Recuerde que las acciones se generan bajo la medida de mitigar el riesgo" xr:uid="{528B0407-64CA-44FA-A8D9-2C5F004F8659}">
          <x14:formula1>
            <xm:f>IF(OR(AO15='[mapaderiesgojuridica24.xlsx]Opciones Tratamiento'!#REF!,AO15='[mapaderiesgojuridica24.xlsx]Opciones Tratamiento'!#REF!,AO15='[mapaderiesgojuridica24.xlsx]Opciones Tratamiento'!#REF!),ISBLANK(AO15),ISTEXT(AO15))</xm:f>
          </x14:formula1>
          <xm:sqref>AP15:AP16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8" t="s">
        <v>137</v>
      </c>
      <c r="C1" s="338"/>
      <c r="D1" s="338"/>
      <c r="E1" s="338"/>
      <c r="F1" s="338"/>
      <c r="G1" s="338"/>
      <c r="H1" s="338"/>
      <c r="I1" s="338"/>
      <c r="J1" s="338"/>
      <c r="L1" s="338" t="s">
        <v>139</v>
      </c>
      <c r="M1" s="338"/>
      <c r="N1" s="338"/>
      <c r="O1" s="338"/>
      <c r="P1" s="338"/>
      <c r="Q1" s="338"/>
      <c r="R1" s="338"/>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9" t="s">
        <v>318</v>
      </c>
      <c r="D2" s="340"/>
    </row>
    <row r="3" spans="3:4" x14ac:dyDescent="0.25">
      <c r="C3" s="341"/>
      <c r="D3" s="342"/>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1"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408" t="s">
        <v>251</v>
      </c>
      <c r="E2" s="409"/>
      <c r="F2" s="409"/>
      <c r="G2" s="409"/>
      <c r="H2" s="409"/>
      <c r="I2" s="409"/>
      <c r="J2" s="409"/>
      <c r="K2" s="410"/>
      <c r="L2" s="399" t="s">
        <v>205</v>
      </c>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1"/>
      <c r="AP2" s="262" t="s">
        <v>250</v>
      </c>
      <c r="AQ2" s="396"/>
      <c r="AR2" s="396"/>
      <c r="AS2" s="396"/>
      <c r="AT2" s="396"/>
      <c r="AU2" s="396"/>
      <c r="AV2" s="251"/>
    </row>
    <row r="3" spans="1:101" x14ac:dyDescent="0.25">
      <c r="D3" s="411"/>
      <c r="E3" s="412"/>
      <c r="F3" s="412"/>
      <c r="G3" s="412"/>
      <c r="H3" s="412"/>
      <c r="I3" s="412"/>
      <c r="J3" s="412"/>
      <c r="K3" s="413"/>
      <c r="L3" s="402"/>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4"/>
      <c r="AP3" s="263" t="s">
        <v>264</v>
      </c>
      <c r="AQ3" s="397"/>
      <c r="AR3" s="397"/>
      <c r="AS3" s="397"/>
      <c r="AT3" s="397"/>
      <c r="AU3" s="397"/>
      <c r="AV3" s="253"/>
    </row>
    <row r="4" spans="1:101" x14ac:dyDescent="0.25">
      <c r="D4" s="411"/>
      <c r="E4" s="412"/>
      <c r="F4" s="412"/>
      <c r="G4" s="412"/>
      <c r="H4" s="412"/>
      <c r="I4" s="412"/>
      <c r="J4" s="412"/>
      <c r="K4" s="413"/>
      <c r="L4" s="402"/>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4"/>
      <c r="AP4" s="263" t="s">
        <v>389</v>
      </c>
      <c r="AQ4" s="397" t="s">
        <v>263</v>
      </c>
      <c r="AR4" s="397"/>
      <c r="AS4" s="397"/>
      <c r="AT4" s="397"/>
      <c r="AU4" s="397"/>
      <c r="AV4" s="253"/>
    </row>
    <row r="5" spans="1:101" ht="15.75" thickBot="1" x14ac:dyDescent="0.3">
      <c r="D5" s="414"/>
      <c r="E5" s="415"/>
      <c r="F5" s="415"/>
      <c r="G5" s="415"/>
      <c r="H5" s="415"/>
      <c r="I5" s="415"/>
      <c r="J5" s="415"/>
      <c r="K5" s="416"/>
      <c r="L5" s="405"/>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7"/>
      <c r="AP5" s="264" t="s">
        <v>245</v>
      </c>
      <c r="AQ5" s="398" t="s">
        <v>245</v>
      </c>
      <c r="AR5" s="398"/>
      <c r="AS5" s="398"/>
      <c r="AT5" s="398"/>
      <c r="AU5" s="398"/>
      <c r="AV5" s="255"/>
    </row>
    <row r="7" spans="1:101" ht="18" customHeight="1" x14ac:dyDescent="0.25">
      <c r="C7" s="69"/>
      <c r="D7" s="343" t="s">
        <v>157</v>
      </c>
      <c r="E7" s="343"/>
      <c r="F7" s="343"/>
      <c r="G7" s="343"/>
      <c r="H7" s="343"/>
      <c r="I7" s="343"/>
      <c r="J7" s="343"/>
      <c r="K7" s="343"/>
      <c r="L7" s="455" t="s">
        <v>2</v>
      </c>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288" t="s">
        <v>266</v>
      </c>
      <c r="B8" s="288"/>
      <c r="C8" s="289"/>
      <c r="D8" s="343"/>
      <c r="E8" s="343"/>
      <c r="F8" s="343"/>
      <c r="G8" s="343"/>
      <c r="H8" s="343"/>
      <c r="I8" s="343"/>
      <c r="J8" s="343"/>
      <c r="K8" s="343"/>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343"/>
      <c r="E9" s="343"/>
      <c r="F9" s="343"/>
      <c r="G9" s="343"/>
      <c r="H9" s="343"/>
      <c r="I9" s="343"/>
      <c r="J9" s="343"/>
      <c r="K9" s="343"/>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417" t="s">
        <v>4</v>
      </c>
      <c r="E11" s="417"/>
      <c r="F11" s="418"/>
      <c r="G11" s="384" t="s">
        <v>115</v>
      </c>
      <c r="H11" s="386"/>
      <c r="I11" s="386"/>
      <c r="J11" s="386"/>
      <c r="K11" s="386"/>
      <c r="L11" s="380" t="str">
        <f ca="1">IF(AND('Mapa final'!$Q$15="Muy Alta",'Mapa final'!$U$15="Leve"),CONCATENATE("R",'Mapa final'!$A$15),"")</f>
        <v/>
      </c>
      <c r="M11" s="381"/>
      <c r="N11" s="381" t="str">
        <f>IF(AND('Mapa final'!$L$16="Muy Alta",'Mapa final'!$P$16="Leve"),CONCATENATE("R",'Mapa final'!$A$16),"")</f>
        <v/>
      </c>
      <c r="O11" s="381"/>
      <c r="P11" s="381" t="str">
        <f>IF(AND('Mapa final'!$L$17="Muy Alta",'Mapa final'!$P$17="Leve"),CONCATENATE("R",'Mapa final'!$A$17),"")</f>
        <v/>
      </c>
      <c r="Q11" s="382"/>
      <c r="R11" s="380" t="str">
        <f ca="1">IF(AND('Mapa final'!$Q$15="Muy Alta",'Mapa final'!$U$15="Menor"),CONCATENATE("R",'Mapa final'!$A$15),"")</f>
        <v/>
      </c>
      <c r="S11" s="381"/>
      <c r="T11" s="381" t="str">
        <f>IF(AND('Mapa final'!$Q$16="Muy Alta",'Mapa final'!$U$16="Menor"),CONCATENATE("R",'Mapa final'!$A$16),"")</f>
        <v/>
      </c>
      <c r="U11" s="381"/>
      <c r="V11" s="381" t="str">
        <f ca="1">IF(AND('Mapa final'!$Q$17="Muy Alta",'Mapa final'!$U$17="Menor"),CONCATENATE("R",'Mapa final'!$A$17),"")</f>
        <v/>
      </c>
      <c r="W11" s="381"/>
      <c r="X11" s="380" t="str">
        <f ca="1">IF(AND('Mapa final'!$Q$15="Muy Alta",'Mapa final'!$U$15="Moderado"),CONCATENATE("R",'Mapa final'!$A$15),"")</f>
        <v/>
      </c>
      <c r="Y11" s="381"/>
      <c r="Z11" s="381" t="str">
        <f>IF(AND('Mapa final'!Q$16="Muy Alta",'Mapa final'!$U$16="Moderado"),CONCATENATE("R",'Mapa final'!$A$16),"")</f>
        <v/>
      </c>
      <c r="AA11" s="381"/>
      <c r="AB11" s="381" t="str">
        <f ca="1">IF(AND('Mapa final'!$Q$17="Muy Alta",'Mapa final'!$U$17="Moderado"),CONCATENATE("R",'Mapa final'!$A$17),"")</f>
        <v/>
      </c>
      <c r="AC11" s="381"/>
      <c r="AD11" s="380" t="str">
        <f ca="1">IF(AND('Mapa final'!$Q$15="Muy Alta",'Mapa final'!$U$15="Mayor"),CONCATENATE("R",'Mapa final'!$A$15),"")</f>
        <v/>
      </c>
      <c r="AE11" s="381"/>
      <c r="AF11" s="381" t="str">
        <f>IF(AND('Mapa final'!$Q$16="Muy Alta",'Mapa final'!$U$16="Mayor"),CONCATENATE("R",'Mapa final'!$A$16),"")</f>
        <v/>
      </c>
      <c r="AG11" s="381"/>
      <c r="AH11" s="381" t="str">
        <f ca="1">IF(AND('Mapa final'!$Q$17="Muy Alta",'Mapa final'!$U$17="Mayor"),CONCATENATE("R",'Mapa final'!$A$17),"")</f>
        <v/>
      </c>
      <c r="AI11" s="381"/>
      <c r="AJ11" s="371" t="str">
        <f ca="1">IF(AND('Mapa final'!$Q$15="Muy Alta",'Mapa final'!$U$15="Catastrófico"),CONCATENATE("R",'Mapa final'!$A$15),"")</f>
        <v/>
      </c>
      <c r="AK11" s="372"/>
      <c r="AL11" s="372" t="str">
        <f>IF(AND('Mapa final'!$Q$16="Muy Alta",'Mapa final'!$U$16="Catastrófico"),CONCATENATE("R",'Mapa final'!$A$16),"")</f>
        <v/>
      </c>
      <c r="AM11" s="372"/>
      <c r="AN11" s="372" t="str">
        <f ca="1">IF(AND('Mapa final'!$Q$17="Muy Alta",'Mapa final'!$U$17="Catastrófico"),CONCATENATE("R",'Mapa final'!$A$17),"")</f>
        <v/>
      </c>
      <c r="AO11" s="373"/>
      <c r="AQ11" s="419" t="s">
        <v>78</v>
      </c>
      <c r="AR11" s="420"/>
      <c r="AS11" s="420"/>
      <c r="AT11" s="420"/>
      <c r="AU11" s="420"/>
      <c r="AV11" s="421"/>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417"/>
      <c r="E12" s="417"/>
      <c r="F12" s="418"/>
      <c r="G12" s="388"/>
      <c r="H12" s="389"/>
      <c r="I12" s="389"/>
      <c r="J12" s="389"/>
      <c r="K12" s="395"/>
      <c r="L12" s="374"/>
      <c r="M12" s="383"/>
      <c r="N12" s="383"/>
      <c r="O12" s="383"/>
      <c r="P12" s="383"/>
      <c r="Q12" s="376"/>
      <c r="R12" s="374"/>
      <c r="S12" s="383"/>
      <c r="T12" s="383"/>
      <c r="U12" s="383"/>
      <c r="V12" s="383"/>
      <c r="W12" s="383"/>
      <c r="X12" s="374"/>
      <c r="Y12" s="383"/>
      <c r="Z12" s="383"/>
      <c r="AA12" s="383"/>
      <c r="AB12" s="383"/>
      <c r="AC12" s="383"/>
      <c r="AD12" s="374"/>
      <c r="AE12" s="383"/>
      <c r="AF12" s="383"/>
      <c r="AG12" s="383"/>
      <c r="AH12" s="383"/>
      <c r="AI12" s="383"/>
      <c r="AJ12" s="364"/>
      <c r="AK12" s="370"/>
      <c r="AL12" s="370"/>
      <c r="AM12" s="370"/>
      <c r="AN12" s="370"/>
      <c r="AO12" s="366"/>
      <c r="AP12" s="69"/>
      <c r="AQ12" s="422"/>
      <c r="AR12" s="423"/>
      <c r="AS12" s="423"/>
      <c r="AT12" s="423"/>
      <c r="AU12" s="423"/>
      <c r="AV12" s="424"/>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417"/>
      <c r="E13" s="417"/>
      <c r="F13" s="418"/>
      <c r="G13" s="388"/>
      <c r="H13" s="389"/>
      <c r="I13" s="389"/>
      <c r="J13" s="389"/>
      <c r="K13" s="395"/>
      <c r="L13" s="374" t="str">
        <f ca="1">IF(AND('Mapa final'!$Q$18="Muy Alta",'Mapa final'!$U$18="Leve"),CONCATENATE("R",'Mapa final'!$A$18),"")</f>
        <v/>
      </c>
      <c r="M13" s="383"/>
      <c r="N13" s="383" t="str">
        <f>IF(AND('Mapa final'!$L$19="Muy Alta",'Mapa final'!$P$19="Leve"),CONCATENATE("R",'Mapa final'!$A$19),"")</f>
        <v/>
      </c>
      <c r="O13" s="383"/>
      <c r="P13" s="383" t="str">
        <f>IF(AND('Mapa final'!$L$20="Muy Alta",'Mapa final'!$P$20="Leve"),CONCATENATE("R",'Mapa final'!$A$20),"")</f>
        <v/>
      </c>
      <c r="Q13" s="376"/>
      <c r="R13" s="374" t="str">
        <f ca="1">IF(AND('Mapa final'!$Q$18="Muy Alta",'Mapa final'!$U$18="Menor"),CONCATENATE("R",'Mapa final'!$A$18),"")</f>
        <v/>
      </c>
      <c r="S13" s="383"/>
      <c r="T13" s="383" t="str">
        <f>IF(AND('Mapa final'!$Q$19="Muy Alta",'Mapa final'!$U$19="Menor"),CONCATENATE("R",'Mapa final'!$A$19),"")</f>
        <v/>
      </c>
      <c r="U13" s="383"/>
      <c r="V13" s="383" t="str">
        <f ca="1">IF(AND('Mapa final'!$Q$20="Muy Alta",'Mapa final'!$U$20="Menor"),CONCATENATE("R",'Mapa final'!$A$20),"")</f>
        <v/>
      </c>
      <c r="W13" s="383"/>
      <c r="X13" s="374" t="str">
        <f ca="1">IF(AND('Mapa final'!$Q$18="Muy Alta",'Mapa final'!$U$18="Moderado"),CONCATENATE("R",'Mapa final'!$A$18),"")</f>
        <v/>
      </c>
      <c r="Y13" s="383"/>
      <c r="Z13" s="383" t="str">
        <f>IF(AND('Mapa final'!$Q$19="Muy Alta",'Mapa final'!$U$19="Moderado"),CONCATENATE("R",'Mapa final'!$A$19),"")</f>
        <v/>
      </c>
      <c r="AA13" s="383"/>
      <c r="AB13" s="383" t="str">
        <f ca="1">IF(AND('Mapa final'!$Q$20="Muy Alta",'Mapa final'!$U$20="Moderado"),CONCATENATE("R",'Mapa final'!$A$20),"")</f>
        <v/>
      </c>
      <c r="AC13" s="383"/>
      <c r="AD13" s="374" t="str">
        <f ca="1">IF(AND('Mapa final'!$Q$18="Muy Alta",'Mapa final'!$U$18="Mayor"),CONCATENATE("R",'Mapa final'!$A$18),"")</f>
        <v/>
      </c>
      <c r="AE13" s="383"/>
      <c r="AF13" s="383" t="str">
        <f>IF(AND('Mapa final'!$Q$19="Muy Alta",'Mapa final'!$U$19="Mayor"),CONCATENATE("R",'Mapa final'!$A$19),"")</f>
        <v/>
      </c>
      <c r="AG13" s="383"/>
      <c r="AH13" s="383" t="str">
        <f ca="1">IF(AND('Mapa final'!$Q$20="Muy Alta",'Mapa final'!$U$20="Mayor"),CONCATENATE("R",'Mapa final'!$A$20),"")</f>
        <v/>
      </c>
      <c r="AI13" s="383"/>
      <c r="AJ13" s="364" t="str">
        <f ca="1">IF(AND('Mapa final'!$Q$18="Muy Alta",'Mapa final'!$U$18="Catastrófico"),CONCATENATE("R",'Mapa final'!$A$18),"")</f>
        <v/>
      </c>
      <c r="AK13" s="370"/>
      <c r="AL13" s="370" t="str">
        <f>IF(AND('Mapa final'!$Q$19="Muy Alta",'Mapa final'!$U$19="Catastrófico"),CONCATENATE("R",'Mapa final'!$A$19),"")</f>
        <v/>
      </c>
      <c r="AM13" s="370"/>
      <c r="AN13" s="370" t="str">
        <f>IF(AND('Mapa final'!$Q$20="Muy Alta",'Mapa final'!$L$20="Catastrófico"),CONCATENATE("R",'Mapa final'!$A$20),"")</f>
        <v/>
      </c>
      <c r="AO13" s="366"/>
      <c r="AP13" s="69"/>
      <c r="AQ13" s="422"/>
      <c r="AR13" s="423"/>
      <c r="AS13" s="423"/>
      <c r="AT13" s="423"/>
      <c r="AU13" s="423"/>
      <c r="AV13" s="424"/>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417"/>
      <c r="E14" s="417"/>
      <c r="F14" s="418"/>
      <c r="G14" s="388"/>
      <c r="H14" s="389"/>
      <c r="I14" s="389"/>
      <c r="J14" s="389"/>
      <c r="K14" s="395"/>
      <c r="L14" s="374"/>
      <c r="M14" s="383"/>
      <c r="N14" s="383"/>
      <c r="O14" s="383"/>
      <c r="P14" s="383"/>
      <c r="Q14" s="376"/>
      <c r="R14" s="374"/>
      <c r="S14" s="383"/>
      <c r="T14" s="383"/>
      <c r="U14" s="383"/>
      <c r="V14" s="383"/>
      <c r="W14" s="383"/>
      <c r="X14" s="374"/>
      <c r="Y14" s="383"/>
      <c r="Z14" s="383"/>
      <c r="AA14" s="383"/>
      <c r="AB14" s="383"/>
      <c r="AC14" s="383"/>
      <c r="AD14" s="374"/>
      <c r="AE14" s="383"/>
      <c r="AF14" s="383"/>
      <c r="AG14" s="383"/>
      <c r="AH14" s="383"/>
      <c r="AI14" s="383"/>
      <c r="AJ14" s="364"/>
      <c r="AK14" s="370"/>
      <c r="AL14" s="370"/>
      <c r="AM14" s="370"/>
      <c r="AN14" s="370"/>
      <c r="AO14" s="366"/>
      <c r="AP14" s="69"/>
      <c r="AQ14" s="422"/>
      <c r="AR14" s="423"/>
      <c r="AS14" s="423"/>
      <c r="AT14" s="423"/>
      <c r="AU14" s="423"/>
      <c r="AV14" s="424"/>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417"/>
      <c r="E15" s="417"/>
      <c r="F15" s="418"/>
      <c r="G15" s="388"/>
      <c r="H15" s="389"/>
      <c r="I15" s="389"/>
      <c r="J15" s="389"/>
      <c r="K15" s="395"/>
      <c r="L15" s="374" t="str">
        <f ca="1">IF(AND('Mapa final'!$Q$21="Muy Alta",'Mapa final'!$U$21="Leve"),CONCATENATE("R",'Mapa final'!$A$21),"")</f>
        <v/>
      </c>
      <c r="M15" s="383"/>
      <c r="N15" s="383" t="str">
        <f>IF(AND('Mapa final'!$L$22="Muy Alta",'Mapa final'!$P$22="Leve"),CONCATENATE("R",'Mapa final'!$A$22),"")</f>
        <v/>
      </c>
      <c r="O15" s="383"/>
      <c r="P15" s="383" t="str">
        <f>IF(AND('Mapa final'!$L$23="Muy Alta",'Mapa final'!$P$23="Leve"),CONCATENATE("R",'Mapa final'!$A$23),"")</f>
        <v/>
      </c>
      <c r="Q15" s="376"/>
      <c r="R15" s="374" t="str">
        <f ca="1">IF(AND('Mapa final'!$Q$21="Muy Alta",'Mapa final'!$U$21="Menor"),CONCATENATE("R",'Mapa final'!$A$21),"")</f>
        <v/>
      </c>
      <c r="S15" s="383"/>
      <c r="T15" s="383" t="str">
        <f ca="1">IF(AND('Mapa final'!$LR$22="Muy Alta",'Mapa final'!$U$22="Menor"),CONCATENATE("R",'Mapa final'!$A$22),"")</f>
        <v/>
      </c>
      <c r="U15" s="383"/>
      <c r="V15" s="383" t="str">
        <f>IF(AND('Mapa final'!$Q$23="Muy Alta",'Mapa final'!$U$23="Menor"),CONCATENATE("R",'Mapa final'!$A$23),"")</f>
        <v/>
      </c>
      <c r="W15" s="383"/>
      <c r="X15" s="374" t="str">
        <f ca="1">IF(AND('Mapa final'!$Q$21="Muy Alta",'Mapa final'!$U$21="Moderado"),CONCATENATE("R",'Mapa final'!$A$21),"")</f>
        <v/>
      </c>
      <c r="Y15" s="383"/>
      <c r="Z15" s="383" t="str">
        <f ca="1">IF(AND('Mapa final'!$Q$22="Muy Alta",'Mapa final'!$U$22="Moderado"),CONCATENATE("R",'Mapa final'!$A$22),"")</f>
        <v/>
      </c>
      <c r="AA15" s="383"/>
      <c r="AB15" s="383" t="str">
        <f>IF(AND('Mapa final'!$Q$23="Muy Alta",'Mapa final'!$U$23="Moderado"),CONCATENATE("R",'Mapa final'!$A$23),"")</f>
        <v/>
      </c>
      <c r="AC15" s="383"/>
      <c r="AD15" s="374" t="str">
        <f ca="1">IF(AND('Mapa final'!$Q$21="Muy Alta",'Mapa final'!$U$21="Mayor"),CONCATENATE("R",'Mapa final'!$A$21),"")</f>
        <v/>
      </c>
      <c r="AE15" s="383"/>
      <c r="AF15" s="383" t="str">
        <f ca="1">IF(AND('Mapa final'!$Q$22="Muy Alta",'Mapa final'!$U$22="Mayor"),CONCATENATE("R",'Mapa final'!$A$22),"")</f>
        <v/>
      </c>
      <c r="AG15" s="383"/>
      <c r="AH15" s="383" t="str">
        <f>IF(AND('Mapa final'!$Q$23="Muy Alta",'Mapa final'!$U$23="Mayor"),CONCATENATE("R",'Mapa final'!$A$23),"")</f>
        <v/>
      </c>
      <c r="AI15" s="383"/>
      <c r="AJ15" s="364" t="str">
        <f ca="1">IF(AND('Mapa final'!$Q$21="Muy Alta",'Mapa final'!$U$21="Catastrófico"),CONCATENATE("R",'Mapa final'!$A$21),"")</f>
        <v/>
      </c>
      <c r="AK15" s="370"/>
      <c r="AL15" s="370" t="str">
        <f ca="1">IF(AND('Mapa final'!$Q$22="Muy Alta",'Mapa final'!$U$22="Catastrófico"),CONCATENATE("R",'Mapa final'!$A$22),"")</f>
        <v/>
      </c>
      <c r="AM15" s="370"/>
      <c r="AN15" s="370" t="str">
        <f>IF(AND('Mapa final'!$Q$23="Muy Alta",'Mapa final'!$U$23="Catastrófico"),CONCATENATE("R",'Mapa final'!$A$23),"")</f>
        <v/>
      </c>
      <c r="AO15" s="366"/>
      <c r="AP15" s="69"/>
      <c r="AQ15" s="422"/>
      <c r="AR15" s="423"/>
      <c r="AS15" s="423"/>
      <c r="AT15" s="423"/>
      <c r="AU15" s="423"/>
      <c r="AV15" s="424"/>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417"/>
      <c r="E16" s="417"/>
      <c r="F16" s="418"/>
      <c r="G16" s="388"/>
      <c r="H16" s="389"/>
      <c r="I16" s="389"/>
      <c r="J16" s="389"/>
      <c r="K16" s="395"/>
      <c r="L16" s="374"/>
      <c r="M16" s="383"/>
      <c r="N16" s="383"/>
      <c r="O16" s="383"/>
      <c r="P16" s="383"/>
      <c r="Q16" s="376"/>
      <c r="R16" s="374"/>
      <c r="S16" s="383"/>
      <c r="T16" s="383"/>
      <c r="U16" s="383"/>
      <c r="V16" s="383"/>
      <c r="W16" s="383"/>
      <c r="X16" s="374"/>
      <c r="Y16" s="383"/>
      <c r="Z16" s="383"/>
      <c r="AA16" s="383"/>
      <c r="AB16" s="383"/>
      <c r="AC16" s="383"/>
      <c r="AD16" s="374"/>
      <c r="AE16" s="383"/>
      <c r="AF16" s="383"/>
      <c r="AG16" s="383"/>
      <c r="AH16" s="383"/>
      <c r="AI16" s="383"/>
      <c r="AJ16" s="364"/>
      <c r="AK16" s="370"/>
      <c r="AL16" s="370"/>
      <c r="AM16" s="370"/>
      <c r="AN16" s="370"/>
      <c r="AO16" s="366"/>
      <c r="AP16" s="69"/>
      <c r="AQ16" s="422"/>
      <c r="AR16" s="423"/>
      <c r="AS16" s="423"/>
      <c r="AT16" s="423"/>
      <c r="AU16" s="423"/>
      <c r="AV16" s="424"/>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417"/>
      <c r="E17" s="417"/>
      <c r="F17" s="418"/>
      <c r="G17" s="388"/>
      <c r="H17" s="389"/>
      <c r="I17" s="389"/>
      <c r="J17" s="389"/>
      <c r="K17" s="395"/>
      <c r="L17" s="374" t="str">
        <f>IF(AND('Mapa final'!$Q$24="Muy Alta",'Mapa final'!$U$24="Leve"),CONCATENATE("R",'Mapa final'!$A$24),"")</f>
        <v/>
      </c>
      <c r="M17" s="383"/>
      <c r="N17" s="383" t="str">
        <f>IF(AND('Mapa final'!$L$25="Muy Alta",'Mapa final'!$P$25="Leve"),CONCATENATE("R",'Mapa final'!$A$25),"")</f>
        <v/>
      </c>
      <c r="O17" s="383"/>
      <c r="P17" s="383" t="str">
        <f>IF(AND('Mapa final'!$L$26="Muy Alta",'Mapa final'!$P$26="Leve"),CONCATENATE("R",'Mapa final'!$A$26),"")</f>
        <v/>
      </c>
      <c r="Q17" s="376"/>
      <c r="R17" s="374" t="str">
        <f>IF(AND('Mapa final'!$Q$24="Muy Alta",'Mapa final'!$U$24="Menor"),CONCATENATE("R",'Mapa final'!$A$24),"")</f>
        <v/>
      </c>
      <c r="S17" s="383"/>
      <c r="T17" s="383" t="str">
        <f>IF(AND('Mapa final'!$Q$25="Muy Alta",'Mapa final'!$U$25="Menor"),CONCATENATE("R",'Mapa final'!$A$25),"")</f>
        <v/>
      </c>
      <c r="U17" s="383"/>
      <c r="V17" s="383" t="str">
        <f>IF(AND('Mapa final'!$Q$26="Muy Alta",'Mapa final'!$U$26="Menor"),CONCATENATE("R",'Mapa final'!$A$26),"")</f>
        <v/>
      </c>
      <c r="W17" s="383"/>
      <c r="X17" s="374" t="str">
        <f>IF(AND('Mapa final'!$Q$24="Muy Alta",'Mapa final'!$U$24="Moderado"),CONCATENATE("R",'Mapa final'!$A$24),"")</f>
        <v/>
      </c>
      <c r="Y17" s="383"/>
      <c r="Z17" s="383" t="str">
        <f>IF(AND('Mapa final'!$Q$25="Muy Alta",'Mapa final'!$U$25="Moderado"),CONCATENATE("R",'Mapa final'!$A$25),"")</f>
        <v/>
      </c>
      <c r="AA17" s="383"/>
      <c r="AB17" s="383" t="str">
        <f>IF(AND('Mapa final'!$Q$26="Muy Alta",'Mapa final'!$U$26="Moderado"),CONCATENATE("R",'Mapa final'!$A$26),"")</f>
        <v/>
      </c>
      <c r="AC17" s="383"/>
      <c r="AD17" s="374" t="str">
        <f>IF(AND('Mapa final'!$Q$24="Muy Alta",'Mapa final'!$U$24="Mayor"),CONCATENATE("R",'Mapa final'!$A$24),"")</f>
        <v/>
      </c>
      <c r="AE17" s="383"/>
      <c r="AF17" s="383" t="str">
        <f>IF(AND('Mapa final'!$Q$25="Muy Alta",'Mapa final'!$U$25="Mayor"),CONCATENATE("R",'Mapa final'!$A$25),"")</f>
        <v/>
      </c>
      <c r="AG17" s="383"/>
      <c r="AH17" s="383" t="str">
        <f>IF(AND('Mapa final'!$Q$26="Muy Alta",'Mapa final'!$U$26="Mayor"),CONCATENATE("R",'Mapa final'!$A$26),"")</f>
        <v/>
      </c>
      <c r="AI17" s="383"/>
      <c r="AJ17" s="364" t="str">
        <f>IF(AND('Mapa final'!$Q$24="Muy Alta",'Mapa final'!$U$24="Catastrófico"),CONCATENATE("R",'Mapa final'!$A$24),"")</f>
        <v/>
      </c>
      <c r="AK17" s="370"/>
      <c r="AL17" s="370" t="str">
        <f>IF(AND('Mapa final'!$Q$25="Muy Alta",'Mapa final'!$U$25="Catastrófico"),CONCATENATE("R",'Mapa final'!$A$25),"")</f>
        <v/>
      </c>
      <c r="AM17" s="370"/>
      <c r="AN17" s="370" t="str">
        <f>IF(AND('Mapa final'!$Q$26="Muy Alta",'Mapa final'!$U$26="Catastrófico"),CONCATENATE("R",'Mapa final'!$A$26),"")</f>
        <v/>
      </c>
      <c r="AO17" s="366"/>
      <c r="AP17" s="69"/>
      <c r="AQ17" s="422"/>
      <c r="AR17" s="423"/>
      <c r="AS17" s="423"/>
      <c r="AT17" s="423"/>
      <c r="AU17" s="423"/>
      <c r="AV17" s="424"/>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417"/>
      <c r="E18" s="417"/>
      <c r="F18" s="418"/>
      <c r="G18" s="391"/>
      <c r="H18" s="392"/>
      <c r="I18" s="392"/>
      <c r="J18" s="392"/>
      <c r="K18" s="392"/>
      <c r="L18" s="377"/>
      <c r="M18" s="378"/>
      <c r="N18" s="378"/>
      <c r="O18" s="378"/>
      <c r="P18" s="378"/>
      <c r="Q18" s="379"/>
      <c r="R18" s="377"/>
      <c r="S18" s="378"/>
      <c r="T18" s="378"/>
      <c r="U18" s="378"/>
      <c r="V18" s="378"/>
      <c r="W18" s="378"/>
      <c r="X18" s="374"/>
      <c r="Y18" s="383"/>
      <c r="Z18" s="383"/>
      <c r="AA18" s="383"/>
      <c r="AB18" s="383"/>
      <c r="AC18" s="383"/>
      <c r="AD18" s="374"/>
      <c r="AE18" s="383"/>
      <c r="AF18" s="383"/>
      <c r="AG18" s="383"/>
      <c r="AH18" s="383"/>
      <c r="AI18" s="383"/>
      <c r="AJ18" s="364"/>
      <c r="AK18" s="370"/>
      <c r="AL18" s="370"/>
      <c r="AM18" s="370"/>
      <c r="AN18" s="370"/>
      <c r="AO18" s="366"/>
      <c r="AP18" s="69"/>
      <c r="AQ18" s="425"/>
      <c r="AR18" s="426"/>
      <c r="AS18" s="426"/>
      <c r="AT18" s="426"/>
      <c r="AU18" s="426"/>
      <c r="AV18" s="427"/>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417"/>
      <c r="E19" s="417"/>
      <c r="F19" s="418"/>
      <c r="G19" s="384" t="s">
        <v>114</v>
      </c>
      <c r="H19" s="386"/>
      <c r="I19" s="386"/>
      <c r="J19" s="386"/>
      <c r="K19" s="386"/>
      <c r="L19" s="360" t="str">
        <f ca="1">IF(AND('Mapa final'!$Q$15="Alta",'Mapa final'!$U$15="Leve"),CONCATENATE("R",'Mapa final'!$A$15),"")</f>
        <v/>
      </c>
      <c r="M19" s="361"/>
      <c r="N19" s="361" t="str">
        <f>IF(AND('Mapa final'!$L$16="Alta",'Mapa final'!$P$16="Leve"),CONCATENATE("R",'Mapa final'!$A$16),"")</f>
        <v/>
      </c>
      <c r="O19" s="361"/>
      <c r="P19" s="361" t="str">
        <f>IF(AND('Mapa final'!$L$17="Alta",'Mapa final'!$P$17="Leve"),CONCATENATE("R",'Mapa final'!$A$17),"")</f>
        <v/>
      </c>
      <c r="Q19" s="362"/>
      <c r="R19" s="360" t="str">
        <f ca="1">IF(AND('Mapa final'!$Q$15="Alta",'Mapa final'!$U$15="Menor"),CONCATENATE("R",'Mapa final'!$A$15),"")</f>
        <v/>
      </c>
      <c r="S19" s="361"/>
      <c r="T19" s="363" t="str">
        <f>IF(AND('Mapa final'!$Q$16="Alta",'Mapa final'!$U$16="Menor"),CONCATENATE("R",'Mapa final'!$A$16),"")</f>
        <v/>
      </c>
      <c r="U19" s="363"/>
      <c r="V19" s="363" t="str">
        <f ca="1">IF(AND('Mapa final'!$Q$17="Alta",'Mapa final'!$U$17="Menor"),CONCATENATE("R",'Mapa final'!$A$17),"")</f>
        <v/>
      </c>
      <c r="W19" s="363"/>
      <c r="X19" s="380" t="str">
        <f ca="1">IF(AND('Mapa final'!$Q$15="Alta",'Mapa final'!$U$15="Moderado"),CONCATENATE("R",'Mapa final'!$A$15),"")</f>
        <v/>
      </c>
      <c r="Y19" s="381"/>
      <c r="Z19" s="381" t="str">
        <f>IF(AND('Mapa final'!Q$16="Alta",'Mapa final'!$U$16="Moderado"),CONCATENATE("R",'Mapa final'!$A$16),"")</f>
        <v/>
      </c>
      <c r="AA19" s="381"/>
      <c r="AB19" s="381" t="str">
        <f ca="1">IF(AND('Mapa final'!$Q$17="Alta",'Mapa final'!$U$17="Moderado"),CONCATENATE("R",'Mapa final'!$A$17),"")</f>
        <v/>
      </c>
      <c r="AC19" s="381"/>
      <c r="AD19" s="380" t="str">
        <f ca="1">IF(AND('Mapa final'!$Q$15="Alta",'Mapa final'!$U$15="Mayor"),CONCATENATE("R",'Mapa final'!$A$15),"")</f>
        <v/>
      </c>
      <c r="AE19" s="381"/>
      <c r="AF19" s="381" t="str">
        <f>IF(AND('Mapa final'!$Q$16="Alta",'Mapa final'!$U$16="Mayor"),CONCATENATE("R",'Mapa final'!$A$16),"")</f>
        <v/>
      </c>
      <c r="AG19" s="381"/>
      <c r="AH19" s="381" t="str">
        <f ca="1">IF(AND('Mapa final'!$Q$17="Alta",'Mapa final'!$U$17="Mayor"),CONCATENATE("R",'Mapa final'!$A$17),"")</f>
        <v/>
      </c>
      <c r="AI19" s="381"/>
      <c r="AJ19" s="371" t="str">
        <f ca="1">IF(AND('Mapa final'!$Q$15="Alta",'Mapa final'!$U$15="Catastrófico"),CONCATENATE("R",'Mapa final'!$A$15),"")</f>
        <v/>
      </c>
      <c r="AK19" s="372"/>
      <c r="AL19" s="372" t="str">
        <f>IF(AND('Mapa final'!$Q$16="Alta",'Mapa final'!$U$16="Catastrófico"),CONCATENATE("R",'Mapa final'!$A$16),"")</f>
        <v/>
      </c>
      <c r="AM19" s="372"/>
      <c r="AN19" s="372" t="str">
        <f ca="1">IF(AND('Mapa final'!$Q$17="Alta",'Mapa final'!$U$17="Catastrófico"),CONCATENATE("R",'Mapa final'!$A$17),"")</f>
        <v/>
      </c>
      <c r="AO19" s="373"/>
      <c r="AP19" s="69"/>
      <c r="AQ19" s="428" t="s">
        <v>79</v>
      </c>
      <c r="AR19" s="429"/>
      <c r="AS19" s="429"/>
      <c r="AT19" s="429"/>
      <c r="AU19" s="429"/>
      <c r="AV19" s="430"/>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417"/>
      <c r="E20" s="417"/>
      <c r="F20" s="418"/>
      <c r="G20" s="388"/>
      <c r="H20" s="389"/>
      <c r="I20" s="389"/>
      <c r="J20" s="389"/>
      <c r="K20" s="389"/>
      <c r="L20" s="354"/>
      <c r="M20" s="363"/>
      <c r="N20" s="363"/>
      <c r="O20" s="363"/>
      <c r="P20" s="363"/>
      <c r="Q20" s="356"/>
      <c r="R20" s="354"/>
      <c r="S20" s="363"/>
      <c r="T20" s="355"/>
      <c r="U20" s="355"/>
      <c r="V20" s="355"/>
      <c r="W20" s="355"/>
      <c r="X20" s="374"/>
      <c r="Y20" s="383"/>
      <c r="Z20" s="383"/>
      <c r="AA20" s="383"/>
      <c r="AB20" s="383"/>
      <c r="AC20" s="383"/>
      <c r="AD20" s="374"/>
      <c r="AE20" s="383"/>
      <c r="AF20" s="383"/>
      <c r="AG20" s="383"/>
      <c r="AH20" s="383"/>
      <c r="AI20" s="383"/>
      <c r="AJ20" s="364"/>
      <c r="AK20" s="370"/>
      <c r="AL20" s="370"/>
      <c r="AM20" s="370"/>
      <c r="AN20" s="370"/>
      <c r="AO20" s="366"/>
      <c r="AP20" s="69"/>
      <c r="AQ20" s="431"/>
      <c r="AR20" s="432"/>
      <c r="AS20" s="432"/>
      <c r="AT20" s="432"/>
      <c r="AU20" s="432"/>
      <c r="AV20" s="433"/>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417"/>
      <c r="E21" s="417"/>
      <c r="F21" s="418"/>
      <c r="G21" s="388"/>
      <c r="H21" s="389"/>
      <c r="I21" s="389"/>
      <c r="J21" s="389"/>
      <c r="K21" s="389"/>
      <c r="L21" s="354" t="str">
        <f ca="1">IF(AND('Mapa final'!$Q$18="Alta",'Mapa final'!$U$18="Leve"),CONCATENATE("R",'Mapa final'!$A$18),"")</f>
        <v/>
      </c>
      <c r="M21" s="363"/>
      <c r="N21" s="363" t="str">
        <f>IF(AND('Mapa final'!$L$19="Alta",'Mapa final'!$P$19="Leve"),CONCATENATE("R",'Mapa final'!$A$19),"")</f>
        <v/>
      </c>
      <c r="O21" s="363"/>
      <c r="P21" s="363" t="str">
        <f>IF(AND('Mapa final'!$L$20="Alta",'Mapa final'!$P$20="Leve"),CONCATENATE("R",'Mapa final'!$A$20),"")</f>
        <v/>
      </c>
      <c r="Q21" s="356"/>
      <c r="R21" s="354" t="str">
        <f ca="1">IF(AND('Mapa final'!$Q$18="Alta",'Mapa final'!$U$18="Menor"),CONCATENATE("R",'Mapa final'!$A$18),"")</f>
        <v/>
      </c>
      <c r="S21" s="363"/>
      <c r="T21" s="363" t="str">
        <f>IF(AND('Mapa final'!$Q$19="Alta",'Mapa final'!$U$19="Menor"),CONCATENATE("R",'Mapa final'!$A$19),"")</f>
        <v/>
      </c>
      <c r="U21" s="363"/>
      <c r="V21" s="363" t="str">
        <f ca="1">IF(AND('Mapa final'!$Q$20="Alta",'Mapa final'!$U$20="Menor"),CONCATENATE("R",'Mapa final'!$A$20),"")</f>
        <v/>
      </c>
      <c r="W21" s="363"/>
      <c r="X21" s="374" t="str">
        <f ca="1">IF(AND('Mapa final'!$Q$18="Alta",'Mapa final'!$U$18="Moderado"),CONCATENATE("R",'Mapa final'!$A$18),"")</f>
        <v/>
      </c>
      <c r="Y21" s="383"/>
      <c r="Z21" s="383" t="str">
        <f>IF(AND('Mapa final'!$Q$19="Alta",'Mapa final'!$U$19="Moderado"),CONCATENATE("R",'Mapa final'!$A$19),"")</f>
        <v/>
      </c>
      <c r="AA21" s="383"/>
      <c r="AB21" s="383" t="str">
        <f ca="1">IF(AND('Mapa final'!$Q$20="Alta",'Mapa final'!$U$20="Moderado"),CONCATENATE("R",'Mapa final'!$A$20),"")</f>
        <v/>
      </c>
      <c r="AC21" s="383"/>
      <c r="AD21" s="374" t="str">
        <f ca="1">IF(AND('Mapa final'!$Q$18="Alta",'Mapa final'!$U$18="Mayor"),CONCATENATE("R",'Mapa final'!$A$18),"")</f>
        <v/>
      </c>
      <c r="AE21" s="383"/>
      <c r="AF21" s="383" t="str">
        <f>IF(AND('Mapa final'!$Q$19="Alta",'Mapa final'!$U$19="Mayor"),CONCATENATE("R",'Mapa final'!$A$19),"")</f>
        <v/>
      </c>
      <c r="AG21" s="383"/>
      <c r="AH21" s="383" t="str">
        <f ca="1">IF(AND('Mapa final'!$Q$20="Alta",'Mapa final'!$U$20="Mayor"),CONCATENATE("R",'Mapa final'!$A$20),"")</f>
        <v/>
      </c>
      <c r="AI21" s="383"/>
      <c r="AJ21" s="364" t="str">
        <f ca="1">IF(AND('Mapa final'!$Q$18="Alta",'Mapa final'!$U$18="Catastrófico"),CONCATENATE("R",'Mapa final'!$A$18),"")</f>
        <v/>
      </c>
      <c r="AK21" s="370"/>
      <c r="AL21" s="370" t="str">
        <f>IF(AND('Mapa final'!$Q$19="Alta",'Mapa final'!$U$19="Catastrófico"),CONCATENATE("R",'Mapa final'!$A$19),"")</f>
        <v/>
      </c>
      <c r="AM21" s="370"/>
      <c r="AN21" s="370" t="str">
        <f>IF(AND('Mapa final'!$Q$20="Alta",'Mapa final'!$L$20="Catastrófico"),CONCATENATE("R",'Mapa final'!$A$20),"")</f>
        <v/>
      </c>
      <c r="AO21" s="366"/>
      <c r="AP21" s="69"/>
      <c r="AQ21" s="431"/>
      <c r="AR21" s="432"/>
      <c r="AS21" s="432"/>
      <c r="AT21" s="432"/>
      <c r="AU21" s="432"/>
      <c r="AV21" s="433"/>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417"/>
      <c r="E22" s="417"/>
      <c r="F22" s="418"/>
      <c r="G22" s="388"/>
      <c r="H22" s="389"/>
      <c r="I22" s="389"/>
      <c r="J22" s="389"/>
      <c r="K22" s="389"/>
      <c r="L22" s="354"/>
      <c r="M22" s="363"/>
      <c r="N22" s="363"/>
      <c r="O22" s="363"/>
      <c r="P22" s="363"/>
      <c r="Q22" s="356"/>
      <c r="R22" s="354"/>
      <c r="S22" s="363"/>
      <c r="T22" s="355"/>
      <c r="U22" s="355"/>
      <c r="V22" s="355"/>
      <c r="W22" s="355"/>
      <c r="X22" s="374"/>
      <c r="Y22" s="383"/>
      <c r="Z22" s="383"/>
      <c r="AA22" s="383"/>
      <c r="AB22" s="383"/>
      <c r="AC22" s="383"/>
      <c r="AD22" s="374"/>
      <c r="AE22" s="383"/>
      <c r="AF22" s="383"/>
      <c r="AG22" s="383"/>
      <c r="AH22" s="383"/>
      <c r="AI22" s="383"/>
      <c r="AJ22" s="364"/>
      <c r="AK22" s="370"/>
      <c r="AL22" s="370"/>
      <c r="AM22" s="370"/>
      <c r="AN22" s="370"/>
      <c r="AO22" s="366"/>
      <c r="AP22" s="69"/>
      <c r="AQ22" s="431"/>
      <c r="AR22" s="432"/>
      <c r="AS22" s="432"/>
      <c r="AT22" s="432"/>
      <c r="AU22" s="432"/>
      <c r="AV22" s="433"/>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417"/>
      <c r="E23" s="417"/>
      <c r="F23" s="418"/>
      <c r="G23" s="388"/>
      <c r="H23" s="389"/>
      <c r="I23" s="389"/>
      <c r="J23" s="389"/>
      <c r="K23" s="389"/>
      <c r="L23" s="354" t="str">
        <f ca="1">IF(AND('Mapa final'!$Q$21="Alta",'Mapa final'!$U$21="Leve"),CONCATENATE("R",'Mapa final'!$A$21),"")</f>
        <v/>
      </c>
      <c r="M23" s="363"/>
      <c r="N23" s="363" t="str">
        <f>IF(AND('Mapa final'!$L$22="Alta",'Mapa final'!$P$22="Leve"),CONCATENATE("R",'Mapa final'!$A$22),"")</f>
        <v/>
      </c>
      <c r="O23" s="363"/>
      <c r="P23" s="363" t="str">
        <f>IF(AND('Mapa final'!$L$23="Alta",'Mapa final'!$P$23="Leve"),CONCATENATE("R",'Mapa final'!$A$23),"")</f>
        <v/>
      </c>
      <c r="Q23" s="356"/>
      <c r="R23" s="354" t="str">
        <f ca="1">IF(AND('Mapa final'!$Q$21="Alta",'Mapa final'!$U$21="Menor"),CONCATENATE("R",'Mapa final'!$A$21),"")</f>
        <v/>
      </c>
      <c r="S23" s="363"/>
      <c r="T23" s="363" t="str">
        <f ca="1">IF(AND('Mapa final'!$LR$22="Alta",'Mapa final'!$U$22="Menor"),CONCATENATE("R",'Mapa final'!$A$22),"")</f>
        <v/>
      </c>
      <c r="U23" s="363"/>
      <c r="V23" s="363" t="str">
        <f>IF(AND('Mapa final'!$Q$23="Alta",'Mapa final'!$U$23="Menor"),CONCATENATE("R",'Mapa final'!$A$23),"")</f>
        <v/>
      </c>
      <c r="W23" s="363"/>
      <c r="X23" s="374" t="str">
        <f ca="1">IF(AND('Mapa final'!$Q$21="Alta",'Mapa final'!$U$21="Moderado"),CONCATENATE("R",'Mapa final'!$A$21),"")</f>
        <v/>
      </c>
      <c r="Y23" s="383"/>
      <c r="Z23" s="383" t="str">
        <f ca="1">IF(AND('Mapa final'!$Q$22="Alta",'Mapa final'!$U$22="Moderado"),CONCATENATE("R",'Mapa final'!$A$22),"")</f>
        <v/>
      </c>
      <c r="AA23" s="383"/>
      <c r="AB23" s="383" t="str">
        <f>IF(AND('Mapa final'!$Q$23="Alta",'Mapa final'!$U$23="Moderado"),CONCATENATE("R",'Mapa final'!$A$23),"")</f>
        <v/>
      </c>
      <c r="AC23" s="383"/>
      <c r="AD23" s="374" t="str">
        <f ca="1">IF(AND('Mapa final'!$Q$21="Alta",'Mapa final'!$U$21="Mayor"),CONCATENATE("R",'Mapa final'!$A$21),"")</f>
        <v/>
      </c>
      <c r="AE23" s="383"/>
      <c r="AF23" s="383" t="str">
        <f ca="1">IF(AND('Mapa final'!$Q$22="Alta",'Mapa final'!$U$22="Mayor"),CONCATENATE("R",'Mapa final'!$A$22),"")</f>
        <v/>
      </c>
      <c r="AG23" s="383"/>
      <c r="AH23" s="383" t="str">
        <f>IF(AND('Mapa final'!$Q$23="Alta",'Mapa final'!$U$23="Mayor"),CONCATENATE("R",'Mapa final'!$A$23),"")</f>
        <v/>
      </c>
      <c r="AI23" s="383"/>
      <c r="AJ23" s="364" t="str">
        <f ca="1">IF(AND('Mapa final'!$Q$21="Alta",'Mapa final'!$U$21="Catastrófico"),CONCATENATE("R",'Mapa final'!$A$21),"")</f>
        <v/>
      </c>
      <c r="AK23" s="370"/>
      <c r="AL23" s="370" t="str">
        <f ca="1">IF(AND('Mapa final'!$Q$22="Alta",'Mapa final'!$U$22="Catastrófico"),CONCATENATE("R",'Mapa final'!$A$22),"")</f>
        <v/>
      </c>
      <c r="AM23" s="370"/>
      <c r="AN23" s="370" t="str">
        <f>IF(AND('Mapa final'!$Q$23="Alta",'Mapa final'!$U$23="Catastrófico"),CONCATENATE("R",'Mapa final'!$A$23),"")</f>
        <v/>
      </c>
      <c r="AO23" s="366"/>
      <c r="AP23" s="69"/>
      <c r="AQ23" s="431"/>
      <c r="AR23" s="432"/>
      <c r="AS23" s="432"/>
      <c r="AT23" s="432"/>
      <c r="AU23" s="432"/>
      <c r="AV23" s="433"/>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417"/>
      <c r="E24" s="417"/>
      <c r="F24" s="418"/>
      <c r="G24" s="388"/>
      <c r="H24" s="389"/>
      <c r="I24" s="389"/>
      <c r="J24" s="389"/>
      <c r="K24" s="389"/>
      <c r="L24" s="354"/>
      <c r="M24" s="363"/>
      <c r="N24" s="363"/>
      <c r="O24" s="363"/>
      <c r="P24" s="363"/>
      <c r="Q24" s="356"/>
      <c r="R24" s="354"/>
      <c r="S24" s="363"/>
      <c r="T24" s="355"/>
      <c r="U24" s="355"/>
      <c r="V24" s="355"/>
      <c r="W24" s="355"/>
      <c r="X24" s="374"/>
      <c r="Y24" s="383"/>
      <c r="Z24" s="383"/>
      <c r="AA24" s="383"/>
      <c r="AB24" s="383"/>
      <c r="AC24" s="383"/>
      <c r="AD24" s="374"/>
      <c r="AE24" s="383"/>
      <c r="AF24" s="383"/>
      <c r="AG24" s="383"/>
      <c r="AH24" s="383"/>
      <c r="AI24" s="383"/>
      <c r="AJ24" s="364"/>
      <c r="AK24" s="370"/>
      <c r="AL24" s="370"/>
      <c r="AM24" s="370"/>
      <c r="AN24" s="370"/>
      <c r="AO24" s="366"/>
      <c r="AP24" s="69"/>
      <c r="AQ24" s="431"/>
      <c r="AR24" s="432"/>
      <c r="AS24" s="432"/>
      <c r="AT24" s="432"/>
      <c r="AU24" s="432"/>
      <c r="AV24" s="433"/>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417"/>
      <c r="E25" s="417"/>
      <c r="F25" s="418"/>
      <c r="G25" s="388"/>
      <c r="H25" s="389"/>
      <c r="I25" s="389"/>
      <c r="J25" s="389"/>
      <c r="K25" s="389"/>
      <c r="L25" s="354" t="str">
        <f>IF(AND('Mapa final'!$Q$24="Alta",'Mapa final'!$U$24="Leve"),CONCATENATE("R",'Mapa final'!$A$24),"")</f>
        <v/>
      </c>
      <c r="M25" s="363"/>
      <c r="N25" s="363" t="str">
        <f>IF(AND('Mapa final'!$L$25="Alta",'Mapa final'!$P$25="Leve"),CONCATENATE("R",'Mapa final'!$A$25),"")</f>
        <v/>
      </c>
      <c r="O25" s="363"/>
      <c r="P25" s="363" t="str">
        <f>IF(AND('Mapa final'!$L$26="Alta",'Mapa final'!$P$26="Leve"),CONCATENATE("R",'Mapa final'!$A$26),"")</f>
        <v/>
      </c>
      <c r="Q25" s="356"/>
      <c r="R25" s="354" t="str">
        <f>IF(AND('Mapa final'!$Q$24="Alta",'Mapa final'!$U$24="Menor"),CONCATENATE("R",'Mapa final'!$A$24),"")</f>
        <v/>
      </c>
      <c r="S25" s="363"/>
      <c r="T25" s="363" t="str">
        <f>IF(AND('Mapa final'!$Q$25="Alta",'Mapa final'!$U$25="Menor"),CONCATENATE("R",'Mapa final'!$A$25),"")</f>
        <v/>
      </c>
      <c r="U25" s="363"/>
      <c r="V25" s="363" t="str">
        <f>IF(AND('Mapa final'!$Q$26="Alta",'Mapa final'!$U$26="Menor"),CONCATENATE("R",'Mapa final'!$A$26),"")</f>
        <v/>
      </c>
      <c r="W25" s="363"/>
      <c r="X25" s="374" t="str">
        <f>IF(AND('Mapa final'!$Q$24="Alta",'Mapa final'!$U$24="Moderado"),CONCATENATE("R",'Mapa final'!$A$24),"")</f>
        <v/>
      </c>
      <c r="Y25" s="383"/>
      <c r="Z25" s="383" t="str">
        <f>IF(AND('Mapa final'!$Q$25="Alta",'Mapa final'!$U$25="Moderado"),CONCATENATE("R",'Mapa final'!$A$25),"")</f>
        <v/>
      </c>
      <c r="AA25" s="383"/>
      <c r="AB25" s="383" t="str">
        <f>IF(AND('Mapa final'!$Q$26="Alta",'Mapa final'!$U$26="Moderado"),CONCATENATE("R",'Mapa final'!$A$26),"")</f>
        <v/>
      </c>
      <c r="AC25" s="383"/>
      <c r="AD25" s="374" t="str">
        <f>IF(AND('Mapa final'!$Q$24="Alta",'Mapa final'!$U$24="Mayor"),CONCATENATE("R",'Mapa final'!$A$24),"")</f>
        <v/>
      </c>
      <c r="AE25" s="383"/>
      <c r="AF25" s="383" t="str">
        <f>IF(AND('Mapa final'!$Q$25="Alta",'Mapa final'!$U$25="Mayor"),CONCATENATE("R",'Mapa final'!$A$25),"")</f>
        <v/>
      </c>
      <c r="AG25" s="383"/>
      <c r="AH25" s="383" t="str">
        <f>IF(AND('Mapa final'!$Q$26="Alta",'Mapa final'!$U$26="Mayor"),CONCATENATE("R",'Mapa final'!$A$26),"")</f>
        <v/>
      </c>
      <c r="AI25" s="383"/>
      <c r="AJ25" s="364" t="str">
        <f>IF(AND('Mapa final'!$Q$24="Alta",'Mapa final'!$U$24="Catastrófico"),CONCATENATE("R",'Mapa final'!$A$24),"")</f>
        <v/>
      </c>
      <c r="AK25" s="370"/>
      <c r="AL25" s="370" t="str">
        <f>IF(AND('Mapa final'!$Q$25="Alta",'Mapa final'!$U$25="Catastrófico"),CONCATENATE("R",'Mapa final'!$A$25),"")</f>
        <v/>
      </c>
      <c r="AM25" s="370"/>
      <c r="AN25" s="370" t="str">
        <f>IF(AND('Mapa final'!$Q$26="Alta",'Mapa final'!$U$26="Catastrófico"),CONCATENATE("R",'Mapa final'!$A$26),"")</f>
        <v/>
      </c>
      <c r="AO25" s="366"/>
      <c r="AP25" s="69"/>
      <c r="AQ25" s="431"/>
      <c r="AR25" s="432"/>
      <c r="AS25" s="432"/>
      <c r="AT25" s="432"/>
      <c r="AU25" s="432"/>
      <c r="AV25" s="433"/>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417"/>
      <c r="E26" s="417"/>
      <c r="F26" s="418"/>
      <c r="G26" s="391"/>
      <c r="H26" s="392"/>
      <c r="I26" s="392"/>
      <c r="J26" s="392"/>
      <c r="K26" s="392"/>
      <c r="L26" s="357"/>
      <c r="M26" s="358"/>
      <c r="N26" s="358"/>
      <c r="O26" s="358"/>
      <c r="P26" s="358"/>
      <c r="Q26" s="359"/>
      <c r="R26" s="357"/>
      <c r="S26" s="358"/>
      <c r="T26" s="355"/>
      <c r="U26" s="355"/>
      <c r="V26" s="355"/>
      <c r="W26" s="355"/>
      <c r="X26" s="374"/>
      <c r="Y26" s="383"/>
      <c r="Z26" s="383"/>
      <c r="AA26" s="383"/>
      <c r="AB26" s="383"/>
      <c r="AC26" s="383"/>
      <c r="AD26" s="374"/>
      <c r="AE26" s="383"/>
      <c r="AF26" s="383"/>
      <c r="AG26" s="383"/>
      <c r="AH26" s="383"/>
      <c r="AI26" s="383"/>
      <c r="AJ26" s="364"/>
      <c r="AK26" s="370"/>
      <c r="AL26" s="370"/>
      <c r="AM26" s="370"/>
      <c r="AN26" s="370"/>
      <c r="AO26" s="366"/>
      <c r="AP26" s="69"/>
      <c r="AQ26" s="434"/>
      <c r="AR26" s="435"/>
      <c r="AS26" s="435"/>
      <c r="AT26" s="435"/>
      <c r="AU26" s="435"/>
      <c r="AV26" s="436"/>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417"/>
      <c r="E27" s="417"/>
      <c r="F27" s="418"/>
      <c r="G27" s="384" t="s">
        <v>116</v>
      </c>
      <c r="H27" s="386"/>
      <c r="I27" s="386"/>
      <c r="J27" s="386"/>
      <c r="K27" s="386"/>
      <c r="L27" s="360" t="str">
        <f ca="1">IF(AND('Mapa final'!$Q$15="Media",'Mapa final'!$U$15="Leve"),CONCATENATE("R",'Mapa final'!$A$15),"")</f>
        <v/>
      </c>
      <c r="M27" s="361"/>
      <c r="N27" s="361" t="str">
        <f>IF(AND('Mapa final'!$L$16="Media",'Mapa final'!$P$16="Leve"),CONCATENATE("R",'Mapa final'!$A$16),"")</f>
        <v/>
      </c>
      <c r="O27" s="361"/>
      <c r="P27" s="361" t="str">
        <f ca="1">IF(AND('Mapa final'!$Q$17="Media",'Mapa final'!$U$17="leve"),CONCATENATE("R",'Mapa final'!$D$17),"")</f>
        <v/>
      </c>
      <c r="Q27" s="362"/>
      <c r="R27" s="360" t="str">
        <f ca="1">IF(AND('Mapa final'!$Q$15="Media",'Mapa final'!$U$15="Menor"),CONCATENATE("R",'Mapa final'!$D$15),"")</f>
        <v>R1</v>
      </c>
      <c r="S27" s="361"/>
      <c r="T27" s="361" t="str">
        <f>IF(AND('Mapa final'!$Q$16="Media",'Mapa final'!$U$16="Menor"),CONCATENATE("R",'Mapa final'!$A$16),"")</f>
        <v/>
      </c>
      <c r="U27" s="361"/>
      <c r="V27" s="361" t="str">
        <f ca="1">IF(AND('Mapa final'!$Q$17="Media",'Mapa final'!$U$17="Menor"),CONCATENATE("R",'Mapa final'!$A$17),"")</f>
        <v/>
      </c>
      <c r="W27" s="361"/>
      <c r="X27" s="360" t="str">
        <f ca="1">IF(AND('Mapa final'!$Q$15="Media",'Mapa final'!$U$15="Moderado"),CONCATENATE("R",'Mapa final'!$A$15),"")</f>
        <v/>
      </c>
      <c r="Y27" s="361"/>
      <c r="Z27" s="361" t="str">
        <f>IF(AND('Mapa final'!Q$16="Media",'Mapa final'!$U$16="Moderado"),CONCATENATE("R",'Mapa final'!$A$16),"")</f>
        <v/>
      </c>
      <c r="AA27" s="361"/>
      <c r="AB27" s="361" t="str">
        <f ca="1">IF(AND('Mapa final'!$Q$17="Media",'Mapa final'!$U$17="Moderado"),CONCATENATE("R",'Mapa final'!$A$17),"")</f>
        <v/>
      </c>
      <c r="AC27" s="361"/>
      <c r="AD27" s="380" t="str">
        <f ca="1">IF(AND('Mapa final'!$Q$15="Media",'Mapa final'!$U$15="Mayor"),CONCATENATE("R",'Mapa final'!$D$15),"")</f>
        <v/>
      </c>
      <c r="AE27" s="381"/>
      <c r="AF27" s="381" t="str">
        <f>IF(AND('Mapa final'!$Q$16="Media",'Mapa final'!$U$16="Mayor"),CONCATENATE("R",'Mapa final'!$A$16),"")</f>
        <v/>
      </c>
      <c r="AG27" s="381"/>
      <c r="AH27" s="381" t="str">
        <f ca="1">IF(AND('Mapa final'!$Q$17="Media",'Mapa final'!$U$17="Mayor"),CONCATENATE("R",'Mapa final'!$A$17),"")</f>
        <v/>
      </c>
      <c r="AI27" s="381"/>
      <c r="AJ27" s="371" t="str">
        <f ca="1">IF(AND('Mapa final'!$Q$15="Media",'Mapa final'!$U$15="Catastrófico"),CONCATENATE("R",'Mapa final'!$A$15),"")</f>
        <v/>
      </c>
      <c r="AK27" s="372"/>
      <c r="AL27" s="372" t="str">
        <f>IF(AND('Mapa final'!$Q$16="Media",'Mapa final'!$U$16="Catastrófico"),CONCATENATE("R",'Mapa final'!$A$16),"")</f>
        <v/>
      </c>
      <c r="AM27" s="372"/>
      <c r="AN27" s="372" t="str">
        <f ca="1">IF(AND('Mapa final'!$Q$17="Media",'Mapa final'!$U$17="Catastrófico"),CONCATENATE("R",'Mapa final'!$A$17),"")</f>
        <v/>
      </c>
      <c r="AO27" s="373"/>
      <c r="AP27" s="69"/>
      <c r="AQ27" s="437" t="s">
        <v>80</v>
      </c>
      <c r="AR27" s="438"/>
      <c r="AS27" s="438"/>
      <c r="AT27" s="438"/>
      <c r="AU27" s="438"/>
      <c r="AV27" s="43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417"/>
      <c r="E28" s="417"/>
      <c r="F28" s="418"/>
      <c r="G28" s="388"/>
      <c r="H28" s="389"/>
      <c r="I28" s="389"/>
      <c r="J28" s="389"/>
      <c r="K28" s="395"/>
      <c r="L28" s="354"/>
      <c r="M28" s="363"/>
      <c r="N28" s="363"/>
      <c r="O28" s="363"/>
      <c r="P28" s="363"/>
      <c r="Q28" s="356"/>
      <c r="R28" s="354"/>
      <c r="S28" s="363"/>
      <c r="T28" s="363"/>
      <c r="U28" s="363"/>
      <c r="V28" s="363"/>
      <c r="W28" s="363"/>
      <c r="X28" s="354"/>
      <c r="Y28" s="363"/>
      <c r="Z28" s="363"/>
      <c r="AA28" s="363"/>
      <c r="AB28" s="363"/>
      <c r="AC28" s="363"/>
      <c r="AD28" s="374"/>
      <c r="AE28" s="383"/>
      <c r="AF28" s="383"/>
      <c r="AG28" s="383"/>
      <c r="AH28" s="383"/>
      <c r="AI28" s="383"/>
      <c r="AJ28" s="364"/>
      <c r="AK28" s="370"/>
      <c r="AL28" s="370"/>
      <c r="AM28" s="370"/>
      <c r="AN28" s="370"/>
      <c r="AO28" s="366"/>
      <c r="AP28" s="69"/>
      <c r="AQ28" s="440"/>
      <c r="AR28" s="441"/>
      <c r="AS28" s="441"/>
      <c r="AT28" s="441"/>
      <c r="AU28" s="441"/>
      <c r="AV28" s="442"/>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417"/>
      <c r="E29" s="417"/>
      <c r="F29" s="418"/>
      <c r="G29" s="388"/>
      <c r="H29" s="389"/>
      <c r="I29" s="389"/>
      <c r="J29" s="389"/>
      <c r="K29" s="395"/>
      <c r="L29" s="354" t="str">
        <f ca="1">IF(AND('Mapa final'!$Q$18="Media",'Mapa final'!$U$18="Leve"),CONCATENATE("R",'Mapa final'!$D$18),"")</f>
        <v>R3</v>
      </c>
      <c r="M29" s="363"/>
      <c r="N29" s="363" t="str">
        <f>IF(AND('Mapa final'!$L$19="Media",'Mapa final'!$P$19="Leve"),CONCATENATE("R",'Mapa final'!$A$19),"")</f>
        <v/>
      </c>
      <c r="O29" s="363"/>
      <c r="P29" s="363" t="str">
        <f>IF(AND('Mapa final'!$L$20="Media",'Mapa final'!$P$20="Leve"),CONCATENATE("R",'Mapa final'!$A$20),"")</f>
        <v/>
      </c>
      <c r="Q29" s="356"/>
      <c r="R29" s="354" t="str">
        <f ca="1">IF(AND('Mapa final'!$Q$18="Media",'Mapa final'!$U$18="Menor"),CONCATENATE("R",'Mapa final'!$A$18),"")</f>
        <v/>
      </c>
      <c r="S29" s="363"/>
      <c r="T29" s="363" t="str">
        <f>IF(AND('Mapa final'!$Q$19="Media",'Mapa final'!$U$19="Menor"),CONCATENATE("R",'Mapa final'!$A$19),"")</f>
        <v/>
      </c>
      <c r="U29" s="363"/>
      <c r="V29" s="363" t="str">
        <f ca="1">IF(AND('Mapa final'!$Q$20="Media",'Mapa final'!$U$20="Menor"),CONCATENATE("R",'Mapa final'!$A$20),"")</f>
        <v/>
      </c>
      <c r="W29" s="363"/>
      <c r="X29" s="354" t="str">
        <f ca="1">IF(AND('Mapa final'!$Q$18="Media",'Mapa final'!$U$18="Moderado"),CONCATENATE("R",'Mapa final'!$A$18),"")</f>
        <v/>
      </c>
      <c r="Y29" s="363"/>
      <c r="Z29" s="363" t="str">
        <f>IF(AND('Mapa final'!$Q$19="Media",'Mapa final'!$U$19="Moderado"),CONCATENATE("R",'Mapa final'!$A$19),"")</f>
        <v/>
      </c>
      <c r="AA29" s="363"/>
      <c r="AB29" s="363" t="str">
        <f ca="1">IF(AND('Mapa final'!$Q$20="Media",'Mapa final'!$U$20="Moderado"),CONCATENATE("R",'Mapa final'!$A$20),"")</f>
        <v/>
      </c>
      <c r="AC29" s="363"/>
      <c r="AD29" s="374" t="str">
        <f ca="1">IF(AND('Mapa final'!$Q$18="Media",'Mapa final'!$U$18="Mayor"),CONCATENATE("R",'Mapa final'!$A$18),"")</f>
        <v/>
      </c>
      <c r="AE29" s="383"/>
      <c r="AF29" s="383" t="str">
        <f>IF(AND('Mapa final'!$Q$19="Media",'Mapa final'!$U$19="Mayor"),CONCATENATE("R",'Mapa final'!$A$19),"")</f>
        <v/>
      </c>
      <c r="AG29" s="383"/>
      <c r="AH29" s="383" t="str">
        <f ca="1">IF(AND('Mapa final'!$Q$20="Media",'Mapa final'!$U$20="Mayor"),CONCATENATE("R",'Mapa final'!$A$20),"")</f>
        <v/>
      </c>
      <c r="AI29" s="383"/>
      <c r="AJ29" s="364" t="str">
        <f ca="1">IF(AND('Mapa final'!$Q$18="Media",'Mapa final'!$U$18="Catastrófico"),CONCATENATE("R",'Mapa final'!$A$18),"")</f>
        <v/>
      </c>
      <c r="AK29" s="370"/>
      <c r="AL29" s="370" t="str">
        <f>IF(AND('Mapa final'!$Q$19="Media",'Mapa final'!$U$19="Catastrófico"),CONCATENATE("R",'Mapa final'!$A$19),"")</f>
        <v/>
      </c>
      <c r="AM29" s="370"/>
      <c r="AN29" s="370" t="str">
        <f>IF(AND('Mapa final'!$Q$20="Media",'Mapa final'!$L$20="Catastrófico"),CONCATENATE("R",'Mapa final'!$A$20),"")</f>
        <v/>
      </c>
      <c r="AO29" s="366"/>
      <c r="AP29" s="69"/>
      <c r="AQ29" s="440"/>
      <c r="AR29" s="441"/>
      <c r="AS29" s="441"/>
      <c r="AT29" s="441"/>
      <c r="AU29" s="441"/>
      <c r="AV29" s="442"/>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417"/>
      <c r="E30" s="417"/>
      <c r="F30" s="418"/>
      <c r="G30" s="388"/>
      <c r="H30" s="389"/>
      <c r="I30" s="389"/>
      <c r="J30" s="389"/>
      <c r="K30" s="395"/>
      <c r="L30" s="354"/>
      <c r="M30" s="363"/>
      <c r="N30" s="363"/>
      <c r="O30" s="363"/>
      <c r="P30" s="363"/>
      <c r="Q30" s="356"/>
      <c r="R30" s="354"/>
      <c r="S30" s="363"/>
      <c r="T30" s="363"/>
      <c r="U30" s="363"/>
      <c r="V30" s="363"/>
      <c r="W30" s="363"/>
      <c r="X30" s="354"/>
      <c r="Y30" s="363"/>
      <c r="Z30" s="363"/>
      <c r="AA30" s="363"/>
      <c r="AB30" s="363"/>
      <c r="AC30" s="363"/>
      <c r="AD30" s="374"/>
      <c r="AE30" s="383"/>
      <c r="AF30" s="383"/>
      <c r="AG30" s="383"/>
      <c r="AH30" s="383"/>
      <c r="AI30" s="383"/>
      <c r="AJ30" s="364"/>
      <c r="AK30" s="370"/>
      <c r="AL30" s="370"/>
      <c r="AM30" s="370"/>
      <c r="AN30" s="370"/>
      <c r="AO30" s="366"/>
      <c r="AP30" s="69"/>
      <c r="AQ30" s="440"/>
      <c r="AR30" s="441"/>
      <c r="AS30" s="441"/>
      <c r="AT30" s="441"/>
      <c r="AU30" s="441"/>
      <c r="AV30" s="442"/>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417"/>
      <c r="E31" s="417"/>
      <c r="F31" s="418"/>
      <c r="G31" s="388"/>
      <c r="H31" s="389"/>
      <c r="I31" s="389"/>
      <c r="J31" s="389"/>
      <c r="K31" s="395"/>
      <c r="L31" s="354" t="str">
        <f ca="1">IF(AND('Mapa final'!$Q$21="Media",'Mapa final'!$U$21="Leve"),CONCATENATE("R",'Mapa final'!$A$21),"")</f>
        <v/>
      </c>
      <c r="M31" s="363"/>
      <c r="N31" s="363" t="str">
        <f>IF(AND('Mapa final'!$L$22="Media",'Mapa final'!$P$22="Leve"),CONCATENATE("R",'Mapa final'!$A$22),"")</f>
        <v/>
      </c>
      <c r="O31" s="363"/>
      <c r="P31" s="363" t="str">
        <f>IF(AND('Mapa final'!$L$23="Media",'Mapa final'!$P$23="Leve"),CONCATENATE("R",'Mapa final'!$A$23),"")</f>
        <v/>
      </c>
      <c r="Q31" s="356"/>
      <c r="R31" s="354" t="str">
        <f ca="1">IF(AND('Mapa final'!$Q$21="Media",'Mapa final'!$U$21="Menor"),CONCATENATE("R",'Mapa final'!$A$21),"")</f>
        <v/>
      </c>
      <c r="S31" s="363"/>
      <c r="T31" s="363" t="str">
        <f ca="1">IF(AND('Mapa final'!$LR$22="Media",'Mapa final'!$U$22="Menor"),CONCATENATE("R",'Mapa final'!$A$22),"")</f>
        <v/>
      </c>
      <c r="U31" s="363"/>
      <c r="V31" s="363" t="str">
        <f>IF(AND('Mapa final'!$Q$23="Media",'Mapa final'!$U$23="Menor"),CONCATENATE("R",'Mapa final'!$A$23),"")</f>
        <v/>
      </c>
      <c r="W31" s="363"/>
      <c r="X31" s="354" t="str">
        <f ca="1">IF(AND('Mapa final'!$Q$21="Media",'Mapa final'!$U$21="Moderado"),CONCATENATE("R",'Mapa final'!$A$21),"")</f>
        <v/>
      </c>
      <c r="Y31" s="363"/>
      <c r="Z31" s="363" t="str">
        <f ca="1">IF(AND('Mapa final'!$Q$22="Media",'Mapa final'!$U$22="Moderado"),CONCATENATE("R",'Mapa final'!$A$22),"")</f>
        <v/>
      </c>
      <c r="AA31" s="363"/>
      <c r="AB31" s="363" t="str">
        <f>IF(AND('Mapa final'!$Q$23="Media",'Mapa final'!$U$23="Moderado"),CONCATENATE("R",'Mapa final'!$A$23),"")</f>
        <v/>
      </c>
      <c r="AC31" s="363"/>
      <c r="AD31" s="374" t="str">
        <f ca="1">IF(AND('Mapa final'!$Q$21="Media",'Mapa final'!$U$21="Mayor"),CONCATENATE("R",'Mapa final'!$A$21),"")</f>
        <v/>
      </c>
      <c r="AE31" s="383"/>
      <c r="AF31" s="383" t="str">
        <f ca="1">IF(AND('Mapa final'!$Q$22="Media",'Mapa final'!$U$22="Mayor"),CONCATENATE("R",'Mapa final'!$A$22),"")</f>
        <v/>
      </c>
      <c r="AG31" s="383"/>
      <c r="AH31" s="383" t="str">
        <f>IF(AND('Mapa final'!$Q$23="Media",'Mapa final'!$U$23="Mayor"),CONCATENATE("R",'Mapa final'!$A$23),"")</f>
        <v/>
      </c>
      <c r="AI31" s="383"/>
      <c r="AJ31" s="364" t="str">
        <f ca="1">IF(AND('Mapa final'!$Q$21="Media",'Mapa final'!$U$21="Catastrófico"),CONCATENATE("R",'Mapa final'!$A$21),"")</f>
        <v/>
      </c>
      <c r="AK31" s="370"/>
      <c r="AL31" s="370" t="str">
        <f ca="1">IF(AND('Mapa final'!$Q$22="Media",'Mapa final'!$U$22="Catastrófico"),CONCATENATE("R",'Mapa final'!$A$22),"")</f>
        <v/>
      </c>
      <c r="AM31" s="370"/>
      <c r="AN31" s="370" t="str">
        <f>IF(AND('Mapa final'!$Q$23="Media",'Mapa final'!$U$23="Catastrófico"),CONCATENATE("R",'Mapa final'!$A$23),"")</f>
        <v/>
      </c>
      <c r="AO31" s="366"/>
      <c r="AP31" s="69"/>
      <c r="AQ31" s="440"/>
      <c r="AR31" s="441"/>
      <c r="AS31" s="441"/>
      <c r="AT31" s="441"/>
      <c r="AU31" s="441"/>
      <c r="AV31" s="442"/>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417"/>
      <c r="E32" s="417"/>
      <c r="F32" s="418"/>
      <c r="G32" s="388"/>
      <c r="H32" s="389"/>
      <c r="I32" s="389"/>
      <c r="J32" s="389"/>
      <c r="K32" s="395"/>
      <c r="L32" s="354"/>
      <c r="M32" s="363"/>
      <c r="N32" s="363"/>
      <c r="O32" s="363"/>
      <c r="P32" s="363"/>
      <c r="Q32" s="356"/>
      <c r="R32" s="354"/>
      <c r="S32" s="363"/>
      <c r="T32" s="363"/>
      <c r="U32" s="363"/>
      <c r="V32" s="363"/>
      <c r="W32" s="363"/>
      <c r="X32" s="354"/>
      <c r="Y32" s="363"/>
      <c r="Z32" s="363"/>
      <c r="AA32" s="363"/>
      <c r="AB32" s="363"/>
      <c r="AC32" s="363"/>
      <c r="AD32" s="374"/>
      <c r="AE32" s="383"/>
      <c r="AF32" s="383"/>
      <c r="AG32" s="383"/>
      <c r="AH32" s="383"/>
      <c r="AI32" s="383"/>
      <c r="AJ32" s="364"/>
      <c r="AK32" s="370"/>
      <c r="AL32" s="370"/>
      <c r="AM32" s="370"/>
      <c r="AN32" s="370"/>
      <c r="AO32" s="366"/>
      <c r="AP32" s="69"/>
      <c r="AQ32" s="440"/>
      <c r="AR32" s="441"/>
      <c r="AS32" s="441"/>
      <c r="AT32" s="441"/>
      <c r="AU32" s="441"/>
      <c r="AV32" s="442"/>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417"/>
      <c r="E33" s="417"/>
      <c r="F33" s="418"/>
      <c r="G33" s="388"/>
      <c r="H33" s="389"/>
      <c r="I33" s="389"/>
      <c r="J33" s="389"/>
      <c r="K33" s="395"/>
      <c r="L33" s="354" t="str">
        <f>IF(AND('Mapa final'!$Q$24="Mediaa",'Mapa final'!$U$24="Leve"),CONCATENATE("R",'Mapa final'!$A$24),"")</f>
        <v/>
      </c>
      <c r="M33" s="363"/>
      <c r="N33" s="363" t="str">
        <f>IF(AND('Mapa final'!$L$25="Media",'Mapa final'!$P$25="Leve"),CONCATENATE("R",'Mapa final'!$A$25),"")</f>
        <v/>
      </c>
      <c r="O33" s="363"/>
      <c r="P33" s="363" t="str">
        <f>IF(AND('Mapa final'!$L$26="Media",'Mapa final'!$P$26="Leve"),CONCATENATE("R",'Mapa final'!$A$26),"")</f>
        <v/>
      </c>
      <c r="Q33" s="356"/>
      <c r="R33" s="354" t="str">
        <f>IF(AND('Mapa final'!$Q$24="Media",'Mapa final'!$U$24="Menor"),CONCATENATE("R",'Mapa final'!$A$24),"")</f>
        <v/>
      </c>
      <c r="S33" s="363"/>
      <c r="T33" s="363" t="str">
        <f>IF(AND('Mapa final'!$Q$25="Media",'Mapa final'!$U$25="Menor"),CONCATENATE("R",'Mapa final'!$A$25),"")</f>
        <v/>
      </c>
      <c r="U33" s="363"/>
      <c r="V33" s="363" t="str">
        <f>IF(AND('Mapa final'!$Q$26="Media",'Mapa final'!$U$26="Menor"),CONCATENATE("R",'Mapa final'!$A$26),"")</f>
        <v/>
      </c>
      <c r="W33" s="363"/>
      <c r="X33" s="354" t="str">
        <f>IF(AND('Mapa final'!$Q$24="Media",'Mapa final'!$U$24="Moderado"),CONCATENATE("R",'Mapa final'!$A$24),"")</f>
        <v/>
      </c>
      <c r="Y33" s="363"/>
      <c r="Z33" s="363" t="str">
        <f>IF(AND('Mapa final'!$Q$25="Media",'Mapa final'!$U$25="Moderado"),CONCATENATE("R",'Mapa final'!$A$25),"")</f>
        <v/>
      </c>
      <c r="AA33" s="363"/>
      <c r="AB33" s="363" t="str">
        <f>IF(AND('Mapa final'!$Q$26="Media",'Mapa final'!$U$26="Moderado"),CONCATENATE("R",'Mapa final'!$A$26),"")</f>
        <v/>
      </c>
      <c r="AC33" s="363"/>
      <c r="AD33" s="374" t="str">
        <f>IF(AND('Mapa final'!$Q$24="Media",'Mapa final'!$U$24="Mayor"),CONCATENATE("R",'Mapa final'!$A$24),"")</f>
        <v/>
      </c>
      <c r="AE33" s="383"/>
      <c r="AF33" s="383" t="str">
        <f>IF(AND('Mapa final'!$Q$25="Media",'Mapa final'!$U$25="Mayor"),CONCATENATE("R",'Mapa final'!$A$25),"")</f>
        <v/>
      </c>
      <c r="AG33" s="383"/>
      <c r="AH33" s="383" t="str">
        <f>IF(AND('Mapa final'!$Q$26="Media",'Mapa final'!$U$26="Mayor"),CONCATENATE("R",'Mapa final'!$A$26),"")</f>
        <v/>
      </c>
      <c r="AI33" s="383"/>
      <c r="AJ33" s="364" t="str">
        <f>IF(AND('Mapa final'!$Q$24="Media",'Mapa final'!$U$24="Catastrófico"),CONCATENATE("R",'Mapa final'!$A$24),"")</f>
        <v/>
      </c>
      <c r="AK33" s="370"/>
      <c r="AL33" s="370" t="str">
        <f>IF(AND('Mapa final'!$Q$25="Media",'Mapa final'!$U$25="Catastrófico"),CONCATENATE("R",'Mapa final'!$A$25),"")</f>
        <v/>
      </c>
      <c r="AM33" s="370"/>
      <c r="AN33" s="370" t="str">
        <f>IF(AND('Mapa final'!$Q$26="Media",'Mapa final'!$U$26="Catastrófico"),CONCATENATE("R",'Mapa final'!$A$26),"")</f>
        <v/>
      </c>
      <c r="AO33" s="366"/>
      <c r="AP33" s="69"/>
      <c r="AQ33" s="440"/>
      <c r="AR33" s="441"/>
      <c r="AS33" s="441"/>
      <c r="AT33" s="441"/>
      <c r="AU33" s="441"/>
      <c r="AV33" s="442"/>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417"/>
      <c r="E34" s="417"/>
      <c r="F34" s="418"/>
      <c r="G34" s="391"/>
      <c r="H34" s="392"/>
      <c r="I34" s="392"/>
      <c r="J34" s="392"/>
      <c r="K34" s="392"/>
      <c r="L34" s="357"/>
      <c r="M34" s="358"/>
      <c r="N34" s="358"/>
      <c r="O34" s="358"/>
      <c r="P34" s="358"/>
      <c r="Q34" s="359"/>
      <c r="R34" s="357"/>
      <c r="S34" s="358"/>
      <c r="T34" s="358"/>
      <c r="U34" s="358"/>
      <c r="V34" s="358"/>
      <c r="W34" s="358"/>
      <c r="X34" s="357"/>
      <c r="Y34" s="358"/>
      <c r="Z34" s="358"/>
      <c r="AA34" s="358"/>
      <c r="AB34" s="358"/>
      <c r="AC34" s="358"/>
      <c r="AD34" s="377"/>
      <c r="AE34" s="378"/>
      <c r="AF34" s="378"/>
      <c r="AG34" s="378"/>
      <c r="AH34" s="378"/>
      <c r="AI34" s="378"/>
      <c r="AJ34" s="364"/>
      <c r="AK34" s="370"/>
      <c r="AL34" s="370"/>
      <c r="AM34" s="370"/>
      <c r="AN34" s="370"/>
      <c r="AO34" s="366"/>
      <c r="AP34" s="69"/>
      <c r="AQ34" s="443"/>
      <c r="AR34" s="444"/>
      <c r="AS34" s="444"/>
      <c r="AT34" s="444"/>
      <c r="AU34" s="444"/>
      <c r="AV34" s="445"/>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417"/>
      <c r="E35" s="417"/>
      <c r="F35" s="418"/>
      <c r="G35" s="384" t="s">
        <v>113</v>
      </c>
      <c r="H35" s="386"/>
      <c r="I35" s="386"/>
      <c r="J35" s="386"/>
      <c r="K35" s="386"/>
      <c r="L35" s="350" t="str">
        <f ca="1">IF(AND('Mapa final'!$Q$15="Baja",'Mapa final'!$U$15="Leve"),CONCATENATE("R",'Mapa final'!$A$15),"")</f>
        <v/>
      </c>
      <c r="M35" s="351"/>
      <c r="N35" s="351" t="str">
        <f>IF(AND('Mapa final'!$L$16="Baja",'Mapa final'!$P$16="Leve"),CONCATENATE("R",'Mapa final'!$A$16),"")</f>
        <v/>
      </c>
      <c r="O35" s="351"/>
      <c r="P35" s="351" t="str">
        <f>IF(AND('Mapa final'!$L$17="Baja",'Mapa final'!$P$17="Leve"),CONCATENATE("R",'Mapa final'!$A$17),"")</f>
        <v/>
      </c>
      <c r="Q35" s="352"/>
      <c r="R35" s="360" t="str">
        <f ca="1">IF(AND('Mapa final'!$Q$15="Baja",'Mapa final'!$U$15="Menor"),CONCATENATE("R",'Mapa final'!$A$15),"")</f>
        <v/>
      </c>
      <c r="S35" s="361"/>
      <c r="T35" s="363" t="str">
        <f>IF(AND('Mapa final'!$Q$16="Baja",'Mapa final'!$U$16="Menor"),CONCATENATE("R",'Mapa final'!$A$16),"")</f>
        <v/>
      </c>
      <c r="U35" s="363"/>
      <c r="V35" s="363" t="str">
        <f ca="1">IF(AND('Mapa final'!$Q$17="Baja",'Mapa final'!$U$17="Menor"),CONCATENATE("R",'Mapa final'!$D$17),"")</f>
        <v>R2</v>
      </c>
      <c r="W35" s="356"/>
      <c r="X35" s="354" t="str">
        <f ca="1">IF(AND('Mapa final'!$Q$15="Baja",'Mapa final'!$U$15="Moderado"),CONCATENATE("R",'Mapa final'!$A$15),"")</f>
        <v/>
      </c>
      <c r="Y35" s="363"/>
      <c r="Z35" s="363" t="str">
        <f>IF(AND('Mapa final'!Q$16="Baja",'Mapa final'!$U$16="Moderado"),CONCATENATE("R",'Mapa final'!$A$16),"")</f>
        <v/>
      </c>
      <c r="AA35" s="363"/>
      <c r="AB35" s="363" t="str">
        <f ca="1">IF(AND('Mapa final'!$Q$17="Baja",'Mapa final'!$U$17="Moderado"),CONCATENATE("R",'Mapa final'!$A$17),"")</f>
        <v/>
      </c>
      <c r="AC35" s="356"/>
      <c r="AD35" s="374" t="str">
        <f ca="1">IF(AND('Mapa final'!$Q$15="Baja",'Mapa final'!$U$15="Mayor"),CONCATENATE("R",'Mapa final'!$A$15),"")</f>
        <v/>
      </c>
      <c r="AE35" s="383"/>
      <c r="AF35" s="383" t="str">
        <f>IF(AND('Mapa final'!$Q$16="Baja",'Mapa final'!$U$16="Mayor"),CONCATENATE("R",'Mapa final'!$A$16),"")</f>
        <v/>
      </c>
      <c r="AG35" s="383"/>
      <c r="AH35" s="383" t="str">
        <f ca="1">IF(AND('Mapa final'!$Q$17="Baja",'Mapa final'!$U$17="Mayor"),CONCATENATE("R",'Mapa final'!$A$17),"")</f>
        <v/>
      </c>
      <c r="AI35" s="383"/>
      <c r="AJ35" s="371" t="str">
        <f ca="1">IF(AND('Mapa final'!$Q$15="Baja",'Mapa final'!$U$15="Catastrófico"),CONCATENATE("R",'Mapa final'!$A$15),"")</f>
        <v/>
      </c>
      <c r="AK35" s="372"/>
      <c r="AL35" s="372" t="str">
        <f>IF(AND('Mapa final'!$Q$16="Baja",'Mapa final'!$U$16="Catastrófico"),CONCATENATE("R",'Mapa final'!$A$16),"")</f>
        <v/>
      </c>
      <c r="AM35" s="372"/>
      <c r="AN35" s="372" t="str">
        <f ca="1">IF(AND('Mapa final'!$Q$17="Baja",'Mapa final'!$U$17="Catastrófico"),CONCATENATE("R",'Mapa final'!$A$17),"")</f>
        <v/>
      </c>
      <c r="AO35" s="373"/>
      <c r="AP35" s="69"/>
      <c r="AQ35" s="446" t="s">
        <v>81</v>
      </c>
      <c r="AR35" s="447"/>
      <c r="AS35" s="447"/>
      <c r="AT35" s="447"/>
      <c r="AU35" s="447"/>
      <c r="AV35" s="448"/>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417"/>
      <c r="E36" s="417"/>
      <c r="F36" s="418"/>
      <c r="G36" s="388"/>
      <c r="H36" s="389"/>
      <c r="I36" s="389"/>
      <c r="J36" s="389"/>
      <c r="K36" s="389"/>
      <c r="L36" s="344"/>
      <c r="M36" s="345"/>
      <c r="N36" s="345"/>
      <c r="O36" s="345"/>
      <c r="P36" s="345"/>
      <c r="Q36" s="347"/>
      <c r="R36" s="354"/>
      <c r="S36" s="363"/>
      <c r="T36" s="355"/>
      <c r="U36" s="355"/>
      <c r="V36" s="355"/>
      <c r="W36" s="356"/>
      <c r="X36" s="354"/>
      <c r="Y36" s="355"/>
      <c r="Z36" s="355"/>
      <c r="AA36" s="355"/>
      <c r="AB36" s="355"/>
      <c r="AC36" s="356"/>
      <c r="AD36" s="374"/>
      <c r="AE36" s="375"/>
      <c r="AF36" s="375"/>
      <c r="AG36" s="375"/>
      <c r="AH36" s="375"/>
      <c r="AI36" s="383"/>
      <c r="AJ36" s="364"/>
      <c r="AK36" s="370"/>
      <c r="AL36" s="370"/>
      <c r="AM36" s="370"/>
      <c r="AN36" s="370"/>
      <c r="AO36" s="366"/>
      <c r="AP36" s="69"/>
      <c r="AQ36" s="449"/>
      <c r="AR36" s="450"/>
      <c r="AS36" s="450"/>
      <c r="AT36" s="450"/>
      <c r="AU36" s="450"/>
      <c r="AV36" s="451"/>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417"/>
      <c r="E37" s="417"/>
      <c r="F37" s="418"/>
      <c r="G37" s="388"/>
      <c r="H37" s="389"/>
      <c r="I37" s="389"/>
      <c r="J37" s="389"/>
      <c r="K37" s="389"/>
      <c r="L37" s="344" t="str">
        <f ca="1">IF(AND('Mapa final'!$Q$18="Baja",'Mapa final'!$U$18="Leve"),CONCATENATE("R",'Mapa final'!$A$18),"")</f>
        <v/>
      </c>
      <c r="M37" s="345"/>
      <c r="N37" s="345" t="str">
        <f>IF(AND('Mapa final'!$L$19="Baja",'Mapa final'!$P$19="Leve"),CONCATENATE("R",'Mapa final'!$A$19),"")</f>
        <v/>
      </c>
      <c r="O37" s="345"/>
      <c r="P37" s="345" t="str">
        <f>IF(AND('Mapa final'!$L$20="Baja",'Mapa final'!$P$20="Leve"),CONCATENATE("R",'Mapa final'!$A$20),"")</f>
        <v/>
      </c>
      <c r="Q37" s="347"/>
      <c r="R37" s="354" t="str">
        <f ca="1">IF(AND('Mapa final'!$Q$18="Baja",'Mapa final'!$U$18="Menor"),CONCATENATE("R",'Mapa final'!$A$18),"")</f>
        <v/>
      </c>
      <c r="S37" s="355"/>
      <c r="T37" s="355" t="str">
        <f>IF(AND('Mapa final'!$Q$19="Baja",'Mapa final'!$U$19="Menor"),CONCATENATE("R",'Mapa final'!$A$19),"")</f>
        <v/>
      </c>
      <c r="U37" s="355"/>
      <c r="V37" s="355" t="str">
        <f ca="1">IF(AND('Mapa final'!$Q$20="Baja",'Mapa final'!$U$20="Menor"),CONCATENATE("R",'Mapa final'!$A$20),"")</f>
        <v/>
      </c>
      <c r="W37" s="356"/>
      <c r="X37" s="354" t="str">
        <f ca="1">IF(AND('Mapa final'!$Q$18="Baja",'Mapa final'!$U$18="Moderado"),CONCATENATE("R",'Mapa final'!$A$18),"")</f>
        <v/>
      </c>
      <c r="Y37" s="355"/>
      <c r="Z37" s="355" t="str">
        <f>IF(AND('Mapa final'!$Q$19="Baja",'Mapa final'!$U$19="Moderado"),CONCATENATE("R",'Mapa final'!$A$19),"")</f>
        <v/>
      </c>
      <c r="AA37" s="355"/>
      <c r="AB37" s="355" t="str">
        <f ca="1">IF(AND('Mapa final'!$Q$20="Baja",'Mapa final'!$U$20="Moderado"),CONCATENATE("R",'Mapa final'!$A$20),"")</f>
        <v/>
      </c>
      <c r="AC37" s="356"/>
      <c r="AD37" s="374" t="str">
        <f ca="1">IF(AND('Mapa final'!$Q$18="Baja",'Mapa final'!$U$18="Mayor"),CONCATENATE("R",'Mapa final'!$A$18),"")</f>
        <v/>
      </c>
      <c r="AE37" s="375"/>
      <c r="AF37" s="375" t="str">
        <f>IF(AND('Mapa final'!$Q$19="Baja",'Mapa final'!$U$19="Mayor"),CONCATENATE("R",'Mapa final'!$A$19),"")</f>
        <v/>
      </c>
      <c r="AG37" s="375"/>
      <c r="AH37" s="375" t="str">
        <f ca="1">IF(AND('Mapa final'!$Q$20="Baja",'Mapa final'!$U$20="Mayor"),CONCATENATE("R",'Mapa final'!$A$20),"")</f>
        <v/>
      </c>
      <c r="AI37" s="383"/>
      <c r="AJ37" s="364" t="str">
        <f ca="1">IF(AND('Mapa final'!$Q$18="Baja",'Mapa final'!$U$18="Catastrófico"),CONCATENATE("R",'Mapa final'!$A$18),"")</f>
        <v/>
      </c>
      <c r="AK37" s="370"/>
      <c r="AL37" s="370" t="str">
        <f>IF(AND('Mapa final'!$Q$19="Baja",'Mapa final'!$U$19="Catastrófico"),CONCATENATE("R",'Mapa final'!$A$19),"")</f>
        <v/>
      </c>
      <c r="AM37" s="370"/>
      <c r="AN37" s="370" t="str">
        <f>IF(AND('Mapa final'!$Q$20="Baja",'Mapa final'!$L$20="Catastrófico"),CONCATENATE("R",'Mapa final'!$A$20),"")</f>
        <v/>
      </c>
      <c r="AO37" s="366"/>
      <c r="AP37" s="69"/>
      <c r="AQ37" s="449"/>
      <c r="AR37" s="450"/>
      <c r="AS37" s="450"/>
      <c r="AT37" s="450"/>
      <c r="AU37" s="450"/>
      <c r="AV37" s="451"/>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417"/>
      <c r="E38" s="417"/>
      <c r="F38" s="418"/>
      <c r="G38" s="388"/>
      <c r="H38" s="389"/>
      <c r="I38" s="389"/>
      <c r="J38" s="389"/>
      <c r="K38" s="389"/>
      <c r="L38" s="344"/>
      <c r="M38" s="345"/>
      <c r="N38" s="345"/>
      <c r="O38" s="345"/>
      <c r="P38" s="345"/>
      <c r="Q38" s="347"/>
      <c r="R38" s="354"/>
      <c r="S38" s="355"/>
      <c r="T38" s="355"/>
      <c r="U38" s="355"/>
      <c r="V38" s="355"/>
      <c r="W38" s="356"/>
      <c r="X38" s="354"/>
      <c r="Y38" s="355"/>
      <c r="Z38" s="355"/>
      <c r="AA38" s="355"/>
      <c r="AB38" s="355"/>
      <c r="AC38" s="356"/>
      <c r="AD38" s="374"/>
      <c r="AE38" s="375"/>
      <c r="AF38" s="375"/>
      <c r="AG38" s="375"/>
      <c r="AH38" s="375"/>
      <c r="AI38" s="383"/>
      <c r="AJ38" s="364"/>
      <c r="AK38" s="370"/>
      <c r="AL38" s="370"/>
      <c r="AM38" s="370"/>
      <c r="AN38" s="370"/>
      <c r="AO38" s="366"/>
      <c r="AP38" s="69"/>
      <c r="AQ38" s="449"/>
      <c r="AR38" s="450"/>
      <c r="AS38" s="450"/>
      <c r="AT38" s="450"/>
      <c r="AU38" s="450"/>
      <c r="AV38" s="451"/>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417"/>
      <c r="E39" s="417"/>
      <c r="F39" s="418"/>
      <c r="G39" s="388"/>
      <c r="H39" s="389"/>
      <c r="I39" s="389"/>
      <c r="J39" s="389"/>
      <c r="K39" s="389"/>
      <c r="L39" s="344" t="str">
        <f ca="1">IF(AND('Mapa final'!$Q$21="Baja",'Mapa final'!$U$21="Leve"),CONCATENATE("R",'Mapa final'!$A$21),"")</f>
        <v/>
      </c>
      <c r="M39" s="345"/>
      <c r="N39" s="345" t="str">
        <f>IF(AND('Mapa final'!$L$22="Baja",'Mapa final'!$P$22="Leve"),CONCATENATE("R",'Mapa final'!$A$22),"")</f>
        <v/>
      </c>
      <c r="O39" s="345"/>
      <c r="P39" s="345" t="str">
        <f>IF(AND('Mapa final'!$L$23="Baja",'Mapa final'!$P$23="Leve"),CONCATENATE("R",'Mapa final'!$A$23),"")</f>
        <v/>
      </c>
      <c r="Q39" s="347"/>
      <c r="R39" s="354" t="str">
        <f ca="1">IF(AND('Mapa final'!$Q$21="Baja",'Mapa final'!$U$21="Menor"),CONCATENATE("R",'Mapa final'!$A$21),"")</f>
        <v/>
      </c>
      <c r="S39" s="355"/>
      <c r="T39" s="355" t="str">
        <f ca="1">IF(AND('Mapa final'!$LR$22="Baja",'Mapa final'!$U$22="Menor"),CONCATENATE("R",'Mapa final'!$A$22),"")</f>
        <v/>
      </c>
      <c r="U39" s="355"/>
      <c r="V39" s="355" t="str">
        <f>IF(AND('Mapa final'!$Q$23="Baja",'Mapa final'!$U$23="Menor"),CONCATENATE("R",'Mapa final'!$A$23),"")</f>
        <v/>
      </c>
      <c r="W39" s="356"/>
      <c r="X39" s="354" t="str">
        <f ca="1">IF(AND('Mapa final'!$Q$21="Baja",'Mapa final'!$U$21="Moderado"),CONCATENATE("R",'Mapa final'!$A$21),"")</f>
        <v/>
      </c>
      <c r="Y39" s="355"/>
      <c r="Z39" s="355" t="str">
        <f ca="1">IF(AND('Mapa final'!$Q$22="Baja",'Mapa final'!$U$22="Moderado"),CONCATENATE("R",'Mapa final'!$A$22),"")</f>
        <v/>
      </c>
      <c r="AA39" s="355"/>
      <c r="AB39" s="355" t="str">
        <f>IF(AND('Mapa final'!$Q$23="Baja",'Mapa final'!$U$23="Moderado"),CONCATENATE("R",'Mapa final'!$A$23),"")</f>
        <v/>
      </c>
      <c r="AC39" s="356"/>
      <c r="AD39" s="374" t="str">
        <f ca="1">IF(AND('Mapa final'!$Q$21="Baja",'Mapa final'!$U$21="Mayor"),CONCATENATE("R",'Mapa final'!$A$21),"")</f>
        <v/>
      </c>
      <c r="AE39" s="375"/>
      <c r="AF39" s="375" t="str">
        <f ca="1">IF(AND('Mapa final'!$Q$22="Baja",'Mapa final'!$U$22="Mayor"),CONCATENATE("R",'Mapa final'!$A$22),"")</f>
        <v/>
      </c>
      <c r="AG39" s="375"/>
      <c r="AH39" s="375" t="str">
        <f>IF(AND('Mapa final'!$Q$23="Baja",'Mapa final'!$U$23="Mayor"),CONCATENATE("R",'Mapa final'!$A$23),"")</f>
        <v/>
      </c>
      <c r="AI39" s="383"/>
      <c r="AJ39" s="364" t="str">
        <f ca="1">IF(AND('Mapa final'!$Q$21="Baja",'Mapa final'!$U$21="Catastrófico"),CONCATENATE("R",'Mapa final'!$A$21),"")</f>
        <v/>
      </c>
      <c r="AK39" s="370"/>
      <c r="AL39" s="370" t="str">
        <f ca="1">IF(AND('Mapa final'!$Q$22="Baja",'Mapa final'!$U$22="Catastrófico"),CONCATENATE("R",'Mapa final'!$A$22),"")</f>
        <v/>
      </c>
      <c r="AM39" s="370"/>
      <c r="AN39" s="370" t="str">
        <f>IF(AND('Mapa final'!$Q$23="Baja",'Mapa final'!$U$23="Catastrófico"),CONCATENATE("R",'Mapa final'!$A$23),"")</f>
        <v/>
      </c>
      <c r="AO39" s="366"/>
      <c r="AP39" s="69"/>
      <c r="AQ39" s="449"/>
      <c r="AR39" s="450"/>
      <c r="AS39" s="450"/>
      <c r="AT39" s="450"/>
      <c r="AU39" s="450"/>
      <c r="AV39" s="451"/>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417"/>
      <c r="E40" s="417"/>
      <c r="F40" s="418"/>
      <c r="G40" s="388"/>
      <c r="H40" s="389"/>
      <c r="I40" s="389"/>
      <c r="J40" s="389"/>
      <c r="K40" s="389"/>
      <c r="L40" s="344"/>
      <c r="M40" s="345"/>
      <c r="N40" s="345"/>
      <c r="O40" s="345"/>
      <c r="P40" s="345"/>
      <c r="Q40" s="347"/>
      <c r="R40" s="354"/>
      <c r="S40" s="355"/>
      <c r="T40" s="355"/>
      <c r="U40" s="355"/>
      <c r="V40" s="355"/>
      <c r="W40" s="356"/>
      <c r="X40" s="354"/>
      <c r="Y40" s="355"/>
      <c r="Z40" s="355"/>
      <c r="AA40" s="355"/>
      <c r="AB40" s="355"/>
      <c r="AC40" s="356"/>
      <c r="AD40" s="374"/>
      <c r="AE40" s="375"/>
      <c r="AF40" s="375"/>
      <c r="AG40" s="375"/>
      <c r="AH40" s="375"/>
      <c r="AI40" s="383"/>
      <c r="AJ40" s="364"/>
      <c r="AK40" s="370"/>
      <c r="AL40" s="370"/>
      <c r="AM40" s="370"/>
      <c r="AN40" s="370"/>
      <c r="AO40" s="366"/>
      <c r="AP40" s="69"/>
      <c r="AQ40" s="449"/>
      <c r="AR40" s="450"/>
      <c r="AS40" s="450"/>
      <c r="AT40" s="450"/>
      <c r="AU40" s="450"/>
      <c r="AV40" s="451"/>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417"/>
      <c r="E41" s="417"/>
      <c r="F41" s="418"/>
      <c r="G41" s="388"/>
      <c r="H41" s="389"/>
      <c r="I41" s="389"/>
      <c r="J41" s="389"/>
      <c r="K41" s="389"/>
      <c r="L41" s="344" t="str">
        <f>IF(AND('Mapa final'!$Q$24="Baja",'Mapa final'!$U$24="Leve"),CONCATENATE("R",'Mapa final'!$A$24),"")</f>
        <v/>
      </c>
      <c r="M41" s="345"/>
      <c r="N41" s="345" t="str">
        <f>IF(AND('Mapa final'!$L$25="Baja",'Mapa final'!$P$25="Leve"),CONCATENATE("R",'Mapa final'!$A$25),"")</f>
        <v/>
      </c>
      <c r="O41" s="345"/>
      <c r="P41" s="345" t="str">
        <f>IF(AND('Mapa final'!$L$26="Baja",'Mapa final'!$P$26="Leve"),CONCATENATE("R",'Mapa final'!$A$26),"")</f>
        <v/>
      </c>
      <c r="Q41" s="347"/>
      <c r="R41" s="354" t="str">
        <f>IF(AND('Mapa final'!$Q$24="Baja",'Mapa final'!$U$24="Menor"),CONCATENATE("R",'Mapa final'!$A$24),"")</f>
        <v/>
      </c>
      <c r="S41" s="355"/>
      <c r="T41" s="355" t="str">
        <f>IF(AND('Mapa final'!$Q$25="Baja",'Mapa final'!$U$25="Menor"),CONCATENATE("R",'Mapa final'!$A$25),"")</f>
        <v/>
      </c>
      <c r="U41" s="355"/>
      <c r="V41" s="355" t="str">
        <f>IF(AND('Mapa final'!$Q$26="Baja",'Mapa final'!$U$26="Menor"),CONCATENATE("R",'Mapa final'!$A$26),"")</f>
        <v/>
      </c>
      <c r="W41" s="356"/>
      <c r="X41" s="354" t="str">
        <f>IF(AND('Mapa final'!$Q$24="Baja",'Mapa final'!$U$24="Moderado"),CONCATENATE("R",'Mapa final'!$A$24),"")</f>
        <v/>
      </c>
      <c r="Y41" s="355"/>
      <c r="Z41" s="355" t="str">
        <f>IF(AND('Mapa final'!$Q$25="Baja",'Mapa final'!$U$25="Moderado"),CONCATENATE("R",'Mapa final'!$A$25),"")</f>
        <v/>
      </c>
      <c r="AA41" s="355"/>
      <c r="AB41" s="355" t="str">
        <f>IF(AND('Mapa final'!$Q$26="Baja",'Mapa final'!$U$26="Moderado"),CONCATENATE("R",'Mapa final'!$A$26),"")</f>
        <v/>
      </c>
      <c r="AC41" s="356"/>
      <c r="AD41" s="374" t="str">
        <f>IF(AND('Mapa final'!$Q$24="Baja",'Mapa final'!$U$24="Mayor"),CONCATENATE("R",'Mapa final'!$A$24),"")</f>
        <v/>
      </c>
      <c r="AE41" s="375"/>
      <c r="AF41" s="375" t="str">
        <f>IF(AND('Mapa final'!$Q$25="Baja",'Mapa final'!$U$25="Mayor"),CONCATENATE("R",'Mapa final'!$A$25),"")</f>
        <v/>
      </c>
      <c r="AG41" s="375"/>
      <c r="AH41" s="375" t="str">
        <f>IF(AND('Mapa final'!$Q$26="Baja",'Mapa final'!$U$26="Mayor"),CONCATENATE("R",'Mapa final'!$A$26),"")</f>
        <v/>
      </c>
      <c r="AI41" s="383"/>
      <c r="AJ41" s="364" t="str">
        <f>IF(AND('Mapa final'!$Q$24="Baja",'Mapa final'!$U$24="Catastrófico"),CONCATENATE("R",'Mapa final'!$A$24),"")</f>
        <v/>
      </c>
      <c r="AK41" s="370"/>
      <c r="AL41" s="370" t="str">
        <f>IF(AND('Mapa final'!$Q$25="Baja",'Mapa final'!$U$25="Catastrófico"),CONCATENATE("R",'Mapa final'!$A$25),"")</f>
        <v/>
      </c>
      <c r="AM41" s="370"/>
      <c r="AN41" s="370" t="str">
        <f>IF(AND('Mapa final'!$Q$26="Baja",'Mapa final'!$U$26="Catastrófico"),CONCATENATE("R",'Mapa final'!$A$26),"")</f>
        <v/>
      </c>
      <c r="AO41" s="366"/>
      <c r="AP41" s="69"/>
      <c r="AQ41" s="449"/>
      <c r="AR41" s="450"/>
      <c r="AS41" s="450"/>
      <c r="AT41" s="450"/>
      <c r="AU41" s="450"/>
      <c r="AV41" s="451"/>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417"/>
      <c r="E42" s="417"/>
      <c r="F42" s="418"/>
      <c r="G42" s="391"/>
      <c r="H42" s="392"/>
      <c r="I42" s="392"/>
      <c r="J42" s="392"/>
      <c r="K42" s="392"/>
      <c r="L42" s="353"/>
      <c r="M42" s="348"/>
      <c r="N42" s="348"/>
      <c r="O42" s="348"/>
      <c r="P42" s="348"/>
      <c r="Q42" s="349"/>
      <c r="R42" s="357"/>
      <c r="S42" s="358"/>
      <c r="T42" s="358"/>
      <c r="U42" s="358"/>
      <c r="V42" s="358"/>
      <c r="W42" s="359"/>
      <c r="X42" s="357"/>
      <c r="Y42" s="358"/>
      <c r="Z42" s="358"/>
      <c r="AA42" s="358"/>
      <c r="AB42" s="358"/>
      <c r="AC42" s="359"/>
      <c r="AD42" s="377"/>
      <c r="AE42" s="378"/>
      <c r="AF42" s="378"/>
      <c r="AG42" s="378"/>
      <c r="AH42" s="378"/>
      <c r="AI42" s="378"/>
      <c r="AJ42" s="367"/>
      <c r="AK42" s="368"/>
      <c r="AL42" s="368"/>
      <c r="AM42" s="368"/>
      <c r="AN42" s="368"/>
      <c r="AO42" s="369"/>
      <c r="AP42" s="69"/>
      <c r="AQ42" s="452"/>
      <c r="AR42" s="453"/>
      <c r="AS42" s="453"/>
      <c r="AT42" s="453"/>
      <c r="AU42" s="453"/>
      <c r="AV42" s="454"/>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417"/>
      <c r="E43" s="417"/>
      <c r="F43" s="418"/>
      <c r="G43" s="384" t="s">
        <v>112</v>
      </c>
      <c r="H43" s="386"/>
      <c r="I43" s="386"/>
      <c r="J43" s="386"/>
      <c r="K43" s="386"/>
      <c r="L43" s="350" t="str">
        <f ca="1">IF(AND('Mapa final'!$Q$15="Muy Baja",'Mapa final'!$U$15="Leve"),CONCATENATE("R",'Mapa final'!$A$15),"")</f>
        <v/>
      </c>
      <c r="M43" s="351"/>
      <c r="N43" s="351" t="str">
        <f>IF(AND('Mapa final'!$L$16="Muy Baja",'Mapa final'!$P$16="Leve"),CONCATENATE("R",'Mapa final'!$A$16),"")</f>
        <v/>
      </c>
      <c r="O43" s="351"/>
      <c r="P43" s="351" t="str">
        <f>IF(AND('Mapa final'!$L$17="Muy Baja",'Mapa final'!$P$17="Leve"),CONCATENATE("R",'Mapa final'!$A$17),"")</f>
        <v/>
      </c>
      <c r="Q43" s="352"/>
      <c r="R43" s="350" t="str">
        <f ca="1">IF(AND('Mapa final'!$Q$15="Muy Baja",'Mapa final'!$U$15="Menor"),CONCATENATE("R",'Mapa final'!$A$15),"")</f>
        <v/>
      </c>
      <c r="S43" s="351"/>
      <c r="T43" s="351" t="str">
        <f>IF(AND('Mapa final'!$Q$16="Muy Baja",'Mapa final'!$U$16="Menor"),CONCATENATE("R",'Mapa final'!$A$16),"")</f>
        <v/>
      </c>
      <c r="U43" s="351"/>
      <c r="V43" s="351" t="str">
        <f ca="1">IF(AND('Mapa final'!$Q$17="Muy Baja",'Mapa final'!$U$17="Menor"),CONCATENATE("R",'Mapa final'!$A$17),"")</f>
        <v/>
      </c>
      <c r="W43" s="352"/>
      <c r="X43" s="360" t="str">
        <f ca="1">IF(AND('Mapa final'!$Q$15="Muy Baja",'Mapa final'!$U$15="Moderado"),CONCATENATE("R",'Mapa final'!$A$15),"")</f>
        <v/>
      </c>
      <c r="Y43" s="361"/>
      <c r="Z43" s="361" t="str">
        <f>IF(AND('Mapa final'!Q$16="Muy Baja",'Mapa final'!$U$16="Moderado"),CONCATENATE("R",'Mapa final'!$A$16),"")</f>
        <v/>
      </c>
      <c r="AA43" s="361"/>
      <c r="AB43" s="361" t="str">
        <f ca="1">IF(AND('Mapa final'!$Q$17="Muy Baja",'Mapa final'!$U$17="Moderado"),CONCATENATE("R",'Mapa final'!$A$17),"")</f>
        <v/>
      </c>
      <c r="AC43" s="362"/>
      <c r="AD43" s="380" t="str">
        <f ca="1">IF(AND('Mapa final'!$Q$15="Muy Baja",'Mapa final'!$U$15="Mayor"),CONCATENATE("R",'Mapa final'!$A$15),"")</f>
        <v/>
      </c>
      <c r="AE43" s="381"/>
      <c r="AF43" s="381" t="str">
        <f>IF(AND('Mapa final'!$Q$16="Muy Baja",'Mapa final'!$U$16="Mayor"),CONCATENATE("R",'Mapa final'!$A$16),"")</f>
        <v/>
      </c>
      <c r="AG43" s="381"/>
      <c r="AH43" s="381" t="str">
        <f ca="1">IF(AND('Mapa final'!$Q$17="Muy Baja",'Mapa final'!$U$17="Mayor"),CONCATENATE("R",'Mapa final'!$A$17),"")</f>
        <v/>
      </c>
      <c r="AI43" s="382"/>
      <c r="AJ43" s="364" t="str">
        <f ca="1">IF(AND('Mapa final'!$Q$15="Muy Baja",'Mapa final'!$U$15="Catastrófico"),CONCATENATE("R",'Mapa final'!$A$15),"")</f>
        <v/>
      </c>
      <c r="AK43" s="370"/>
      <c r="AL43" s="370" t="str">
        <f>IF(AND('Mapa final'!$Q$16="Muy Baja",'Mapa final'!$U$16="Catastrófico"),CONCATENATE("R",'Mapa final'!$A$16),"")</f>
        <v/>
      </c>
      <c r="AM43" s="370"/>
      <c r="AN43" s="370" t="str">
        <f ca="1">IF(AND('Mapa final'!$Q$17="Muy Baja",'Mapa final'!$U$17="Catastrófico"),CONCATENATE("R",'Mapa final'!$A$17),"")</f>
        <v/>
      </c>
      <c r="AO43" s="366"/>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417"/>
      <c r="E44" s="417"/>
      <c r="F44" s="418"/>
      <c r="G44" s="388"/>
      <c r="H44" s="389"/>
      <c r="I44" s="389"/>
      <c r="J44" s="389"/>
      <c r="K44" s="395"/>
      <c r="L44" s="344"/>
      <c r="M44" s="345"/>
      <c r="N44" s="345"/>
      <c r="O44" s="345"/>
      <c r="P44" s="345"/>
      <c r="Q44" s="347"/>
      <c r="R44" s="344"/>
      <c r="S44" s="345"/>
      <c r="T44" s="346"/>
      <c r="U44" s="346"/>
      <c r="V44" s="346"/>
      <c r="W44" s="347"/>
      <c r="X44" s="354"/>
      <c r="Y44" s="355"/>
      <c r="Z44" s="355"/>
      <c r="AA44" s="355"/>
      <c r="AB44" s="355"/>
      <c r="AC44" s="356"/>
      <c r="AD44" s="374"/>
      <c r="AE44" s="375"/>
      <c r="AF44" s="375"/>
      <c r="AG44" s="375"/>
      <c r="AH44" s="375"/>
      <c r="AI44" s="376"/>
      <c r="AJ44" s="364"/>
      <c r="AK44" s="365"/>
      <c r="AL44" s="365"/>
      <c r="AM44" s="365"/>
      <c r="AN44" s="365"/>
      <c r="AO44" s="366"/>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417"/>
      <c r="E45" s="417"/>
      <c r="F45" s="418"/>
      <c r="G45" s="388"/>
      <c r="H45" s="389"/>
      <c r="I45" s="389"/>
      <c r="J45" s="389"/>
      <c r="K45" s="395"/>
      <c r="L45" s="344" t="str">
        <f ca="1">IF(AND('Mapa final'!$Q$18="Muy Baja",'Mapa final'!$U$18="Leve"),CONCATENATE("R",'Mapa final'!$A$18),"")</f>
        <v/>
      </c>
      <c r="M45" s="345"/>
      <c r="N45" s="345" t="str">
        <f>IF(AND('Mapa final'!$L$19="Muy Baja",'Mapa final'!$P$19="Leve"),CONCATENATE("R",'Mapa final'!$A$19),"")</f>
        <v/>
      </c>
      <c r="O45" s="345"/>
      <c r="P45" s="345" t="str">
        <f>IF(AND('Mapa final'!$L$20="Muy Baja",'Mapa final'!$P$20="Leve"),CONCATENATE("R",'Mapa final'!$A$20),"")</f>
        <v/>
      </c>
      <c r="Q45" s="347"/>
      <c r="R45" s="344" t="str">
        <f ca="1">IF(AND('Mapa final'!$Q$18="Muy Baja",'Mapa final'!$U$18="Menor"),CONCATENATE("R",'Mapa final'!$A$18),"")</f>
        <v/>
      </c>
      <c r="S45" s="345"/>
      <c r="T45" s="346" t="str">
        <f>IF(AND('Mapa final'!$Q$19="Muy Baja",'Mapa final'!$U$19="Menor"),CONCATENATE("R",'Mapa final'!$A$19),"")</f>
        <v/>
      </c>
      <c r="U45" s="346"/>
      <c r="V45" s="346" t="str">
        <f ca="1">IF(AND('Mapa final'!$Q$20="Muy Baja",'Mapa final'!$U$20="Menor"),CONCATENATE("R",'Mapa final'!$A$20),"")</f>
        <v/>
      </c>
      <c r="W45" s="347"/>
      <c r="X45" s="354" t="str">
        <f ca="1">IF(AND('Mapa final'!$Q$18="Muy Baja",'Mapa final'!$U$18="Moderado"),CONCATENATE("R",'Mapa final'!$A$18),"")</f>
        <v/>
      </c>
      <c r="Y45" s="355"/>
      <c r="Z45" s="355" t="str">
        <f>IF(AND('Mapa final'!$Q$19="Muy Baja",'Mapa final'!$U$19="Moderado"),CONCATENATE("R",'Mapa final'!$A$19),"")</f>
        <v/>
      </c>
      <c r="AA45" s="355"/>
      <c r="AB45" s="355" t="str">
        <f ca="1">IF(AND('Mapa final'!$Q$20="Muy Baja",'Mapa final'!$U$20="Moderado"),CONCATENATE("R",'Mapa final'!$A$20),"")</f>
        <v/>
      </c>
      <c r="AC45" s="356"/>
      <c r="AD45" s="374" t="str">
        <f ca="1">IF(AND('Mapa final'!$Q$18="Muy Baja",'Mapa final'!$U$18="Mayor"),CONCATENATE("R",'Mapa final'!$A$18),"")</f>
        <v/>
      </c>
      <c r="AE45" s="375"/>
      <c r="AF45" s="375" t="str">
        <f>IF(AND('Mapa final'!$Q$19="Muy Baja",'Mapa final'!$U$19="Mayor"),CONCATENATE("R",'Mapa final'!$A$19),"")</f>
        <v/>
      </c>
      <c r="AG45" s="375"/>
      <c r="AH45" s="375" t="str">
        <f ca="1">IF(AND('Mapa final'!$Q$20="Muy Baja",'Mapa final'!$U$20="Mayor"),CONCATENATE("R",'Mapa final'!$A$20),"")</f>
        <v/>
      </c>
      <c r="AI45" s="376"/>
      <c r="AJ45" s="364" t="str">
        <f ca="1">IF(AND('Mapa final'!$Q$18="Muy Baja",'Mapa final'!$U$18="Catastrófico"),CONCATENATE("R",'Mapa final'!$A$18),"")</f>
        <v/>
      </c>
      <c r="AK45" s="365"/>
      <c r="AL45" s="365" t="str">
        <f>IF(AND('Mapa final'!$Q$19="Muy Baja",'Mapa final'!$U$19="Catastrófico"),CONCATENATE("R",'Mapa final'!$A$19),"")</f>
        <v/>
      </c>
      <c r="AM45" s="365"/>
      <c r="AN45" s="365" t="str">
        <f>IF(AND('Mapa final'!$Q$20="Muy Baja",'Mapa final'!$L$20="Catastrófico"),CONCATENATE("R",'Mapa final'!$A$20),"")</f>
        <v/>
      </c>
      <c r="AO45" s="366"/>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417"/>
      <c r="E46" s="417"/>
      <c r="F46" s="418"/>
      <c r="G46" s="388"/>
      <c r="H46" s="389"/>
      <c r="I46" s="389"/>
      <c r="J46" s="389"/>
      <c r="K46" s="395"/>
      <c r="L46" s="344"/>
      <c r="M46" s="345"/>
      <c r="N46" s="345"/>
      <c r="O46" s="345"/>
      <c r="P46" s="345"/>
      <c r="Q46" s="347"/>
      <c r="R46" s="344"/>
      <c r="S46" s="345"/>
      <c r="T46" s="346"/>
      <c r="U46" s="346"/>
      <c r="V46" s="346"/>
      <c r="W46" s="347"/>
      <c r="X46" s="354"/>
      <c r="Y46" s="355"/>
      <c r="Z46" s="355"/>
      <c r="AA46" s="355"/>
      <c r="AB46" s="355"/>
      <c r="AC46" s="356"/>
      <c r="AD46" s="374"/>
      <c r="AE46" s="375"/>
      <c r="AF46" s="375"/>
      <c r="AG46" s="375"/>
      <c r="AH46" s="375"/>
      <c r="AI46" s="376"/>
      <c r="AJ46" s="364"/>
      <c r="AK46" s="365"/>
      <c r="AL46" s="365"/>
      <c r="AM46" s="365"/>
      <c r="AN46" s="365"/>
      <c r="AO46" s="366"/>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417"/>
      <c r="E47" s="417"/>
      <c r="F47" s="418"/>
      <c r="G47" s="388"/>
      <c r="H47" s="389"/>
      <c r="I47" s="389"/>
      <c r="J47" s="389"/>
      <c r="K47" s="395"/>
      <c r="L47" s="344" t="str">
        <f ca="1">IF(AND('Mapa final'!$Q$21="Muy Baja",'Mapa final'!$U$21="Leve"),CONCATENATE("R",'Mapa final'!$A$21),"")</f>
        <v/>
      </c>
      <c r="M47" s="345"/>
      <c r="N47" s="345" t="str">
        <f>IF(AND('Mapa final'!$L$22="Muy Baja",'Mapa final'!$P$22="Leve"),CONCATENATE("R",'Mapa final'!$A$22),"")</f>
        <v/>
      </c>
      <c r="O47" s="345"/>
      <c r="P47" s="345" t="str">
        <f>IF(AND('Mapa final'!$L$23="Muy Baja",'Mapa final'!$P$23="Leve"),CONCATENATE("R",'Mapa final'!$A$23),"")</f>
        <v/>
      </c>
      <c r="Q47" s="347"/>
      <c r="R47" s="344" t="str">
        <f ca="1">IF(AND('Mapa final'!$Q$21="Muy Baja",'Mapa final'!$U$21="Menor"),CONCATENATE("R",'Mapa final'!$A$21),"")</f>
        <v/>
      </c>
      <c r="S47" s="345"/>
      <c r="T47" s="346" t="str">
        <f ca="1">IF(AND('Mapa final'!$LR$22="Muy Baja",'Mapa final'!$U$22="Menor"),CONCATENATE("R",'Mapa final'!$A$22),"")</f>
        <v/>
      </c>
      <c r="U47" s="346"/>
      <c r="V47" s="346" t="str">
        <f>IF(AND('Mapa final'!$Q$23="Muy Baja",'Mapa final'!$U$23="Menor"),CONCATENATE("R",'Mapa final'!$A$23),"")</f>
        <v/>
      </c>
      <c r="W47" s="347"/>
      <c r="X47" s="354" t="str">
        <f ca="1">IF(AND('Mapa final'!$Q$21="Muy Baja",'Mapa final'!$U$21="Moderado"),CONCATENATE("R",'Mapa final'!$A$21),"")</f>
        <v/>
      </c>
      <c r="Y47" s="355"/>
      <c r="Z47" s="355" t="str">
        <f ca="1">IF(AND('Mapa final'!$Q$22="Muy Baja",'Mapa final'!$U$22="Moderado"),CONCATENATE("R",'Mapa final'!$A$22),"")</f>
        <v/>
      </c>
      <c r="AA47" s="355"/>
      <c r="AB47" s="355" t="str">
        <f>IF(AND('Mapa final'!$Q$23="Muy Baja",'Mapa final'!$U$23="Moderado"),CONCATENATE("R",'Mapa final'!$A$23),"")</f>
        <v/>
      </c>
      <c r="AC47" s="356"/>
      <c r="AD47" s="374" t="str">
        <f ca="1">IF(AND('Mapa final'!$Q$21="Muy Baja",'Mapa final'!$U$21="Mayor"),CONCATENATE("R",'Mapa final'!$A$21),"")</f>
        <v/>
      </c>
      <c r="AE47" s="375"/>
      <c r="AF47" s="375" t="str">
        <f ca="1">IF(AND('Mapa final'!$Q$22="Muy Baja",'Mapa final'!$U$22="Mayor"),CONCATENATE("R",'Mapa final'!$A$22),"")</f>
        <v/>
      </c>
      <c r="AG47" s="375"/>
      <c r="AH47" s="375" t="str">
        <f>IF(AND('Mapa final'!$Q$23="Muy Baja",'Mapa final'!$U$23="Mayor"),CONCATENATE("R",'Mapa final'!$A$23),"")</f>
        <v/>
      </c>
      <c r="AI47" s="376"/>
      <c r="AJ47" s="364" t="str">
        <f ca="1">IF(AND('Mapa final'!$Q$21="Muy Baja",'Mapa final'!$U$21="Catastrófico"),CONCATENATE("R",'Mapa final'!$A$21),"")</f>
        <v/>
      </c>
      <c r="AK47" s="365"/>
      <c r="AL47" s="365" t="str">
        <f ca="1">IF(AND('Mapa final'!$Q$22="Muy Baja",'Mapa final'!$U$22="Catastrófico"),CONCATENATE("R",'Mapa final'!$A$22),"")</f>
        <v/>
      </c>
      <c r="AM47" s="365"/>
      <c r="AN47" s="365" t="str">
        <f>IF(AND('Mapa final'!$Q$23="Muy Baja",'Mapa final'!$U$23="Catastrófico"),CONCATENATE("R",'Mapa final'!$A$23),"")</f>
        <v/>
      </c>
      <c r="AO47" s="366"/>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417"/>
      <c r="E48" s="417"/>
      <c r="F48" s="418"/>
      <c r="G48" s="388"/>
      <c r="H48" s="389"/>
      <c r="I48" s="389"/>
      <c r="J48" s="389"/>
      <c r="K48" s="395"/>
      <c r="L48" s="344"/>
      <c r="M48" s="345"/>
      <c r="N48" s="345"/>
      <c r="O48" s="345"/>
      <c r="P48" s="345"/>
      <c r="Q48" s="347"/>
      <c r="R48" s="344"/>
      <c r="S48" s="345"/>
      <c r="T48" s="346"/>
      <c r="U48" s="346"/>
      <c r="V48" s="346"/>
      <c r="W48" s="347"/>
      <c r="X48" s="354"/>
      <c r="Y48" s="355"/>
      <c r="Z48" s="355"/>
      <c r="AA48" s="355"/>
      <c r="AB48" s="355"/>
      <c r="AC48" s="356"/>
      <c r="AD48" s="374"/>
      <c r="AE48" s="375"/>
      <c r="AF48" s="375"/>
      <c r="AG48" s="375"/>
      <c r="AH48" s="375"/>
      <c r="AI48" s="376"/>
      <c r="AJ48" s="364"/>
      <c r="AK48" s="365"/>
      <c r="AL48" s="365"/>
      <c r="AM48" s="365"/>
      <c r="AN48" s="365"/>
      <c r="AO48" s="366"/>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417"/>
      <c r="E49" s="417"/>
      <c r="F49" s="418"/>
      <c r="G49" s="388"/>
      <c r="H49" s="389"/>
      <c r="I49" s="389"/>
      <c r="J49" s="389"/>
      <c r="K49" s="395"/>
      <c r="L49" s="344" t="str">
        <f>IF(AND('Mapa final'!$Q$24="Muy Baja",'Mapa final'!$U$24="Leve"),CONCATENATE("R",'Mapa final'!$A$24),"")</f>
        <v/>
      </c>
      <c r="M49" s="345"/>
      <c r="N49" s="345" t="str">
        <f>IF(AND('Mapa final'!$L$25="Muy Baja",'Mapa final'!$P$25="Leve"),CONCATENATE("R",'Mapa final'!$A$25),"")</f>
        <v/>
      </c>
      <c r="O49" s="345"/>
      <c r="P49" s="345" t="str">
        <f>IF(AND('Mapa final'!$L$26="Muy Baja",'Mapa final'!$P$26="Leve"),CONCATENATE("R",'Mapa final'!$A$26),"")</f>
        <v/>
      </c>
      <c r="Q49" s="347"/>
      <c r="R49" s="345" t="str">
        <f>IF(AND('Mapa final'!$Q$24="Muy Baja",'Mapa final'!$U$24="Menor"),CONCATENATE("R",'Mapa final'!$A$24),"")</f>
        <v/>
      </c>
      <c r="S49" s="346"/>
      <c r="T49" s="346" t="str">
        <f>IF(AND('Mapa final'!$Q$25="Muy Baja",'Mapa final'!$U$25="Menor"),CONCATENATE("R",'Mapa final'!$A$25),"")</f>
        <v/>
      </c>
      <c r="U49" s="346"/>
      <c r="V49" s="346" t="str">
        <f>IF(AND('Mapa final'!$Q$26="Muy Baja",'Mapa final'!$U$26="Menor"),CONCATENATE("R",'Mapa final'!$A$26),"")</f>
        <v/>
      </c>
      <c r="W49" s="347"/>
      <c r="X49" s="354" t="str">
        <f>IF(AND('Mapa final'!$Q$24="Muy Baja",'Mapa final'!$U$24="Moderado"),CONCATENATE("R",'Mapa final'!$A$24),"")</f>
        <v/>
      </c>
      <c r="Y49" s="355"/>
      <c r="Z49" s="355" t="str">
        <f>IF(AND('Mapa final'!$Q$25="Muy Baja",'Mapa final'!$U$25="Moderado"),CONCATENATE("R",'Mapa final'!$A$25),"")</f>
        <v/>
      </c>
      <c r="AA49" s="355"/>
      <c r="AB49" s="355" t="str">
        <f>IF(AND('Mapa final'!$Q$26="Muy Baja",'Mapa final'!$U$26="Moderado"),CONCATENATE("R",'Mapa final'!$A$26),"")</f>
        <v/>
      </c>
      <c r="AC49" s="356"/>
      <c r="AD49" s="374" t="str">
        <f>IF(AND('Mapa final'!$Q$24="Muy Baja",'Mapa final'!$U$24="Mayor"),CONCATENATE("R",'Mapa final'!$A$24),"")</f>
        <v/>
      </c>
      <c r="AE49" s="375"/>
      <c r="AF49" s="375" t="str">
        <f>IF(AND('Mapa final'!$Q$25="Muy Baja",'Mapa final'!$U$25="Mayor"),CONCATENATE("R",'Mapa final'!$A$25),"")</f>
        <v/>
      </c>
      <c r="AG49" s="375"/>
      <c r="AH49" s="375" t="str">
        <f>IF(AND('Mapa final'!$Q$26="Muy Baja",'Mapa final'!$U$26="Mayor"),CONCATENATE("R",'Mapa final'!$A$26),"")</f>
        <v/>
      </c>
      <c r="AI49" s="376"/>
      <c r="AJ49" s="364" t="str">
        <f>IF(AND('Mapa final'!$Q$24="Muy Baja",'Mapa final'!$U$24="Catastrófico"),CONCATENATE("R",'Mapa final'!$A$24),"")</f>
        <v/>
      </c>
      <c r="AK49" s="365"/>
      <c r="AL49" s="365" t="str">
        <f>IF(AND('Mapa final'!$Q$25="Muy Baja",'Mapa final'!$U$25="Catastrófico"),CONCATENATE("R",'Mapa final'!$A$25),"")</f>
        <v/>
      </c>
      <c r="AM49" s="365"/>
      <c r="AN49" s="365" t="str">
        <f>IF(AND('Mapa final'!$Q$26="Muy Baja",'Mapa final'!$U$26="Catastrófico"),CONCATENATE("R",'Mapa final'!$A$26),"")</f>
        <v/>
      </c>
      <c r="AO49" s="366"/>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417"/>
      <c r="E50" s="417"/>
      <c r="F50" s="418"/>
      <c r="G50" s="391"/>
      <c r="H50" s="392"/>
      <c r="I50" s="392"/>
      <c r="J50" s="392"/>
      <c r="K50" s="392"/>
      <c r="L50" s="353"/>
      <c r="M50" s="348"/>
      <c r="N50" s="348"/>
      <c r="O50" s="348"/>
      <c r="P50" s="348"/>
      <c r="Q50" s="349"/>
      <c r="R50" s="348"/>
      <c r="S50" s="348"/>
      <c r="T50" s="348"/>
      <c r="U50" s="348"/>
      <c r="V50" s="348"/>
      <c r="W50" s="349"/>
      <c r="X50" s="357"/>
      <c r="Y50" s="358"/>
      <c r="Z50" s="358"/>
      <c r="AA50" s="358"/>
      <c r="AB50" s="358"/>
      <c r="AC50" s="359"/>
      <c r="AD50" s="377"/>
      <c r="AE50" s="378"/>
      <c r="AF50" s="378"/>
      <c r="AG50" s="378"/>
      <c r="AH50" s="378"/>
      <c r="AI50" s="379"/>
      <c r="AJ50" s="367"/>
      <c r="AK50" s="368"/>
      <c r="AL50" s="368"/>
      <c r="AM50" s="368"/>
      <c r="AN50" s="368"/>
      <c r="AO50" s="3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394" t="s">
        <v>111</v>
      </c>
      <c r="M51" s="395"/>
      <c r="N51" s="395"/>
      <c r="O51" s="395"/>
      <c r="P51" s="395"/>
      <c r="Q51" s="390"/>
      <c r="R51" s="384" t="s">
        <v>110</v>
      </c>
      <c r="S51" s="386"/>
      <c r="T51" s="386"/>
      <c r="U51" s="386"/>
      <c r="V51" s="386"/>
      <c r="W51" s="387"/>
      <c r="X51" s="384" t="s">
        <v>109</v>
      </c>
      <c r="Y51" s="386"/>
      <c r="Z51" s="386"/>
      <c r="AA51" s="386"/>
      <c r="AB51" s="386"/>
      <c r="AC51" s="387"/>
      <c r="AD51" s="384" t="s">
        <v>108</v>
      </c>
      <c r="AE51" s="385"/>
      <c r="AF51" s="386"/>
      <c r="AG51" s="386"/>
      <c r="AH51" s="386"/>
      <c r="AI51" s="387"/>
      <c r="AJ51" s="384" t="s">
        <v>107</v>
      </c>
      <c r="AK51" s="386"/>
      <c r="AL51" s="386"/>
      <c r="AM51" s="386"/>
      <c r="AN51" s="386"/>
      <c r="AO51" s="387"/>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388"/>
      <c r="M52" s="389"/>
      <c r="N52" s="389"/>
      <c r="O52" s="389"/>
      <c r="P52" s="389"/>
      <c r="Q52" s="390"/>
      <c r="R52" s="388"/>
      <c r="S52" s="389"/>
      <c r="T52" s="389"/>
      <c r="U52" s="389"/>
      <c r="V52" s="389"/>
      <c r="W52" s="390"/>
      <c r="X52" s="388"/>
      <c r="Y52" s="389"/>
      <c r="Z52" s="389"/>
      <c r="AA52" s="389"/>
      <c r="AB52" s="389"/>
      <c r="AC52" s="390"/>
      <c r="AD52" s="388"/>
      <c r="AE52" s="389"/>
      <c r="AF52" s="389"/>
      <c r="AG52" s="389"/>
      <c r="AH52" s="389"/>
      <c r="AI52" s="390"/>
      <c r="AJ52" s="388"/>
      <c r="AK52" s="389"/>
      <c r="AL52" s="389"/>
      <c r="AM52" s="389"/>
      <c r="AN52" s="389"/>
      <c r="AO52" s="390"/>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388"/>
      <c r="M53" s="389"/>
      <c r="N53" s="389"/>
      <c r="O53" s="389"/>
      <c r="P53" s="389"/>
      <c r="Q53" s="390"/>
      <c r="R53" s="388"/>
      <c r="S53" s="389"/>
      <c r="T53" s="389"/>
      <c r="U53" s="389"/>
      <c r="V53" s="389"/>
      <c r="W53" s="390"/>
      <c r="X53" s="388"/>
      <c r="Y53" s="389"/>
      <c r="Z53" s="389"/>
      <c r="AA53" s="389"/>
      <c r="AB53" s="389"/>
      <c r="AC53" s="390"/>
      <c r="AD53" s="388"/>
      <c r="AE53" s="389"/>
      <c r="AF53" s="389"/>
      <c r="AG53" s="389"/>
      <c r="AH53" s="389"/>
      <c r="AI53" s="390"/>
      <c r="AJ53" s="388"/>
      <c r="AK53" s="389"/>
      <c r="AL53" s="389"/>
      <c r="AM53" s="389"/>
      <c r="AN53" s="389"/>
      <c r="AO53" s="390"/>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388"/>
      <c r="M54" s="389"/>
      <c r="N54" s="389"/>
      <c r="O54" s="389"/>
      <c r="P54" s="389"/>
      <c r="Q54" s="390"/>
      <c r="R54" s="388"/>
      <c r="S54" s="389"/>
      <c r="T54" s="389"/>
      <c r="U54" s="389"/>
      <c r="V54" s="389"/>
      <c r="W54" s="390"/>
      <c r="X54" s="388"/>
      <c r="Y54" s="389"/>
      <c r="Z54" s="389"/>
      <c r="AA54" s="389"/>
      <c r="AB54" s="389"/>
      <c r="AC54" s="390"/>
      <c r="AD54" s="388"/>
      <c r="AE54" s="389"/>
      <c r="AF54" s="389"/>
      <c r="AG54" s="389"/>
      <c r="AH54" s="389"/>
      <c r="AI54" s="390"/>
      <c r="AJ54" s="388"/>
      <c r="AK54" s="389"/>
      <c r="AL54" s="389"/>
      <c r="AM54" s="389"/>
      <c r="AN54" s="389"/>
      <c r="AO54" s="390"/>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388"/>
      <c r="M55" s="389"/>
      <c r="N55" s="389"/>
      <c r="O55" s="389"/>
      <c r="P55" s="389"/>
      <c r="Q55" s="390"/>
      <c r="R55" s="388"/>
      <c r="S55" s="389"/>
      <c r="T55" s="389"/>
      <c r="U55" s="389"/>
      <c r="V55" s="389"/>
      <c r="W55" s="390"/>
      <c r="X55" s="388"/>
      <c r="Y55" s="389"/>
      <c r="Z55" s="389"/>
      <c r="AA55" s="389"/>
      <c r="AB55" s="389"/>
      <c r="AC55" s="390"/>
      <c r="AD55" s="388"/>
      <c r="AE55" s="389"/>
      <c r="AF55" s="389"/>
      <c r="AG55" s="389"/>
      <c r="AH55" s="389"/>
      <c r="AI55" s="390"/>
      <c r="AJ55" s="388"/>
      <c r="AK55" s="389"/>
      <c r="AL55" s="389"/>
      <c r="AM55" s="389"/>
      <c r="AN55" s="389"/>
      <c r="AO55" s="390"/>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391"/>
      <c r="M56" s="392"/>
      <c r="N56" s="392"/>
      <c r="O56" s="392"/>
      <c r="P56" s="392"/>
      <c r="Q56" s="393"/>
      <c r="R56" s="391"/>
      <c r="S56" s="392"/>
      <c r="T56" s="392"/>
      <c r="U56" s="392"/>
      <c r="V56" s="392"/>
      <c r="W56" s="393"/>
      <c r="X56" s="391"/>
      <c r="Y56" s="392"/>
      <c r="Z56" s="392"/>
      <c r="AA56" s="392"/>
      <c r="AB56" s="392"/>
      <c r="AC56" s="393"/>
      <c r="AD56" s="391"/>
      <c r="AE56" s="392"/>
      <c r="AF56" s="392"/>
      <c r="AG56" s="392"/>
      <c r="AH56" s="392"/>
      <c r="AI56" s="393"/>
      <c r="AJ56" s="391"/>
      <c r="AK56" s="392"/>
      <c r="AL56" s="392"/>
      <c r="AM56" s="392"/>
      <c r="AN56" s="392"/>
      <c r="AO56" s="393"/>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activeCell="AZ25" sqref="AZ25"/>
    </sheetView>
  </sheetViews>
  <sheetFormatPr baseColWidth="10" defaultRowHeight="15" x14ac:dyDescent="0.25"/>
  <cols>
    <col min="3" max="11" width="5.7109375" customWidth="1"/>
    <col min="12" max="12" width="12" customWidth="1"/>
    <col min="13" max="13" width="10.7109375" customWidth="1"/>
    <col min="14" max="16" width="5.7109375" customWidth="1"/>
    <col min="17" max="17" width="8.28515625" customWidth="1"/>
    <col min="18" max="18" width="5.7109375" customWidth="1"/>
    <col min="19" max="19" width="10.42578125" customWidth="1"/>
    <col min="20" max="20" width="6.42578125" customWidth="1"/>
    <col min="21" max="24" width="5.7109375" customWidth="1"/>
    <col min="25" max="25" width="8.42578125" customWidth="1"/>
    <col min="26" max="27" width="5.7109375" customWidth="1"/>
    <col min="28" max="29" width="10.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408" t="s">
        <v>251</v>
      </c>
      <c r="D2" s="409"/>
      <c r="E2" s="409"/>
      <c r="F2" s="409"/>
      <c r="G2" s="409"/>
      <c r="H2" s="409"/>
      <c r="I2" s="409"/>
      <c r="J2" s="410"/>
      <c r="K2" s="399" t="s">
        <v>205</v>
      </c>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1"/>
      <c r="AO2" s="262" t="s">
        <v>377</v>
      </c>
      <c r="AP2" s="396"/>
      <c r="AQ2" s="396"/>
      <c r="AR2" s="396"/>
      <c r="AS2" s="396"/>
      <c r="AT2" s="396"/>
      <c r="AU2" s="251"/>
    </row>
    <row r="3" spans="1:92" x14ac:dyDescent="0.25">
      <c r="C3" s="411"/>
      <c r="D3" s="412"/>
      <c r="E3" s="412"/>
      <c r="F3" s="412"/>
      <c r="G3" s="412"/>
      <c r="H3" s="412"/>
      <c r="I3" s="412"/>
      <c r="J3" s="413"/>
      <c r="K3" s="402"/>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4"/>
      <c r="AO3" s="263" t="s">
        <v>264</v>
      </c>
      <c r="AP3" s="397"/>
      <c r="AQ3" s="397"/>
      <c r="AR3" s="397"/>
      <c r="AS3" s="397"/>
      <c r="AT3" s="397"/>
      <c r="AU3" s="253"/>
    </row>
    <row r="4" spans="1:92" x14ac:dyDescent="0.25">
      <c r="C4" s="411"/>
      <c r="D4" s="412"/>
      <c r="E4" s="412"/>
      <c r="F4" s="412"/>
      <c r="G4" s="412"/>
      <c r="H4" s="412"/>
      <c r="I4" s="412"/>
      <c r="J4" s="413"/>
      <c r="K4" s="402"/>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4"/>
      <c r="AO4" s="263" t="s">
        <v>389</v>
      </c>
      <c r="AP4" s="397" t="s">
        <v>263</v>
      </c>
      <c r="AQ4" s="397"/>
      <c r="AR4" s="397"/>
      <c r="AS4" s="397"/>
      <c r="AT4" s="397"/>
      <c r="AU4" s="253"/>
    </row>
    <row r="5" spans="1:92" ht="15.75" thickBot="1" x14ac:dyDescent="0.3">
      <c r="C5" s="414"/>
      <c r="D5" s="415"/>
      <c r="E5" s="415"/>
      <c r="F5" s="415"/>
      <c r="G5" s="415"/>
      <c r="H5" s="415"/>
      <c r="I5" s="415"/>
      <c r="J5" s="416"/>
      <c r="K5" s="405"/>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7"/>
      <c r="AO5" s="264" t="s">
        <v>245</v>
      </c>
      <c r="AP5" s="398" t="s">
        <v>245</v>
      </c>
      <c r="AQ5" s="398"/>
      <c r="AR5" s="398"/>
      <c r="AS5" s="398"/>
      <c r="AT5" s="398"/>
      <c r="AU5" s="255"/>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56" t="s">
        <v>266</v>
      </c>
      <c r="B8" s="456"/>
      <c r="C8" s="486" t="s">
        <v>156</v>
      </c>
      <c r="D8" s="487"/>
      <c r="E8" s="487"/>
      <c r="F8" s="487"/>
      <c r="G8" s="487"/>
      <c r="H8" s="487"/>
      <c r="I8" s="487"/>
      <c r="J8" s="487"/>
      <c r="K8" s="488" t="s">
        <v>2</v>
      </c>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7"/>
      <c r="D9" s="487"/>
      <c r="E9" s="487"/>
      <c r="F9" s="487"/>
      <c r="G9" s="487"/>
      <c r="H9" s="487"/>
      <c r="I9" s="487"/>
      <c r="J9" s="487"/>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7"/>
      <c r="D10" s="487"/>
      <c r="E10" s="487"/>
      <c r="F10" s="487"/>
      <c r="G10" s="487"/>
      <c r="H10" s="487"/>
      <c r="I10" s="487"/>
      <c r="J10" s="487"/>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417" t="s">
        <v>4</v>
      </c>
      <c r="D12" s="417"/>
      <c r="E12" s="418"/>
      <c r="F12" s="457" t="s">
        <v>115</v>
      </c>
      <c r="G12" s="458"/>
      <c r="H12" s="458"/>
      <c r="I12" s="458"/>
      <c r="J12" s="458"/>
      <c r="K12" s="32" t="str">
        <f ca="1">IF(AND('Mapa final'!$AJ$15="Muy Alta",'Mapa final'!$AL$15="Leve"),CONCATENATE("R2C",'Mapa final'!$S$15),"")</f>
        <v/>
      </c>
      <c r="L12" s="33" t="str">
        <f>IF(AND('Mapa final'!$AJ$16="Muy Alta",'Mapa final'!$AL$16="Leve"),CONCATENATE("R2C",'Mapa final'!$S$16),"")</f>
        <v/>
      </c>
      <c r="M12" s="33" t="str">
        <f ca="1">IF(AND('Mapa final'!$AJ$17="Muy Alta",'Mapa final'!$AL$17="Leve"),CONCATENATE("R2C",'Mapa final'!$S$17),"")</f>
        <v/>
      </c>
      <c r="N12" s="33" t="str">
        <f ca="1">IF(AND('Mapa final'!$AJ$18="Muy Alta",'Mapa final'!$AL$18="Leve"),CONCATENATE("R2C",'Mapa final'!$S$18),"")</f>
        <v/>
      </c>
      <c r="O12" s="33" t="str">
        <f>IF(AND('Mapa final'!$AJ$19="Muy Alta",'Mapa final'!$AL$19="Leve"),CONCATENATE("R2C",'Mapa final'!$S$19),"")</f>
        <v/>
      </c>
      <c r="P12" s="34" t="str">
        <f>IF(AND('Mapa final'!$AJ$20="Muy Alta",'Mapa final'!$AL$20="Leve"),CONCATENATE("R2C",'Mapa final'!$S$20),"")</f>
        <v/>
      </c>
      <c r="Q12" s="33" t="str">
        <f ca="1">IF(AND('Mapa final'!$AJ$15="Muy Alta",'Mapa final'!$AL$15="Menor"),CONCATENATE("R2C",'Mapa final'!$S$15),"")</f>
        <v/>
      </c>
      <c r="R12" s="33" t="str">
        <f>IF(AND('Mapa final'!$AJ$16="Muy Alta",'Mapa final'!$AL$16="Menore"),CONCATENATE("R2C",'Mapa final'!$S$16),"")</f>
        <v/>
      </c>
      <c r="S12" s="33" t="str">
        <f ca="1">IF(AND('Mapa final'!$AJ$17="Muy Alta",'Mapa final'!$AL$17="Menor"),CONCATENATE("R2C",'Mapa final'!$S$17),"")</f>
        <v/>
      </c>
      <c r="T12" s="33" t="str">
        <f ca="1">IF(AND('Mapa final'!$AJ$18="Muy Alta",'Mapa final'!$AL$18="Menor"),CONCATENATE("R2C",'Mapa final'!$S$18),"")</f>
        <v/>
      </c>
      <c r="U12" s="33" t="str">
        <f>IF(AND('Mapa final'!$AJ$19="Muy Alta",'Mapa final'!$AL$19="Menor"),CONCATENATE("R2C",'Mapa final'!$S$19),"")</f>
        <v/>
      </c>
      <c r="V12" s="34" t="str">
        <f>IF(AND('Mapa final'!$AJ$20="Muy Alta",'Mapa final'!$AL$20="Menor"),CONCATENATE("R2C",'Mapa final'!$S$20),"")</f>
        <v/>
      </c>
      <c r="W12" s="32" t="str">
        <f ca="1">IF(AND('Mapa final'!$AJ$15="Muy Alta",'Mapa final'!$AL$15="Moderado"),CONCATENATE("R2C",'Mapa final'!$S$15),"")</f>
        <v/>
      </c>
      <c r="X12" s="33" t="str">
        <f>IF(AND('Mapa final'!$AJ$16="Muy Alta",'Mapa final'!$AL$16="Moderado"),CONCATENATE("R2C",'Mapa final'!$S$16),"")</f>
        <v/>
      </c>
      <c r="Y12" s="33"/>
      <c r="Z12" s="33" t="str">
        <f ca="1">IF(AND('Mapa final'!$AJ$18="Muy Alta",'Mapa final'!$AL$18="Moderado"),CONCATENATE("R2C",'Mapa final'!$S$18),"")</f>
        <v/>
      </c>
      <c r="AA12" s="33" t="str">
        <f>IF(AND('Mapa final'!$AJ$19="Muy Alta",'Mapa final'!$AL$19="Moderado"),CONCATENATE("R2C",'Mapa final'!$S$19),"")</f>
        <v/>
      </c>
      <c r="AB12" s="34" t="str">
        <f>IF(AND('Mapa final'!$AJ$20="Muy Alta",'Mapa final'!$AL$20="Moderado"),CONCATENATE("R2C",'Mapa final'!$S$20),"")</f>
        <v/>
      </c>
      <c r="AC12" s="32" t="str">
        <f ca="1">IF(AND('Mapa final'!$AJ$15="Muy Alta",'Mapa final'!$AL$15="Mayor"),CONCATENATE("R2C",'Mapa final'!$S$15),"")</f>
        <v/>
      </c>
      <c r="AD12" s="33" t="str">
        <f>IF(AND('Mapa final'!$AJ$16="Muy Alta",'Mapa final'!$AL$16="Mayor"),CONCATENATE("R2C",'Mapa final'!$S$16),"")</f>
        <v/>
      </c>
      <c r="AE12" s="33" t="str">
        <f ca="1">IF(AND('Mapa final'!$AJ$17="Muy Alta",'Mapa final'!$AL$17="Mayor"),CONCATENATE("R2C",'Mapa final'!$S$17),"")</f>
        <v/>
      </c>
      <c r="AF12" s="33" t="str">
        <f ca="1">IF(AND('Mapa final'!$AJ$18="Muy Alta",'Mapa final'!$AL$18="Mayor"),CONCATENATE("R2C",'Mapa final'!$S$18),"")</f>
        <v/>
      </c>
      <c r="AG12" s="33" t="str">
        <f>IF(AND('Mapa final'!$AJ$19="Muy Alta",'Mapa final'!$AL$19="Mayor"),CONCATENATE("R2C",'Mapa final'!$S$19),"")</f>
        <v/>
      </c>
      <c r="AH12" s="34" t="str">
        <f>IF(AND('Mapa final'!$AJ$20="Muy Alta",'Mapa final'!$AL$20="Mayor"),CONCATENATE("R2C",'Mapa final'!$S$20),"")</f>
        <v/>
      </c>
      <c r="AI12" s="35" t="str">
        <f ca="1">IF(AND('Mapa final'!$AJ$15="Muy Alta",'Mapa final'!$AL$15="Catastrófico"),CONCATENATE("R2C",'Mapa final'!$S$15),"")</f>
        <v/>
      </c>
      <c r="AJ12" s="36" t="str">
        <f>IF(AND('Mapa final'!$AJ$16="Muy Alta",'Mapa final'!$AL$16="Catastrófico"),CONCATENATE("R2C",'Mapa final'!$S$16),"")</f>
        <v/>
      </c>
      <c r="AK12" s="36" t="str">
        <f ca="1">IF(AND('Mapa final'!$AJ$17="Muy Alta",'Mapa final'!$AL$17="Catastrófico"),CONCATENATE("R2C",'Mapa final'!$S$17),"")</f>
        <v/>
      </c>
      <c r="AL12" s="36" t="str">
        <f ca="1">IF(AND('Mapa final'!$AJ$18="Muy Alta",'Mapa final'!$AL$18="Catastrófico"),CONCATENATE("R2C",'Mapa final'!$S$18),"")</f>
        <v/>
      </c>
      <c r="AM12" s="36" t="str">
        <f>IF(AND('Mapa final'!$AJ$19="Muy Alta",'Mapa final'!$AL$19="Catastrófico"),CONCATENATE("R2C",'Mapa final'!$S$19),"")</f>
        <v/>
      </c>
      <c r="AN12" s="37" t="str">
        <f>IF(AND('Mapa final'!$AJ$20="Muy Alta",'Mapa final'!$AL$20="Catastrófico"),CONCATENATE("R2C",'Mapa final'!$S$20),"")</f>
        <v/>
      </c>
      <c r="AO12" s="69"/>
      <c r="AP12" s="477" t="s">
        <v>78</v>
      </c>
      <c r="AQ12" s="478"/>
      <c r="AR12" s="478"/>
      <c r="AS12" s="478"/>
      <c r="AT12" s="478"/>
      <c r="AU12" s="47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417"/>
      <c r="D13" s="417"/>
      <c r="E13" s="418"/>
      <c r="F13" s="460"/>
      <c r="G13" s="461"/>
      <c r="H13" s="461"/>
      <c r="I13" s="461"/>
      <c r="J13" s="489"/>
      <c r="K13" s="38" t="str">
        <f>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80"/>
      <c r="AQ13" s="481"/>
      <c r="AR13" s="481"/>
      <c r="AS13" s="481"/>
      <c r="AT13" s="481"/>
      <c r="AU13" s="482"/>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417"/>
      <c r="D14" s="417"/>
      <c r="E14" s="418"/>
      <c r="F14" s="460"/>
      <c r="G14" s="461"/>
      <c r="H14" s="461"/>
      <c r="I14" s="461"/>
      <c r="J14" s="489"/>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80"/>
      <c r="AQ14" s="481"/>
      <c r="AR14" s="481"/>
      <c r="AS14" s="481"/>
      <c r="AT14" s="481"/>
      <c r="AU14" s="482"/>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417"/>
      <c r="D15" s="417"/>
      <c r="E15" s="418"/>
      <c r="F15" s="460"/>
      <c r="G15" s="461"/>
      <c r="H15" s="461"/>
      <c r="I15" s="461"/>
      <c r="J15" s="489"/>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80"/>
      <c r="AQ15" s="481"/>
      <c r="AR15" s="481"/>
      <c r="AS15" s="481"/>
      <c r="AT15" s="481"/>
      <c r="AU15" s="482"/>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417"/>
      <c r="D16" s="417"/>
      <c r="E16" s="418"/>
      <c r="F16" s="460"/>
      <c r="G16" s="461"/>
      <c r="H16" s="461"/>
      <c r="I16" s="461"/>
      <c r="J16" s="489"/>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80"/>
      <c r="AQ16" s="481"/>
      <c r="AR16" s="481"/>
      <c r="AS16" s="481"/>
      <c r="AT16" s="481"/>
      <c r="AU16" s="482"/>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417"/>
      <c r="D17" s="417"/>
      <c r="E17" s="418"/>
      <c r="F17" s="460"/>
      <c r="G17" s="461"/>
      <c r="H17" s="461"/>
      <c r="I17" s="461"/>
      <c r="J17" s="489"/>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80"/>
      <c r="AQ17" s="481"/>
      <c r="AR17" s="481"/>
      <c r="AS17" s="481"/>
      <c r="AT17" s="481"/>
      <c r="AU17" s="482"/>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417"/>
      <c r="D18" s="417"/>
      <c r="E18" s="418"/>
      <c r="F18" s="460"/>
      <c r="G18" s="461"/>
      <c r="H18" s="461"/>
      <c r="I18" s="461"/>
      <c r="J18" s="489"/>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80"/>
      <c r="AQ18" s="481"/>
      <c r="AR18" s="481"/>
      <c r="AS18" s="481"/>
      <c r="AT18" s="481"/>
      <c r="AU18" s="482"/>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417"/>
      <c r="D19" s="417"/>
      <c r="E19" s="418"/>
      <c r="F19" s="460"/>
      <c r="G19" s="461"/>
      <c r="H19" s="461"/>
      <c r="I19" s="461"/>
      <c r="J19" s="489"/>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80"/>
      <c r="AQ19" s="481"/>
      <c r="AR19" s="481"/>
      <c r="AS19" s="481"/>
      <c r="AT19" s="481"/>
      <c r="AU19" s="482"/>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417"/>
      <c r="D20" s="417"/>
      <c r="E20" s="418"/>
      <c r="F20" s="460"/>
      <c r="G20" s="461"/>
      <c r="H20" s="461"/>
      <c r="I20" s="461"/>
      <c r="J20" s="489"/>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80"/>
      <c r="AQ20" s="481"/>
      <c r="AR20" s="481"/>
      <c r="AS20" s="481"/>
      <c r="AT20" s="481"/>
      <c r="AU20" s="482"/>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417"/>
      <c r="D21" s="417"/>
      <c r="E21" s="418"/>
      <c r="F21" s="463"/>
      <c r="G21" s="464"/>
      <c r="H21" s="464"/>
      <c r="I21" s="464"/>
      <c r="J21" s="464"/>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83"/>
      <c r="AQ21" s="484"/>
      <c r="AR21" s="484"/>
      <c r="AS21" s="484"/>
      <c r="AT21" s="484"/>
      <c r="AU21" s="485"/>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417"/>
      <c r="D22" s="417"/>
      <c r="E22" s="418"/>
      <c r="F22" s="457" t="s">
        <v>114</v>
      </c>
      <c r="G22" s="458"/>
      <c r="H22" s="458"/>
      <c r="I22" s="458"/>
      <c r="J22" s="458"/>
      <c r="K22" s="53" t="str">
        <f ca="1">IF(AND('Mapa final'!$AJ$15="Alta",'Mapa final'!$AL$15="Leve"),CONCATENATE("R2C",'Mapa final'!$S$15),"")</f>
        <v/>
      </c>
      <c r="L22" s="179" t="str">
        <f>IF(AND('Mapa final'!$AJ$16="Alta",'Mapa final'!$AL$16="Leve"),CONCATENATE("R2C",'Mapa final'!$S$16),"")</f>
        <v/>
      </c>
      <c r="M22" s="179" t="str">
        <f ca="1">IF(AND('Mapa final'!$AJ$17="Alta",'Mapa final'!$AL$17="Leve"),CONCATENATE("R2C",'Mapa final'!$S$17),"")</f>
        <v/>
      </c>
      <c r="N22" s="179" t="str">
        <f ca="1">IF(AND('Mapa final'!$AJ$18="Alta",'Mapa final'!$AL$18="Leve"),CONCATENATE("R2C",'Mapa final'!$S$18),"")</f>
        <v/>
      </c>
      <c r="O22" s="179" t="str">
        <f>IF(AND('Mapa final'!$AJ$19="Alta",'Mapa final'!$AL$19="Leve"),CONCATENATE("R2C",'Mapa final'!$S$19),"")</f>
        <v/>
      </c>
      <c r="P22" s="55" t="str">
        <f>IF(AND('Mapa final'!$AJ$20="Alta",'Mapa final'!$AL$20="Leve"),CONCATENATE("R2C",'Mapa final'!$S$20),"")</f>
        <v/>
      </c>
      <c r="Q22" s="50" t="str">
        <f ca="1">IF(AND('Mapa final'!$AJ$15="Alta",'Mapa final'!$AL$15="Menor"),CONCATENATE("R2C",'Mapa final'!$S$15),"")</f>
        <v/>
      </c>
      <c r="R22" s="51" t="str">
        <f>IF(AND('Mapa final'!$AJ$16="Alta",'Mapa final'!$AL$16="Menore"),CONCATENATE("R2C",'Mapa final'!$S$16),"")</f>
        <v/>
      </c>
      <c r="S22" s="51" t="str">
        <f ca="1">IF(AND('Mapa final'!$AJ$17="Alta",'Mapa final'!$AL$17="Menor"),CONCATENATE("R2C",'Mapa final'!$S$17),"")</f>
        <v/>
      </c>
      <c r="T22" s="51" t="str">
        <f ca="1">IF(AND('Mapa final'!$AJ$18="Alta",'Mapa final'!$AL$18="Menor"),CONCATENATE("R2C",'Mapa final'!$S$18),"")</f>
        <v/>
      </c>
      <c r="U22" s="51" t="str">
        <f>IF(AND('Mapa final'!$AJ$19="Alta",'Mapa final'!$AL$19="Menor"),CONCATENATE("R2C",'Mapa final'!$S$19),"")</f>
        <v/>
      </c>
      <c r="V22" s="52" t="str">
        <f>IF(AND('Mapa final'!$AJ$20="Alta",'Mapa final'!$AL$20="Menor"),CONCATENATE("R2C",'Mapa final'!$S$20),"")</f>
        <v/>
      </c>
      <c r="W22" s="32" t="str">
        <f ca="1">IF(AND('Mapa final'!$AJ$15="Alta",'Mapa final'!$AL$15="Moderado"),CONCATENATE("R2C",'Mapa final'!$S$15),"")</f>
        <v/>
      </c>
      <c r="X22" s="33" t="str">
        <f>IF(AND('Mapa final'!$AJ$16="Alta",'Mapa final'!$AL$16="Moderado"),CONCATENATE("R2C",'Mapa final'!$S$16),"")</f>
        <v/>
      </c>
      <c r="Y22" s="33"/>
      <c r="Z22" s="33" t="str">
        <f ca="1">IF(AND('Mapa final'!$AJ$18="Alta",'Mapa final'!$AL$18="Moderado"),CONCATENATE("R2C",'Mapa final'!$S$18),"")</f>
        <v/>
      </c>
      <c r="AA22" s="33" t="str">
        <f>IF(AND('Mapa final'!$AJ$19="Alta",'Mapa final'!$AL$19="Moderado"),CONCATENATE("R2C",'Mapa final'!$S$19),"")</f>
        <v/>
      </c>
      <c r="AB22" s="34" t="str">
        <f>IF(AND('Mapa final'!$AJ$20="Alta",'Mapa final'!$AL$20="Moderado"),CONCATENATE("R2C",'Mapa final'!$S$20),"")</f>
        <v/>
      </c>
      <c r="AC22" s="32" t="str">
        <f ca="1">IF(AND('Mapa final'!$AJ$15="Alta",'Mapa final'!$AL$15="Mayor"),CONCATENATE("R2C",'Mapa final'!$S$15),"")</f>
        <v/>
      </c>
      <c r="AD22" s="33" t="str">
        <f>IF(AND('Mapa final'!$AJ$16="Alta",'Mapa final'!$AL$16="Mayor"),CONCATENATE("R2C",'Mapa final'!$S$16),"")</f>
        <v/>
      </c>
      <c r="AE22" s="33" t="str">
        <f ca="1">IF(AND('Mapa final'!$AJ$17="Alta",'Mapa final'!$AL$17="Mayor"),CONCATENATE("R2C",'Mapa final'!$D$17),"")</f>
        <v/>
      </c>
      <c r="AF22" s="33" t="str">
        <f ca="1">IF(AND('Mapa final'!$AJ$18="Alta",'Mapa final'!$AL$18="Mayor"),CONCATENATE("R2C",'Mapa final'!$S$18),"")</f>
        <v/>
      </c>
      <c r="AG22" s="33" t="str">
        <f>IF(AND('Mapa final'!$AJ$19="Alta",'Mapa final'!$AL$19="Mayor"),CONCATENATE("R2C",'Mapa final'!$S$19),"")</f>
        <v/>
      </c>
      <c r="AH22" s="34" t="str">
        <f>IF(AND('Mapa final'!$AJ$20="Alta",'Mapa final'!$AL$20="Mayor"),CONCATENATE("R2C",'Mapa final'!$S$20),"")</f>
        <v/>
      </c>
      <c r="AI22" s="35" t="str">
        <f ca="1">IF(AND('Mapa final'!$AJ$15="Alta",'Mapa final'!$AL$15="Catastrófico"),CONCATENATE("R2C",'Mapa final'!$S$15),"")</f>
        <v/>
      </c>
      <c r="AJ22" s="36" t="str">
        <f>IF(AND('Mapa final'!$AJ$16="Alta",'Mapa final'!$AL$16="Catastrófico"),CONCATENATE("R2C",'Mapa final'!$S$16),"")</f>
        <v/>
      </c>
      <c r="AK22" s="36" t="str">
        <f ca="1">IF(AND('Mapa final'!$AJ$17="Alta",'Mapa final'!$AL$17="Catastrófico"),CONCATENATE("R2C",'Mapa final'!$S$17),"")</f>
        <v/>
      </c>
      <c r="AL22" s="36" t="str">
        <f ca="1">IF(AND('Mapa final'!$AJ$18="Alta",'Mapa final'!$AL$18="Catastrófico"),CONCATENATE("R2C",'Mapa final'!$S$18),"")</f>
        <v/>
      </c>
      <c r="AM22" s="36" t="str">
        <f>IF(AND('Mapa final'!$AJ$19="Alta",'Mapa final'!$AL$19="Catastrófico"),CONCATENATE("R2C",'Mapa final'!$S$19),"")</f>
        <v/>
      </c>
      <c r="AN22" s="37" t="str">
        <f>IF(AND('Mapa final'!$AJ$20="Alta",'Mapa final'!$AL$20="Catastrófico"),CONCATENATE("R2C",'Mapa final'!$S$20),"")</f>
        <v/>
      </c>
      <c r="AO22" s="69"/>
      <c r="AP22" s="467" t="s">
        <v>79</v>
      </c>
      <c r="AQ22" s="468"/>
      <c r="AR22" s="468"/>
      <c r="AS22" s="468"/>
      <c r="AT22" s="468"/>
      <c r="AU22" s="4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417"/>
      <c r="D23" s="417"/>
      <c r="E23" s="418"/>
      <c r="F23" s="476"/>
      <c r="G23" s="461"/>
      <c r="H23" s="461"/>
      <c r="I23" s="461"/>
      <c r="J23" s="461"/>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70"/>
      <c r="AQ23" s="471"/>
      <c r="AR23" s="471"/>
      <c r="AS23" s="471"/>
      <c r="AT23" s="471"/>
      <c r="AU23" s="472"/>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417"/>
      <c r="D24" s="417"/>
      <c r="E24" s="418"/>
      <c r="F24" s="460"/>
      <c r="G24" s="461"/>
      <c r="H24" s="461"/>
      <c r="I24" s="461"/>
      <c r="J24" s="461"/>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70"/>
      <c r="AQ24" s="471"/>
      <c r="AR24" s="471"/>
      <c r="AS24" s="471"/>
      <c r="AT24" s="471"/>
      <c r="AU24" s="472"/>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417"/>
      <c r="D25" s="417"/>
      <c r="E25" s="418"/>
      <c r="F25" s="460"/>
      <c r="G25" s="461"/>
      <c r="H25" s="461"/>
      <c r="I25" s="461"/>
      <c r="J25" s="461"/>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70"/>
      <c r="AQ25" s="471"/>
      <c r="AR25" s="471"/>
      <c r="AS25" s="471"/>
      <c r="AT25" s="471"/>
      <c r="AU25" s="472"/>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417"/>
      <c r="D26" s="417"/>
      <c r="E26" s="418"/>
      <c r="F26" s="460"/>
      <c r="G26" s="461"/>
      <c r="H26" s="461"/>
      <c r="I26" s="461"/>
      <c r="J26" s="461"/>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70"/>
      <c r="AQ26" s="471"/>
      <c r="AR26" s="471"/>
      <c r="AS26" s="471"/>
      <c r="AT26" s="471"/>
      <c r="AU26" s="472"/>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417"/>
      <c r="D27" s="417"/>
      <c r="E27" s="418"/>
      <c r="F27" s="460"/>
      <c r="G27" s="461"/>
      <c r="H27" s="461"/>
      <c r="I27" s="461"/>
      <c r="J27" s="461"/>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70"/>
      <c r="AQ27" s="471"/>
      <c r="AR27" s="471"/>
      <c r="AS27" s="471"/>
      <c r="AT27" s="471"/>
      <c r="AU27" s="472"/>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417"/>
      <c r="D28" s="417"/>
      <c r="E28" s="418"/>
      <c r="F28" s="460"/>
      <c r="G28" s="461"/>
      <c r="H28" s="461"/>
      <c r="I28" s="461"/>
      <c r="J28" s="461"/>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70"/>
      <c r="AQ28" s="471"/>
      <c r="AR28" s="471"/>
      <c r="AS28" s="471"/>
      <c r="AT28" s="471"/>
      <c r="AU28" s="472"/>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417"/>
      <c r="D29" s="417"/>
      <c r="E29" s="418"/>
      <c r="F29" s="460"/>
      <c r="G29" s="461"/>
      <c r="H29" s="461"/>
      <c r="I29" s="461"/>
      <c r="J29" s="461"/>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70"/>
      <c r="AQ29" s="471"/>
      <c r="AR29" s="471"/>
      <c r="AS29" s="471"/>
      <c r="AT29" s="471"/>
      <c r="AU29" s="472"/>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417"/>
      <c r="D30" s="417"/>
      <c r="E30" s="418"/>
      <c r="F30" s="460"/>
      <c r="G30" s="461"/>
      <c r="H30" s="461"/>
      <c r="I30" s="461"/>
      <c r="J30" s="461"/>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70"/>
      <c r="AQ30" s="471"/>
      <c r="AR30" s="471"/>
      <c r="AS30" s="471"/>
      <c r="AT30" s="471"/>
      <c r="AU30" s="472"/>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417"/>
      <c r="D31" s="417"/>
      <c r="E31" s="418"/>
      <c r="F31" s="463"/>
      <c r="G31" s="464"/>
      <c r="H31" s="464"/>
      <c r="I31" s="464"/>
      <c r="J31" s="464"/>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73"/>
      <c r="AQ31" s="474"/>
      <c r="AR31" s="474"/>
      <c r="AS31" s="474"/>
      <c r="AT31" s="474"/>
      <c r="AU31" s="475"/>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417"/>
      <c r="D32" s="417"/>
      <c r="E32" s="418"/>
      <c r="F32" s="457" t="s">
        <v>116</v>
      </c>
      <c r="G32" s="458"/>
      <c r="H32" s="458"/>
      <c r="I32" s="458"/>
      <c r="J32" s="459"/>
      <c r="K32" s="50" t="str">
        <f ca="1">IF(AND('Mapa final'!$AJ$15="Media",'Mapa final'!$AL$15="Leve"),CONCATENATE("R2C",'Mapa final'!$S$15),"")</f>
        <v/>
      </c>
      <c r="L32" s="51" t="str">
        <f>IF(AND('Mapa final'!$AJ$16="Media",'Mapa final'!$AL$16="Leve"),CONCATENATE("R2C",'Mapa final'!$S$16),"")</f>
        <v/>
      </c>
      <c r="M32" s="51" t="str">
        <f ca="1">IF(AND('Mapa final'!$AJ$17="Media",'Mapa final'!$AL$17="Leve"),CONCATENATE("R2C",'Mapa final'!$S$17),"")</f>
        <v/>
      </c>
      <c r="N32" s="51" t="str">
        <f ca="1">IF(AND('Mapa final'!$AJ$18="Media",'Mapa final'!$AL$18="Leve"),CONCATENATE("R2C",'Mapa final'!$S$18),"")</f>
        <v/>
      </c>
      <c r="O32" s="51" t="str">
        <f>IF(AND('Mapa final'!$AJ$19="Media",'Mapa final'!$AL$19="Leve"),CONCATENATE("R2C",'Mapa final'!$S$19),"")</f>
        <v/>
      </c>
      <c r="P32" s="52" t="str">
        <f>IF(AND('Mapa final'!$AJ$20="Media",'Mapa final'!$AL$20="Leve"),CONCATENATE("R2C",'Mapa final'!$S$20),"")</f>
        <v/>
      </c>
      <c r="Q32" s="50" t="str">
        <f ca="1">IF(AND('Mapa final'!$AJ$15="Media",'Mapa final'!$AL$15="Menor"),CONCATENATE("R2C",'Mapa final'!$S$15),"")</f>
        <v/>
      </c>
      <c r="R32" s="51" t="str">
        <f>IF(AND('Mapa final'!$AJ$16="Media",'Mapa final'!$AL$16="Menore"),CONCATENATE("R2C",'Mapa final'!$S$16),"")</f>
        <v/>
      </c>
      <c r="S32" s="51" t="str">
        <f ca="1">IF(AND('Mapa final'!$AJ$17="Media",'Mapa final'!$AL$17="Menor"),CONCATENATE("R2C",'Mapa final'!$S$17),"")</f>
        <v/>
      </c>
      <c r="T32" s="51" t="str">
        <f ca="1">IF(AND('Mapa final'!$AJ$18="Media",'Mapa final'!$AL$18="Menor"),CONCATENATE("R2C",'Mapa final'!$S$18),"")</f>
        <v/>
      </c>
      <c r="U32" s="51" t="str">
        <f>IF(AND('Mapa final'!$AJ$19="Media",'Mapa final'!$AL$19="Menor"),CONCATENATE("R2C",'Mapa final'!$S$19),"")</f>
        <v/>
      </c>
      <c r="V32" s="52" t="str">
        <f>IF(AND('Mapa final'!$AJ$20="Media",'Mapa final'!$AL$20="Menor"),CONCATENATE("R2C",'Mapa final'!$S$20),"")</f>
        <v/>
      </c>
      <c r="W32" s="50" t="str">
        <f ca="1">IF(AND('Mapa final'!$AJ$15="Media",'Mapa final'!$AL$15="Moderado"),CONCATENATE("R2C",'Mapa final'!$S$15),"")</f>
        <v/>
      </c>
      <c r="X32" s="51" t="str">
        <f>IF(AND('Mapa final'!$AJ$16="Media",'Mapa final'!$AL$16="Moderado"),CONCATENATE("R2C",'Mapa final'!$S$16),"")</f>
        <v/>
      </c>
      <c r="Y32" s="51"/>
      <c r="Z32" s="51" t="str">
        <f ca="1">IF(AND('Mapa final'!$AJ$18="Media",'Mapa final'!$AL$18="Moderado"),CONCATENATE("R2C",'Mapa final'!$S$18),"")</f>
        <v/>
      </c>
      <c r="AA32" s="51" t="str">
        <f>IF(AND('Mapa final'!$AJ$19="Media",'Mapa final'!$AL$19="Moderado"),CONCATENATE("R2C",'Mapa final'!$S$19),"")</f>
        <v/>
      </c>
      <c r="AB32" s="52" t="str">
        <f>IF(AND('Mapa final'!$AJ$20="Media",'Mapa final'!$AL$20="Moderado"),CONCATENATE("R2C",'Mapa final'!$S$20),"")</f>
        <v/>
      </c>
      <c r="AC32" s="32" t="str">
        <f ca="1">IF(AND('Mapa final'!$AJ$15="Media",'Mapa final'!$AL$15="Mayor"),CONCATENATE("R2C",'Mapa final'!$S$15),"")</f>
        <v/>
      </c>
      <c r="AD32" s="33" t="str">
        <f>IF(AND('Mapa final'!$AJ$16="Media",'Mapa final'!$AL$16="Mayor"),CONCATENATE("R2C",'Mapa final'!$S$16),"")</f>
        <v/>
      </c>
      <c r="AE32" s="33" t="str">
        <f ca="1">IF(AND('Mapa final'!$AJ$17="Media",'Mapa final'!$AL$17="Mayor"),CONCATENATE("R2C",'Mapa final'!$D$17),"")</f>
        <v/>
      </c>
      <c r="AF32" s="33" t="str">
        <f ca="1">IF(AND('Mapa final'!$AJ$18="Media",'Mapa final'!$AL$18="Mayor"),CONCATENATE("R2C",'Mapa final'!$S$18),"")</f>
        <v/>
      </c>
      <c r="AG32" s="33" t="str">
        <f>IF(AND('Mapa final'!$AJ$19="Media",'Mapa final'!$AL$19="Mayor"),CONCATENATE("R2C",'Mapa final'!$S$19),"")</f>
        <v/>
      </c>
      <c r="AH32" s="34" t="str">
        <f>IF(AND('Mapa final'!$AJ$20="Media",'Mapa final'!$AL$20="Mayor"),CONCATENATE("R2C",'Mapa final'!$S$20),"")</f>
        <v/>
      </c>
      <c r="AI32" s="35" t="str">
        <f ca="1">IF(AND('Mapa final'!$AJ$15="Media",'Mapa final'!$AL$15="Catastrófico"),CONCATENATE("R2C",'Mapa final'!$S$15),"")</f>
        <v/>
      </c>
      <c r="AJ32" s="36" t="str">
        <f>IF(AND('Mapa final'!$AJ$16="Media",'Mapa final'!$AL$16="Catastrófico"),CONCATENATE("R2C",'Mapa final'!$S$16),"")</f>
        <v/>
      </c>
      <c r="AK32" s="36" t="str">
        <f ca="1">IF(AND('Mapa final'!$AJ$17="Media",'Mapa final'!$AL$17="Catastrófico"),CONCATENATE("R2C",'Mapa final'!$S$17),"")</f>
        <v/>
      </c>
      <c r="AL32" s="36" t="str">
        <f ca="1">IF(AND('Mapa final'!$AJ$18="Media",'Mapa final'!$AL$18="Catastrófico"),CONCATENATE("R2C",'Mapa final'!$S$18),"")</f>
        <v/>
      </c>
      <c r="AM32" s="36" t="str">
        <f>IF(AND('Mapa final'!$AJ$19="Media",'Mapa final'!$AL$19="Catastrófico"),CONCATENATE("R2C",'Mapa final'!$S$19),"")</f>
        <v/>
      </c>
      <c r="AN32" s="37" t="str">
        <f>IF(AND('Mapa final'!$AJ$20="Media",'Mapa final'!$AL$20="Catastrófico"),CONCATENATE("R2C",'Mapa final'!$S$20),"")</f>
        <v/>
      </c>
      <c r="AO32" s="69"/>
      <c r="AP32" s="499" t="s">
        <v>80</v>
      </c>
      <c r="AQ32" s="500"/>
      <c r="AR32" s="500"/>
      <c r="AS32" s="500"/>
      <c r="AT32" s="500"/>
      <c r="AU32" s="501"/>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417"/>
      <c r="D33" s="417"/>
      <c r="E33" s="418"/>
      <c r="F33" s="476"/>
      <c r="G33" s="461"/>
      <c r="H33" s="461"/>
      <c r="I33" s="461"/>
      <c r="J33" s="462"/>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2"/>
      <c r="AQ33" s="503"/>
      <c r="AR33" s="503"/>
      <c r="AS33" s="503"/>
      <c r="AT33" s="503"/>
      <c r="AU33" s="504"/>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417"/>
      <c r="D34" s="417"/>
      <c r="E34" s="418"/>
      <c r="F34" s="460"/>
      <c r="G34" s="461"/>
      <c r="H34" s="461"/>
      <c r="I34" s="461"/>
      <c r="J34" s="462"/>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2"/>
      <c r="AQ34" s="503"/>
      <c r="AR34" s="503"/>
      <c r="AS34" s="503"/>
      <c r="AT34" s="503"/>
      <c r="AU34" s="504"/>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417"/>
      <c r="D35" s="417"/>
      <c r="E35" s="418"/>
      <c r="F35" s="460"/>
      <c r="G35" s="461"/>
      <c r="H35" s="461"/>
      <c r="I35" s="461"/>
      <c r="J35" s="462"/>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2"/>
      <c r="AQ35" s="503"/>
      <c r="AR35" s="503"/>
      <c r="AS35" s="503"/>
      <c r="AT35" s="503"/>
      <c r="AU35" s="504"/>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417"/>
      <c r="D36" s="417"/>
      <c r="E36" s="418"/>
      <c r="F36" s="460"/>
      <c r="G36" s="461"/>
      <c r="H36" s="461"/>
      <c r="I36" s="461"/>
      <c r="J36" s="462"/>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2"/>
      <c r="AQ36" s="503"/>
      <c r="AR36" s="503"/>
      <c r="AS36" s="503"/>
      <c r="AT36" s="503"/>
      <c r="AU36" s="504"/>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417"/>
      <c r="D37" s="417"/>
      <c r="E37" s="418"/>
      <c r="F37" s="460"/>
      <c r="G37" s="461"/>
      <c r="H37" s="461"/>
      <c r="I37" s="461"/>
      <c r="J37" s="462"/>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2"/>
      <c r="AQ37" s="503"/>
      <c r="AR37" s="503"/>
      <c r="AS37" s="503"/>
      <c r="AT37" s="503"/>
      <c r="AU37" s="504"/>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417"/>
      <c r="D38" s="417"/>
      <c r="E38" s="418"/>
      <c r="F38" s="460"/>
      <c r="G38" s="461"/>
      <c r="H38" s="461"/>
      <c r="I38" s="461"/>
      <c r="J38" s="462"/>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2"/>
      <c r="AQ38" s="503"/>
      <c r="AR38" s="503"/>
      <c r="AS38" s="503"/>
      <c r="AT38" s="503"/>
      <c r="AU38" s="504"/>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417"/>
      <c r="D39" s="417"/>
      <c r="E39" s="418"/>
      <c r="F39" s="460"/>
      <c r="G39" s="461"/>
      <c r="H39" s="461"/>
      <c r="I39" s="461"/>
      <c r="J39" s="462"/>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2"/>
      <c r="AQ39" s="503"/>
      <c r="AR39" s="503"/>
      <c r="AS39" s="503"/>
      <c r="AT39" s="503"/>
      <c r="AU39" s="504"/>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417"/>
      <c r="D40" s="417"/>
      <c r="E40" s="418"/>
      <c r="F40" s="460"/>
      <c r="G40" s="461"/>
      <c r="H40" s="461"/>
      <c r="I40" s="461"/>
      <c r="J40" s="462"/>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2"/>
      <c r="AQ40" s="503"/>
      <c r="AR40" s="503"/>
      <c r="AS40" s="503"/>
      <c r="AT40" s="503"/>
      <c r="AU40" s="504"/>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417"/>
      <c r="D41" s="417"/>
      <c r="E41" s="418"/>
      <c r="F41" s="463"/>
      <c r="G41" s="464"/>
      <c r="H41" s="464"/>
      <c r="I41" s="464"/>
      <c r="J41" s="465"/>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38" t="str">
        <f>IF(AND('Mapa final'!$AJ$69="Media",'Mapa final'!$AL$69="Mayor"),CONCATENATE("R2C",'Mapa final'!$S$69),"")</f>
        <v/>
      </c>
      <c r="AD41" s="178" t="str">
        <f>IF(AND('Mapa final'!$AJ$70="Media",'Mapa final'!$AL$70="Mayor"),CONCATENATE("R2C",'Mapa final'!$S$70),"")</f>
        <v/>
      </c>
      <c r="AE41" s="178" t="str">
        <f>IF(AND('Mapa final'!$AJ$71="Media",'Mapa final'!$AL$71="Mayor"),CONCATENATE("R2C",'Mapa final'!$S$71),"")</f>
        <v/>
      </c>
      <c r="AF41" s="178" t="str">
        <f>IF(AND('Mapa final'!$AJ$72="Media",'Mapa final'!$AL$72="Mayor"),CONCATENATE("R2C",'Mapa final'!$S$72),"")</f>
        <v/>
      </c>
      <c r="AG41" s="178" t="str">
        <f>IF(AND('Mapa final'!$AJ$74="Media",'Mapa final'!$AL$74="Mayor"),CONCATENATE("R2C",'Mapa final'!$S$74),"")</f>
        <v/>
      </c>
      <c r="AH41" s="40"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05"/>
      <c r="AQ41" s="506"/>
      <c r="AR41" s="506"/>
      <c r="AS41" s="506"/>
      <c r="AT41" s="506"/>
      <c r="AU41" s="507"/>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417"/>
      <c r="D42" s="417"/>
      <c r="E42" s="418"/>
      <c r="F42" s="457" t="s">
        <v>113</v>
      </c>
      <c r="G42" s="458"/>
      <c r="H42" s="458"/>
      <c r="I42" s="458"/>
      <c r="J42" s="458"/>
      <c r="K42" s="59" t="str">
        <f ca="1">IF(AND('Mapa final'!$AJ$15="Baja",'Mapa final'!$AL$15="Leve"),CONCATENATE("R2C",'Mapa final'!$S$15),"")</f>
        <v/>
      </c>
      <c r="L42" s="60" t="str">
        <f ca="1">IF(AND('Mapa final'!$AJ$17="Baja",'Mapa final'!$AL$17="Leve"),CONCATENATE("R2C",'Mapa final'!$D$17),"")</f>
        <v/>
      </c>
      <c r="M42" s="60" t="str">
        <f ca="1">IF(AND('Mapa final'!$AJ$18="Baja",'Mapa final'!$AL$18="Leve"),CONCATENATE("R2C",'Mapa final'!$D$18),"")</f>
        <v>R2C3</v>
      </c>
      <c r="N42" s="60"/>
      <c r="O42" s="60" t="str">
        <f>IF(AND('Mapa final'!$AJ$20="Baja",'Mapa final'!$AL$20="Leve"),CONCATENATE("R2C",'Mapa final'!$D$20),"")</f>
        <v/>
      </c>
      <c r="P42" s="61" t="str">
        <f>IF(AND('Mapa final'!$AJ$20="Baja",'Mapa final'!$AL$20="Leve"),CONCATENATE("R2C",'Mapa final'!$S$20),"")</f>
        <v/>
      </c>
      <c r="Q42" s="50" t="str">
        <f ca="1">IF(AND('Mapa final'!$AJ$15="Baja",'Mapa final'!$AL$15="Menor"),CONCATENATE("R2C",'Mapa final'!$D$15),"")</f>
        <v>R2C1</v>
      </c>
      <c r="R42" s="51" t="str">
        <f>IF(AND('Mapa final'!$AJ$16="Baja",'Mapa final'!$AL$16="Menore"),CONCATENATE("R2C",'Mapa final'!$S$16),"")</f>
        <v/>
      </c>
      <c r="S42" s="51" t="str">
        <f ca="1">IF(AND('Mapa final'!$AJ$17="Baja",'Mapa final'!$AL$17="Menor"),CONCATENATE("R2C",'Mapa final'!$D$17),"")</f>
        <v>R2C2</v>
      </c>
      <c r="T42" s="51" t="str">
        <f ca="1">IF(AND('Mapa final'!$AJ$18="Baja",'Mapa final'!$AL$18="Menor"),CONCATENATE("R2C",'Mapa final'!$S$18),"")</f>
        <v/>
      </c>
      <c r="U42" s="51" t="str">
        <f>IF(AND('Mapa final'!$AJ$19="Baja",'Mapa final'!$AL$19="Menor"),CONCATENATE("R2C",'Mapa final'!$S$19),"")</f>
        <v/>
      </c>
      <c r="V42" s="52" t="str">
        <f>IF(AND('Mapa final'!$AJ$20="Baja",'Mapa final'!$AL$20="Menor"),CONCATENATE("R2C",'Mapa final'!$S$20),"")</f>
        <v/>
      </c>
      <c r="W42" s="50" t="str">
        <f ca="1">IF(AND('Mapa final'!$AJ$15="Baja",'Mapa final'!$AL$15="Moderado"),CONCATENATE("R2C",'Mapa final'!$S$15),"")</f>
        <v/>
      </c>
      <c r="X42" s="51" t="str">
        <f>IF(AND('Mapa final'!$AJ$16="Baja",'Mapa final'!$AL$16="Moderado"),CONCATENATE("R2C",'Mapa final'!$S$16),"")</f>
        <v/>
      </c>
      <c r="Y42" s="51"/>
      <c r="Z42" s="51" t="str">
        <f ca="1">IF(AND('Mapa final'!$AJ$18="Baja",'Mapa final'!$AL$18="Moderado"),CONCATENATE("R2C",'Mapa final'!$S$18),"")</f>
        <v/>
      </c>
      <c r="AA42" s="51" t="str">
        <f>IF(AND('Mapa final'!$AJ$19="Baja",'Mapa final'!$AL$19="Moderado"),CONCATENATE("R2C",'Mapa final'!$S$19),"")</f>
        <v/>
      </c>
      <c r="AB42" s="52" t="str">
        <f>IF(AND('Mapa final'!$AJ$20="Baja",'Mapa final'!$AL$20="Moderado"),CONCATENATE("R2C",'Mapa final'!$S$20),"")</f>
        <v/>
      </c>
      <c r="AC42" s="32" t="str">
        <f ca="1">IF(AND('Mapa final'!$AJ$15="Baja",'Mapa final'!$AL$15="Mayor"),CONCATENATE("R2C",'Mapa final'!$D$15),"")</f>
        <v/>
      </c>
      <c r="AD42" s="33" t="str">
        <f>IF(AND('Mapa final'!$AJ$16="Baja",'Mapa final'!$AL$16="Mayor"),CONCATENATE("R2C",'Mapa final'!$S$16),"")</f>
        <v/>
      </c>
      <c r="AE42" s="33" t="str">
        <f ca="1">IF(AND('Mapa final'!$AJ$17="Baja",'Mapa final'!$AL$17="Mayor"),CONCATENATE("R2C",'Mapa final'!$D$17),"")</f>
        <v/>
      </c>
      <c r="AF42" s="33" t="str">
        <f ca="1">IF(AND('Mapa final'!$AJ$17="Baja",'Mapa final'!$AL$17="Mayor"),CONCATENATE("R2C",'Mapa final'!$D$17),"")</f>
        <v/>
      </c>
      <c r="AG42" s="33" t="str">
        <f>IF(AND('Mapa final'!$AJ$19="Baja",'Mapa final'!$AL$19="Mayor"),CONCATENATE("R2C",'Mapa final'!$S$19),"")</f>
        <v/>
      </c>
      <c r="AH42" s="34" t="str">
        <f>IF(AND('Mapa final'!$AJ$20="Baja",'Mapa final'!$AL$20="Mayor"),CONCATENATE("R2C",'Mapa final'!$S$20),"")</f>
        <v/>
      </c>
      <c r="AI42" s="35" t="str">
        <f ca="1">IF(AND('Mapa final'!$AJ$15="Baja",'Mapa final'!$AL$15="Catastrófico"),CONCATENATE("R2C",'Mapa final'!$S$15),"")</f>
        <v/>
      </c>
      <c r="AJ42" s="36" t="str">
        <f>IF(AND('Mapa final'!$AJ$16="Baja",'Mapa final'!$AL$16="Catastrófico"),CONCATENATE("R2C",'Mapa final'!$S$16),"")</f>
        <v/>
      </c>
      <c r="AK42" s="36" t="str">
        <f ca="1">IF(AND('Mapa final'!$AJ$17="Baja",'Mapa final'!$AL$17="Catastrófico"),CONCATENATE("R2C",'Mapa final'!$S$17),"")</f>
        <v/>
      </c>
      <c r="AL42" s="36" t="str">
        <f ca="1">IF(AND('Mapa final'!$AJ$18="Baja",'Mapa final'!$AL$18="Catastrófico"),CONCATENATE("R2C",'Mapa final'!$S$18),"")</f>
        <v/>
      </c>
      <c r="AM42" s="36" t="str">
        <f>IF(AND('Mapa final'!$AJ$19="Baja",'Mapa final'!$AL$19="Catastrófico"),CONCATENATE("R2C",'Mapa final'!$S$19),"")</f>
        <v/>
      </c>
      <c r="AN42" s="37" t="str">
        <f>IF(AND('Mapa final'!$AJ$20="Baja",'Mapa final'!$AL$20="Catastrófico"),CONCATENATE("R2C",'Mapa final'!$S$20),"")</f>
        <v/>
      </c>
      <c r="AO42" s="69"/>
      <c r="AP42" s="490" t="s">
        <v>81</v>
      </c>
      <c r="AQ42" s="491"/>
      <c r="AR42" s="491"/>
      <c r="AS42" s="491"/>
      <c r="AT42" s="491"/>
      <c r="AU42" s="492"/>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417"/>
      <c r="D43" s="417"/>
      <c r="E43" s="418"/>
      <c r="F43" s="476"/>
      <c r="G43" s="461"/>
      <c r="H43" s="461"/>
      <c r="I43" s="461"/>
      <c r="J43" s="461"/>
      <c r="K43" s="62" t="str">
        <f>IF(AND('Mapa final'!$AJ$21="Baja",'Mapa final'!$AL$21="Leve"),CONCATENATE("R2C",'Mapa final'!$S$21),"")</f>
        <v/>
      </c>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178" t="str">
        <f>IF(AND('Mapa final'!$AJ$22="Baja",'Mapa final'!$AL$22="Mayor"),CONCATENATE("R2C",'Mapa final'!$S$22),"")</f>
        <v/>
      </c>
      <c r="AE43" s="178" t="str">
        <f>IF(AND('Mapa final'!$AJ$23="Baja",'Mapa final'!$AL$23="Mayor"),CONCATENATE("R2C",'Mapa final'!$S$23),"")</f>
        <v/>
      </c>
      <c r="AF43" s="178" t="str">
        <f>IF(AND('Mapa final'!$AJ$24="Baja",'Mapa final'!$AL$24="Mayor"),CONCATENATE("R2C",'Mapa final'!$S$24),"")</f>
        <v/>
      </c>
      <c r="AG43" s="178"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93"/>
      <c r="AQ43" s="494"/>
      <c r="AR43" s="494"/>
      <c r="AS43" s="494"/>
      <c r="AT43" s="494"/>
      <c r="AU43" s="495"/>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417"/>
      <c r="D44" s="417"/>
      <c r="E44" s="418"/>
      <c r="F44" s="460"/>
      <c r="G44" s="461"/>
      <c r="H44" s="461"/>
      <c r="I44" s="461"/>
      <c r="J44" s="461"/>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178" t="str">
        <f>IF(AND('Mapa final'!$AJ$28="Baja",'Mapa final'!$AL$28="Mayor"),CONCATENATE("R2C",'Mapa final'!$S$28),"")</f>
        <v/>
      </c>
      <c r="AE44" s="178" t="str">
        <f>IF(AND('Mapa final'!$AJ$29="Baja",'Mapa final'!$AL$29="Mayor"),CONCATENATE("R2C",'Mapa final'!$S$29),"")</f>
        <v/>
      </c>
      <c r="AF44" s="178" t="str">
        <f>IF(AND('Mapa final'!$AJ$30="Baja",'Mapa final'!$AL$30="Mayor"),CONCATENATE("R2C",'Mapa final'!$S$30),"")</f>
        <v/>
      </c>
      <c r="AG44" s="178"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93"/>
      <c r="AQ44" s="494"/>
      <c r="AR44" s="494"/>
      <c r="AS44" s="494"/>
      <c r="AT44" s="494"/>
      <c r="AU44" s="495"/>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417"/>
      <c r="D45" s="417"/>
      <c r="E45" s="418"/>
      <c r="F45" s="460"/>
      <c r="G45" s="461"/>
      <c r="H45" s="461"/>
      <c r="I45" s="461"/>
      <c r="J45" s="461"/>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178" t="str">
        <f>IF(AND('Mapa final'!$AJ$34="Baja",'Mapa final'!$AL$34="Mayor"),CONCATENATE("R2C",'Mapa final'!$S$34),"")</f>
        <v/>
      </c>
      <c r="AE45" s="178" t="str">
        <f>IF(AND('Mapa final'!$AJ$35="Baja",'Mapa final'!$AL$35="Mayor"),CONCATENATE("R2C",'Mapa final'!$S$35),"")</f>
        <v/>
      </c>
      <c r="AF45" s="178" t="str">
        <f>IF(AND('Mapa final'!$AJ$36="Baja",'Mapa final'!$AL$36="Mayor"),CONCATENATE("R2C",'Mapa final'!$S$36),"")</f>
        <v/>
      </c>
      <c r="AG45" s="178"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93"/>
      <c r="AQ45" s="494"/>
      <c r="AR45" s="494"/>
      <c r="AS45" s="494"/>
      <c r="AT45" s="494"/>
      <c r="AU45" s="495"/>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417"/>
      <c r="D46" s="417"/>
      <c r="E46" s="418"/>
      <c r="F46" s="460"/>
      <c r="G46" s="461"/>
      <c r="H46" s="461"/>
      <c r="I46" s="461"/>
      <c r="J46" s="461"/>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178" t="str">
        <f>IF(AND('Mapa final'!$AJ$40="Baja",'Mapa final'!$AL$40="Mayor"),CONCATENATE("R2C",'Mapa final'!$S$40),"")</f>
        <v/>
      </c>
      <c r="AE46" s="178" t="str">
        <f>IF(AND('Mapa final'!$AJ$41="Baja",'Mapa final'!$AL$41="Mayor"),CONCATENATE("R2C",'Mapa final'!$S$41),"")</f>
        <v/>
      </c>
      <c r="AF46" s="178" t="str">
        <f>IF(AND('Mapa final'!$AJ$42="Baja",'Mapa final'!$AL$42="Mayor"),CONCATENATE("R2C",'Mapa final'!$S$42),"")</f>
        <v/>
      </c>
      <c r="AG46" s="178"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93"/>
      <c r="AQ46" s="494"/>
      <c r="AR46" s="494"/>
      <c r="AS46" s="494"/>
      <c r="AT46" s="494"/>
      <c r="AU46" s="495"/>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417"/>
      <c r="D47" s="417"/>
      <c r="E47" s="418"/>
      <c r="F47" s="460"/>
      <c r="G47" s="461"/>
      <c r="H47" s="461"/>
      <c r="I47" s="461"/>
      <c r="J47" s="461"/>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178" t="str">
        <f>IF(AND('Mapa final'!$AJ$46="Baja",'Mapa final'!$AL$46="Mayor"),CONCATENATE("R2C",'Mapa final'!$S$46),"")</f>
        <v/>
      </c>
      <c r="AE47" s="178" t="str">
        <f>IF(AND('Mapa final'!$AJ$47="Baja",'Mapa final'!$AL$47="Mayor"),CONCATENATE("R2C",'Mapa final'!$S$47),"")</f>
        <v/>
      </c>
      <c r="AF47" s="178" t="str">
        <f>IF(AND('Mapa final'!$AJ$48="Baja",'Mapa final'!$AL$48="Mayor"),CONCATENATE("R2C",'Mapa final'!$S$48),"")</f>
        <v/>
      </c>
      <c r="AG47" s="178"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93"/>
      <c r="AQ47" s="494"/>
      <c r="AR47" s="494"/>
      <c r="AS47" s="494"/>
      <c r="AT47" s="494"/>
      <c r="AU47" s="495"/>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417"/>
      <c r="D48" s="417"/>
      <c r="E48" s="418"/>
      <c r="F48" s="460"/>
      <c r="G48" s="461"/>
      <c r="H48" s="461"/>
      <c r="I48" s="461"/>
      <c r="J48" s="461"/>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178" t="str">
        <f>IF(AND('Mapa final'!$AJ$52="Baja",'Mapa final'!$AL$52="Mayor"),CONCATENATE("R2C",'Mapa final'!$S$52),"")</f>
        <v/>
      </c>
      <c r="AE48" s="178" t="str">
        <f>IF(AND('Mapa final'!$AJ$53="Baja",'Mapa final'!$AL$53="Mayor"),CONCATENATE("R2C",'Mapa final'!$S$53),"")</f>
        <v/>
      </c>
      <c r="AF48" s="178" t="str">
        <f>IF(AND('Mapa final'!$AJ$54="Baja",'Mapa final'!$AL$54="Mayor"),CONCATENATE("R2C",'Mapa final'!$S$54),"")</f>
        <v/>
      </c>
      <c r="AG48" s="178"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93"/>
      <c r="AQ48" s="494"/>
      <c r="AR48" s="494"/>
      <c r="AS48" s="494"/>
      <c r="AT48" s="494"/>
      <c r="AU48" s="495"/>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417"/>
      <c r="D49" s="417"/>
      <c r="E49" s="418"/>
      <c r="F49" s="460"/>
      <c r="G49" s="461"/>
      <c r="H49" s="461"/>
      <c r="I49" s="461"/>
      <c r="J49" s="461"/>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178" t="str">
        <f>IF(AND('Mapa final'!$AJ$58="Baja",'Mapa final'!$AL$58="Mayor"),CONCATENATE("R2C",'Mapa final'!$S$58),"")</f>
        <v/>
      </c>
      <c r="AE49" s="178" t="str">
        <f>IF(AND('Mapa final'!$AJ$59="Baja",'Mapa final'!$AL$59="Mayor"),CONCATENATE("R2C",'Mapa final'!$S$59),"")</f>
        <v/>
      </c>
      <c r="AF49" s="178" t="str">
        <f>IF(AND('Mapa final'!$AJ$60="Baja",'Mapa final'!$AL$60="Mayor"),CONCATENATE("R2C",'Mapa final'!$S$60),"")</f>
        <v/>
      </c>
      <c r="AG49" s="178"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93"/>
      <c r="AQ49" s="494"/>
      <c r="AR49" s="494"/>
      <c r="AS49" s="494"/>
      <c r="AT49" s="494"/>
      <c r="AU49" s="495"/>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417"/>
      <c r="D50" s="417"/>
      <c r="E50" s="418"/>
      <c r="F50" s="460"/>
      <c r="G50" s="461"/>
      <c r="H50" s="461"/>
      <c r="I50" s="461"/>
      <c r="J50" s="461"/>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178" t="str">
        <f>IF(AND('Mapa final'!$AJ$64="Baja",'Mapa final'!$AL$64="Mayor"),CONCATENATE("R2C",'Mapa final'!$S$64),"")</f>
        <v/>
      </c>
      <c r="AE50" s="178" t="str">
        <f>IF(AND('Mapa final'!$AJ$65="Baja",'Mapa final'!$AL$65="Mayor"),CONCATENATE("R2C",'Mapa final'!$S$65),"")</f>
        <v/>
      </c>
      <c r="AF50" s="178" t="str">
        <f>IF(AND('Mapa final'!$AJ$66="Baja",'Mapa final'!$AL$66="Mayor"),CONCATENATE("R2C",'Mapa final'!$S$66),"")</f>
        <v/>
      </c>
      <c r="AG50" s="178"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93"/>
      <c r="AQ50" s="494"/>
      <c r="AR50" s="494"/>
      <c r="AS50" s="494"/>
      <c r="AT50" s="494"/>
      <c r="AU50" s="495"/>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417"/>
      <c r="D51" s="417"/>
      <c r="E51" s="418"/>
      <c r="F51" s="463"/>
      <c r="G51" s="464"/>
      <c r="H51" s="464"/>
      <c r="I51" s="464"/>
      <c r="J51" s="464"/>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496"/>
      <c r="AQ51" s="497"/>
      <c r="AR51" s="497"/>
      <c r="AS51" s="497"/>
      <c r="AT51" s="497"/>
      <c r="AU51" s="498"/>
    </row>
    <row r="52" spans="2:81" ht="41.25" customHeight="1" x14ac:dyDescent="0.35">
      <c r="B52" s="69"/>
      <c r="C52" s="417"/>
      <c r="D52" s="417"/>
      <c r="E52" s="418"/>
      <c r="F52" s="457" t="s">
        <v>112</v>
      </c>
      <c r="G52" s="458"/>
      <c r="H52" s="458"/>
      <c r="I52" s="458"/>
      <c r="J52" s="459"/>
      <c r="K52" s="59" t="str">
        <f ca="1">IF(AND('Mapa final'!$AJ$15="Muy Baja",'Mapa final'!$AL$15="Leve"),CONCATENATE("R2C",'Mapa final'!$S$15),"")</f>
        <v/>
      </c>
      <c r="L52" s="60" t="str">
        <f>IF(AND('Mapa final'!$AJ$16="Muy Baja",'Mapa final'!$AL$16="Leve"),CONCATENATE("R2C",'Mapa final'!$D$16),"")</f>
        <v/>
      </c>
      <c r="M52" s="60" t="str">
        <f ca="1">IF(AND('Mapa final'!$AJ$17="Muy Baja",'Mapa final'!$AL$17="Leve"),CONCATENATE("R2C",'Mapa final'!$D$17),"")</f>
        <v/>
      </c>
      <c r="N52" s="60" t="str">
        <f ca="1">IF(AND('Mapa final'!$AJ$18="Muy Baja",'Mapa final'!$AL$18="Leve"),CONCATENATE("R2C",'Mapa final'!$S$18),"")</f>
        <v/>
      </c>
      <c r="O52" s="60" t="str">
        <f>IF(AND('Mapa final'!$AJ$19="Muy Baja",'Mapa final'!$AL$19="Leve"),CONCATENATE("R2C",'Mapa final'!$S$19),"")</f>
        <v/>
      </c>
      <c r="P52" s="61" t="str">
        <f>IF(AND('Mapa final'!$AJ$20="Muy Baja",'Mapa final'!$AL$20="Leve"),CONCATENATE("R2C",'Mapa final'!$S$20),"")</f>
        <v/>
      </c>
      <c r="Q52" s="59" t="str">
        <f ca="1">IF(AND('Mapa final'!$AJ$15="Muy Baja",'Mapa final'!$AL$15="Menor"),CONCATENATE("R2C",'Mapa final'!$S$15),"")</f>
        <v/>
      </c>
      <c r="R52" s="60" t="str">
        <f>IF(AND('Mapa final'!$AJ$16="Muy Baja",'Mapa final'!$AL$16="Menore"),CONCATENATE("R2C",'Mapa final'!$S$16),"")</f>
        <v/>
      </c>
      <c r="S52" s="60" t="str">
        <f ca="1">IF(AND('Mapa final'!$AJ$17="Muy Baja",'Mapa final'!$AL$17="Menor"),CONCATENATE("R2C",'Mapa final'!$D$17),"")</f>
        <v/>
      </c>
      <c r="T52" s="60" t="str">
        <f ca="1">IF(AND('Mapa final'!$AJ$18="Muy Baja",'Mapa final'!$AL$18="Menor"),CONCATENATE("R2C",'Mapa final'!$S$18),"")</f>
        <v/>
      </c>
      <c r="U52" s="60" t="str">
        <f>IF(AND('Mapa final'!$AJ$19="Muy Baja",'Mapa final'!$AL$19="Menor"),CONCATENATE("R2C",'Mapa final'!$S$19),"")</f>
        <v/>
      </c>
      <c r="V52" s="61" t="str">
        <f>IF(AND('Mapa final'!$AJ$20="Muy Baja",'Mapa final'!$AL$20="Menor"),CONCATENATE("R2C",'Mapa final'!$S$20),"")</f>
        <v/>
      </c>
      <c r="W52" s="50" t="str">
        <f ca="1">IF(AND('Mapa final'!$AJ$15="Muy Baja",'Mapa final'!$AL$15="Moderado"),CONCATENATE("R2C",'Mapa final'!$S$15),"")</f>
        <v/>
      </c>
      <c r="X52" s="68" t="str">
        <f>IF(AND('Mapa final'!$AJ$16="Muy Baja",'Mapa final'!$AL$16="Moderado"),CONCATENATE("R2C",'Mapa final'!$S$16),"")</f>
        <v/>
      </c>
      <c r="Y52" s="51"/>
      <c r="Z52" s="51" t="str">
        <f ca="1">IF(AND('Mapa final'!$AJ$18="Muy Baja",'Mapa final'!$AL$18="Moderado"),CONCATENATE("R2C",'Mapa final'!$S$18),"")</f>
        <v/>
      </c>
      <c r="AA52" s="51" t="str">
        <f>IF(AND('Mapa final'!$AJ$19="Muy Baja",'Mapa final'!$AL$19="Moderado"),CONCATENATE("R2C",'Mapa final'!$S$19),"")</f>
        <v/>
      </c>
      <c r="AB52" s="52" t="str">
        <f>IF(AND('Mapa final'!$AJ$20="Muy Baja",'Mapa final'!$AL$20="Moderado"),CONCATENATE("R2C",'Mapa final'!$S$20),"")</f>
        <v/>
      </c>
      <c r="AC52" s="32" t="str">
        <f ca="1">IF(AND('Mapa final'!$AJ$15="Muy Baja",'Mapa final'!$AL$15="Mayor"),CONCATENATE("R2C",'Mapa final'!$S$15),"")</f>
        <v/>
      </c>
      <c r="AD52" s="33" t="str">
        <f>IF(AND('Mapa final'!$AJ$16="Muy Baja",'Mapa final'!$AL$16="Mayor"),CONCATENATE("R2C",'Mapa final'!$S$16),"")</f>
        <v/>
      </c>
      <c r="AE52" s="33" t="str">
        <f ca="1">IF(AND('Mapa final'!$AJ$17="Muy Baja",'Mapa final'!$AL$17="Mayor"),CONCATENATE("R2C",'Mapa final'!$S$17),"")</f>
        <v/>
      </c>
      <c r="AF52" s="33" t="str">
        <f ca="1">IF(AND('Mapa final'!$AJ$18="Muy Baja",'Mapa final'!$AL$18="Mayor"),CONCATENATE("R2C",'Mapa final'!$S$18),"")</f>
        <v/>
      </c>
      <c r="AG52" s="33" t="str">
        <f>IF(AND('Mapa final'!$AJ$19="Muy Baja",'Mapa final'!$AL$19="Mayor"),CONCATENATE("R2C",'Mapa final'!$S$19),"")</f>
        <v/>
      </c>
      <c r="AH52" s="34" t="str">
        <f>IF(AND('Mapa final'!$AJ$20="Muy Baja",'Mapa final'!$AL$20="Mayor"),CONCATENATE("R2C",'Mapa final'!$S$20),"")</f>
        <v/>
      </c>
      <c r="AI52" s="35" t="str">
        <f ca="1">IF(AND('Mapa final'!$AJ$15="Muy Baja",'Mapa final'!$AL$15="Catastrófico"),CONCATENATE("R2C",'Mapa final'!$S$15),"")</f>
        <v/>
      </c>
      <c r="AJ52" s="36" t="str">
        <f>IF(AND('Mapa final'!$AJ$16="Muy Baja",'Mapa final'!$AL$16="Catastrófico"),CONCATENATE("R2C",'Mapa final'!$S$16),"")</f>
        <v/>
      </c>
      <c r="AK52" s="36" t="str">
        <f ca="1">IF(AND('Mapa final'!$AJ$17="Muy Baja",'Mapa final'!$AL$17="Catastrófico"),CONCATENATE("R2C",'Mapa final'!$S$17),"")</f>
        <v/>
      </c>
      <c r="AL52" s="36" t="str">
        <f ca="1">IF(AND('Mapa final'!$AJ$18="Muy Baja",'Mapa final'!$AL$18="Catastrófico"),CONCATENATE("R2C",'Mapa final'!$S$18),"")</f>
        <v/>
      </c>
      <c r="AM52" s="36" t="str">
        <f>IF(AND('Mapa final'!$AJ$19="Muy Baja",'Mapa final'!$AL$19="Catastrófico"),CONCATENATE("R2C",'Mapa final'!$S$19),"")</f>
        <v/>
      </c>
      <c r="AN52" s="37" t="str">
        <f>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417"/>
      <c r="D53" s="417"/>
      <c r="E53" s="418"/>
      <c r="F53" s="476"/>
      <c r="G53" s="461"/>
      <c r="H53" s="461"/>
      <c r="I53" s="461"/>
      <c r="J53" s="462"/>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417"/>
      <c r="D54" s="417"/>
      <c r="E54" s="418"/>
      <c r="F54" s="476"/>
      <c r="G54" s="461"/>
      <c r="H54" s="461"/>
      <c r="I54" s="461"/>
      <c r="J54" s="462"/>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417"/>
      <c r="D55" s="417"/>
      <c r="E55" s="418"/>
      <c r="F55" s="460"/>
      <c r="G55" s="461"/>
      <c r="H55" s="461"/>
      <c r="I55" s="461"/>
      <c r="J55" s="462"/>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417"/>
      <c r="D56" s="417"/>
      <c r="E56" s="418"/>
      <c r="F56" s="460"/>
      <c r="G56" s="461"/>
      <c r="H56" s="461"/>
      <c r="I56" s="461"/>
      <c r="J56" s="462"/>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417"/>
      <c r="D57" s="417"/>
      <c r="E57" s="418"/>
      <c r="F57" s="460"/>
      <c r="G57" s="461"/>
      <c r="H57" s="461"/>
      <c r="I57" s="461"/>
      <c r="J57" s="462"/>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417"/>
      <c r="D58" s="417"/>
      <c r="E58" s="418"/>
      <c r="F58" s="460"/>
      <c r="G58" s="461"/>
      <c r="H58" s="461"/>
      <c r="I58" s="461"/>
      <c r="J58" s="462"/>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417"/>
      <c r="D59" s="417"/>
      <c r="E59" s="418"/>
      <c r="F59" s="460"/>
      <c r="G59" s="461"/>
      <c r="H59" s="461"/>
      <c r="I59" s="461"/>
      <c r="J59" s="462"/>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417"/>
      <c r="D60" s="417"/>
      <c r="E60" s="418"/>
      <c r="F60" s="460"/>
      <c r="G60" s="461"/>
      <c r="H60" s="461"/>
      <c r="I60" s="461"/>
      <c r="J60" s="462"/>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417"/>
      <c r="D61" s="417"/>
      <c r="E61" s="418"/>
      <c r="F61" s="463"/>
      <c r="G61" s="464"/>
      <c r="H61" s="464"/>
      <c r="I61" s="464"/>
      <c r="J61" s="465"/>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7" t="s">
        <v>111</v>
      </c>
      <c r="L62" s="458"/>
      <c r="M62" s="458"/>
      <c r="N62" s="458"/>
      <c r="O62" s="458"/>
      <c r="P62" s="459"/>
      <c r="Q62" s="457" t="s">
        <v>110</v>
      </c>
      <c r="R62" s="458"/>
      <c r="S62" s="458"/>
      <c r="T62" s="458"/>
      <c r="U62" s="458"/>
      <c r="V62" s="459"/>
      <c r="W62" s="457" t="s">
        <v>109</v>
      </c>
      <c r="X62" s="458"/>
      <c r="Y62" s="458"/>
      <c r="Z62" s="458"/>
      <c r="AA62" s="458"/>
      <c r="AB62" s="459"/>
      <c r="AC62" s="457" t="s">
        <v>108</v>
      </c>
      <c r="AD62" s="466"/>
      <c r="AE62" s="458"/>
      <c r="AF62" s="458"/>
      <c r="AG62" s="458"/>
      <c r="AH62" s="459"/>
      <c r="AI62" s="457" t="s">
        <v>107</v>
      </c>
      <c r="AJ62" s="458"/>
      <c r="AK62" s="458"/>
      <c r="AL62" s="458"/>
      <c r="AM62" s="458"/>
      <c r="AN62" s="45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0"/>
      <c r="L63" s="461"/>
      <c r="M63" s="461"/>
      <c r="N63" s="461"/>
      <c r="O63" s="461"/>
      <c r="P63" s="462"/>
      <c r="Q63" s="460"/>
      <c r="R63" s="461"/>
      <c r="S63" s="461"/>
      <c r="T63" s="461"/>
      <c r="U63" s="461"/>
      <c r="V63" s="462"/>
      <c r="W63" s="460"/>
      <c r="X63" s="461"/>
      <c r="Y63" s="461"/>
      <c r="Z63" s="461"/>
      <c r="AA63" s="461"/>
      <c r="AB63" s="462"/>
      <c r="AC63" s="460"/>
      <c r="AD63" s="461"/>
      <c r="AE63" s="461"/>
      <c r="AF63" s="461"/>
      <c r="AG63" s="461"/>
      <c r="AH63" s="462"/>
      <c r="AI63" s="460"/>
      <c r="AJ63" s="461"/>
      <c r="AK63" s="461"/>
      <c r="AL63" s="461"/>
      <c r="AM63" s="461"/>
      <c r="AN63" s="462"/>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0"/>
      <c r="L64" s="461"/>
      <c r="M64" s="461"/>
      <c r="N64" s="461"/>
      <c r="O64" s="461"/>
      <c r="P64" s="462"/>
      <c r="Q64" s="460"/>
      <c r="R64" s="461"/>
      <c r="S64" s="461"/>
      <c r="T64" s="461"/>
      <c r="U64" s="461"/>
      <c r="V64" s="462"/>
      <c r="W64" s="460"/>
      <c r="X64" s="461"/>
      <c r="Y64" s="461"/>
      <c r="Z64" s="461"/>
      <c r="AA64" s="461"/>
      <c r="AB64" s="462"/>
      <c r="AC64" s="460"/>
      <c r="AD64" s="461"/>
      <c r="AE64" s="461"/>
      <c r="AF64" s="461"/>
      <c r="AG64" s="461"/>
      <c r="AH64" s="462"/>
      <c r="AI64" s="460"/>
      <c r="AJ64" s="461"/>
      <c r="AK64" s="461"/>
      <c r="AL64" s="461"/>
      <c r="AM64" s="461"/>
      <c r="AN64" s="462"/>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0"/>
      <c r="L65" s="461"/>
      <c r="M65" s="461"/>
      <c r="N65" s="461"/>
      <c r="O65" s="461"/>
      <c r="P65" s="462"/>
      <c r="Q65" s="460"/>
      <c r="R65" s="461"/>
      <c r="S65" s="461"/>
      <c r="T65" s="461"/>
      <c r="U65" s="461"/>
      <c r="V65" s="462"/>
      <c r="W65" s="460"/>
      <c r="X65" s="461"/>
      <c r="Y65" s="461"/>
      <c r="Z65" s="461"/>
      <c r="AA65" s="461"/>
      <c r="AB65" s="462"/>
      <c r="AC65" s="460"/>
      <c r="AD65" s="461"/>
      <c r="AE65" s="461"/>
      <c r="AF65" s="461"/>
      <c r="AG65" s="461"/>
      <c r="AH65" s="462"/>
      <c r="AI65" s="460"/>
      <c r="AJ65" s="461"/>
      <c r="AK65" s="461"/>
      <c r="AL65" s="461"/>
      <c r="AM65" s="461"/>
      <c r="AN65" s="462"/>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0"/>
      <c r="L66" s="461"/>
      <c r="M66" s="461"/>
      <c r="N66" s="461"/>
      <c r="O66" s="461"/>
      <c r="P66" s="462"/>
      <c r="Q66" s="460"/>
      <c r="R66" s="461"/>
      <c r="S66" s="461"/>
      <c r="T66" s="461"/>
      <c r="U66" s="461"/>
      <c r="V66" s="462"/>
      <c r="W66" s="460"/>
      <c r="X66" s="461"/>
      <c r="Y66" s="461"/>
      <c r="Z66" s="461"/>
      <c r="AA66" s="461"/>
      <c r="AB66" s="462"/>
      <c r="AC66" s="460"/>
      <c r="AD66" s="461"/>
      <c r="AE66" s="461"/>
      <c r="AF66" s="461"/>
      <c r="AG66" s="461"/>
      <c r="AH66" s="462"/>
      <c r="AI66" s="460"/>
      <c r="AJ66" s="461"/>
      <c r="AK66" s="461"/>
      <c r="AL66" s="461"/>
      <c r="AM66" s="461"/>
      <c r="AN66" s="462"/>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3"/>
      <c r="L67" s="464"/>
      <c r="M67" s="464"/>
      <c r="N67" s="464"/>
      <c r="O67" s="464"/>
      <c r="P67" s="465"/>
      <c r="Q67" s="463"/>
      <c r="R67" s="464"/>
      <c r="S67" s="464"/>
      <c r="T67" s="464"/>
      <c r="U67" s="464"/>
      <c r="V67" s="465"/>
      <c r="W67" s="463"/>
      <c r="X67" s="464"/>
      <c r="Y67" s="464"/>
      <c r="Z67" s="464"/>
      <c r="AA67" s="464"/>
      <c r="AB67" s="465"/>
      <c r="AC67" s="463"/>
      <c r="AD67" s="464"/>
      <c r="AE67" s="464"/>
      <c r="AF67" s="464"/>
      <c r="AG67" s="464"/>
      <c r="AH67" s="465"/>
      <c r="AI67" s="463"/>
      <c r="AJ67" s="464"/>
      <c r="AK67" s="464"/>
      <c r="AL67" s="464"/>
      <c r="AM67" s="464"/>
      <c r="AN67" s="465"/>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C14" sqref="C14"/>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8" t="s">
        <v>244</v>
      </c>
      <c r="C2" s="511" t="s">
        <v>205</v>
      </c>
      <c r="D2" s="512"/>
      <c r="E2" s="124" t="s">
        <v>390</v>
      </c>
      <c r="F2" s="125"/>
    </row>
    <row r="3" spans="1:6" ht="15.75" customHeight="1" x14ac:dyDescent="0.25">
      <c r="B3" s="509"/>
      <c r="C3" s="238"/>
      <c r="D3" s="240"/>
      <c r="E3" s="124" t="s">
        <v>264</v>
      </c>
      <c r="F3" s="125"/>
    </row>
    <row r="4" spans="1:6" ht="16.5" customHeight="1" x14ac:dyDescent="0.25">
      <c r="B4" s="509"/>
      <c r="C4" s="238"/>
      <c r="D4" s="240"/>
      <c r="E4" s="124" t="s">
        <v>389</v>
      </c>
      <c r="F4" s="125"/>
    </row>
    <row r="5" spans="1:6" ht="15" customHeight="1" thickBot="1" x14ac:dyDescent="0.3">
      <c r="B5" s="510"/>
      <c r="C5" s="513"/>
      <c r="D5" s="514"/>
      <c r="E5" s="124" t="s">
        <v>245</v>
      </c>
      <c r="F5" s="125"/>
    </row>
    <row r="7" spans="1:6" x14ac:dyDescent="0.25">
      <c r="A7" s="515" t="s">
        <v>266</v>
      </c>
      <c r="B7" s="142" t="s">
        <v>246</v>
      </c>
      <c r="C7" s="143" t="s">
        <v>247</v>
      </c>
      <c r="D7" s="143" t="s">
        <v>248</v>
      </c>
      <c r="E7" s="143" t="s">
        <v>249</v>
      </c>
    </row>
    <row r="8" spans="1:6" x14ac:dyDescent="0.25">
      <c r="A8" s="515"/>
      <c r="B8" s="126">
        <v>45687</v>
      </c>
      <c r="C8" s="127" t="s">
        <v>402</v>
      </c>
      <c r="D8" s="128" t="s">
        <v>400</v>
      </c>
      <c r="E8" s="128" t="s">
        <v>401</v>
      </c>
    </row>
    <row r="9" spans="1:6" x14ac:dyDescent="0.25">
      <c r="A9" s="515"/>
      <c r="B9" s="126"/>
      <c r="C9" s="127"/>
      <c r="D9" s="128"/>
      <c r="E9" s="128"/>
    </row>
    <row r="10" spans="1:6" x14ac:dyDescent="0.25">
      <c r="A10" s="515"/>
      <c r="B10" s="126"/>
      <c r="C10" s="127"/>
      <c r="D10" s="128"/>
      <c r="E10" s="128"/>
    </row>
    <row r="11" spans="1:6" x14ac:dyDescent="0.25">
      <c r="A11" s="515"/>
      <c r="B11" s="126"/>
      <c r="C11" s="127"/>
      <c r="D11" s="128"/>
      <c r="E11" s="128"/>
    </row>
    <row r="12" spans="1:6" x14ac:dyDescent="0.25">
      <c r="A12" s="515"/>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2025-01-31T20:20:05Z</dcterms:modified>
</cp:coreProperties>
</file>