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ivotTables/pivotTable1.xml" ContentType="application/vnd.openxmlformats-officedocument.spreadsheetml.pivotTable+xml"/>
  <Override PartName="/xl/tables/table2.xml" ContentType="application/vnd.openxmlformats-officedocument.spreadsheetml.tab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hidePivotFieldList="1" defaultThemeVersion="124226"/>
  <mc:AlternateContent xmlns:mc="http://schemas.openxmlformats.org/markup-compatibility/2006">
    <mc:Choice Requires="x15">
      <x15ac:absPath xmlns:x15ac="http://schemas.microsoft.com/office/spreadsheetml/2010/11/ac" url="C:\Users\PLANEACION2\Downloads\"/>
    </mc:Choice>
  </mc:AlternateContent>
  <xr:revisionPtr revIDLastSave="0" documentId="13_ncr:1_{15E0D799-C9B0-45DB-8579-00D7F7DD23C3}" xr6:coauthVersionLast="47" xr6:coauthVersionMax="47" xr10:uidLastSave="{00000000-0000-0000-0000-000000000000}"/>
  <bookViews>
    <workbookView xWindow="-120" yWindow="-120" windowWidth="29040" windowHeight="15720" tabRatio="882" activeTab="2" xr2:uid="{00000000-000D-0000-FFFF-FFFF00000000}"/>
  </bookViews>
  <sheets>
    <sheet name="PORTADA " sheetId="22" r:id="rId1"/>
    <sheet name="CRITERIOS R CORRUPCION" sheetId="27" r:id="rId2"/>
    <sheet name="Mapa final" sheetId="1" r:id="rId3"/>
    <sheet name="Datos" sheetId="32" state="hidden" r:id="rId4"/>
    <sheet name="Formulas" sheetId="28" state="hidden" r:id="rId5"/>
    <sheet name="Apayo Visual " sheetId="31" r:id="rId6"/>
    <sheet name="eliminar" sheetId="30" state="hidden" r:id="rId7"/>
    <sheet name="Matriz Calor Inherente" sheetId="18" r:id="rId8"/>
    <sheet name="Matriz Calor Residual" sheetId="19" r:id="rId9"/>
    <sheet name="CAMBIOS REGISTRO" sheetId="25" state="hidden" r:id="rId10"/>
    <sheet name="SGI" sheetId="24" state="hidden" r:id="rId11"/>
    <sheet name="Intructivo" sheetId="20" r:id="rId12"/>
    <sheet name="CONTROL DE CAMBIOS REGISTRO " sheetId="23" state="hidden" r:id="rId13"/>
    <sheet name="Listas" sheetId="21" state="hidden" r:id="rId14"/>
    <sheet name="Hoja3" sheetId="29" state="hidden" r:id="rId15"/>
    <sheet name="Control de Cambios FORMATO " sheetId="26" r:id="rId16"/>
    <sheet name="Tabla probabilidad" sheetId="12" r:id="rId17"/>
    <sheet name="Tabla Impacto" sheetId="13" r:id="rId18"/>
    <sheet name="Tabla Valoración controles" sheetId="15" r:id="rId19"/>
    <sheet name="Hoja4" sheetId="34" r:id="rId20"/>
    <sheet name="Hoja2" sheetId="33" state="hidden" r:id="rId21"/>
    <sheet name="Opciones Tratamiento" sheetId="16" state="hidden" r:id="rId22"/>
    <sheet name="Hoja1" sheetId="11" state="hidden" r:id="rId23"/>
  </sheets>
  <definedNames>
    <definedName name="A_Obj1" localSheetId="9">OFFSET(#REF!,0,0,COUNTA(#REF!)-1,1)</definedName>
    <definedName name="A_Obj1" localSheetId="15">OFFSET(#REF!,0,0,COUNTA(#REF!)-1,1)</definedName>
    <definedName name="A_Obj1">OFFSET(#REF!,0,0,COUNTA(#REF!)-1,1)</definedName>
    <definedName name="A_Obj2" localSheetId="9">OFFSET(#REF!,0,0,COUNTA(#REF!)-1,1)</definedName>
    <definedName name="A_Obj2" localSheetId="15">OFFSET(#REF!,0,0,COUNTA(#REF!)-1,1)</definedName>
    <definedName name="A_Obj2">OFFSET(#REF!,0,0,COUNTA(#REF!)-1,1)</definedName>
    <definedName name="A_Obj3" localSheetId="9">OFFSET(#REF!,0,0,COUNTA(#REF!)-1,1)</definedName>
    <definedName name="A_Obj3" localSheetId="15">OFFSET(#REF!,0,0,COUNTA(#REF!)-1,1)</definedName>
    <definedName name="A_Obj3">OFFSET(#REF!,0,0,COUNTA(#REF!)-1,1)</definedName>
    <definedName name="A_Obj4" localSheetId="9">OFFSET(#REF!,0,0,COUNTA(#REF!)-1,1)</definedName>
    <definedName name="A_Obj4" localSheetId="15">OFFSET(#REF!,0,0,COUNTA(#REF!)-1,1)</definedName>
    <definedName name="A_Obj4">OFFSET(#REF!,0,0,COUNTA(#REF!)-1,1)</definedName>
    <definedName name="Acc_1" localSheetId="9">#REF!</definedName>
    <definedName name="Acc_1" localSheetId="15">#REF!</definedName>
    <definedName name="Acc_1">#REF!</definedName>
    <definedName name="Acc_2" localSheetId="9">#REF!</definedName>
    <definedName name="Acc_2" localSheetId="15">#REF!</definedName>
    <definedName name="Acc_2">#REF!</definedName>
    <definedName name="Acc_3" localSheetId="9">#REF!</definedName>
    <definedName name="Acc_3" localSheetId="15">#REF!</definedName>
    <definedName name="Acc_3">#REF!</definedName>
    <definedName name="Acc_4" localSheetId="9">#REF!</definedName>
    <definedName name="Acc_4" localSheetId="15">#REF!</definedName>
    <definedName name="Acc_4">#REF!</definedName>
    <definedName name="Acc_5" localSheetId="9">#REF!</definedName>
    <definedName name="Acc_5" localSheetId="15">#REF!</definedName>
    <definedName name="Acc_5">#REF!</definedName>
    <definedName name="Acc_6" localSheetId="9">#REF!</definedName>
    <definedName name="Acc_6" localSheetId="15">#REF!</definedName>
    <definedName name="Acc_6">#REF!</definedName>
    <definedName name="Acc_7" localSheetId="9">#REF!</definedName>
    <definedName name="Acc_7" localSheetId="15">#REF!</definedName>
    <definedName name="Acc_7">#REF!</definedName>
    <definedName name="Acc_8" localSheetId="9">#REF!</definedName>
    <definedName name="Acc_8" localSheetId="15">#REF!</definedName>
    <definedName name="Acc_8">#REF!</definedName>
    <definedName name="Acc_9" localSheetId="9">#REF!</definedName>
    <definedName name="Acc_9" localSheetId="15">#REF!</definedName>
    <definedName name="Acc_9">#REF!</definedName>
    <definedName name="_xlnm.Print_Area" localSheetId="9">'CAMBIOS REGISTRO'!$A$1:$E$23</definedName>
    <definedName name="_xlnm.Print_Area" localSheetId="15">'Control de Cambios FORMATO '!$A$1:$L$27</definedName>
    <definedName name="Causafactor3">#REF!</definedName>
    <definedName name="ControlTipo">#REF!</definedName>
    <definedName name="Criterios_Impacto">Criterios[Criterios_Impacto]</definedName>
    <definedName name="Departamentos" localSheetId="9">#REF!</definedName>
    <definedName name="Departamentos" localSheetId="15">#REF!</definedName>
    <definedName name="Departamentos">#REF!</definedName>
    <definedName name="Fuentes" localSheetId="9">#REF!</definedName>
    <definedName name="Fuentes" localSheetId="15">#REF!</definedName>
    <definedName name="Fuentes">#REF!</definedName>
    <definedName name="Indicadores" localSheetId="9">#REF!</definedName>
    <definedName name="Indicadores" localSheetId="15">#REF!</definedName>
    <definedName name="Indicadores">#REF!</definedName>
    <definedName name="No_aplica" localSheetId="15">#REF!</definedName>
    <definedName name="No_aplica">#REF!</definedName>
    <definedName name="Objetivos" localSheetId="9">OFFSET(#REF!,0,0,COUNTA(#REF!)-1,1)</definedName>
    <definedName name="Objetivos" localSheetId="15">OFFSET(#REF!,0,0,COUNTA(#REF!)-1,1)</definedName>
    <definedName name="Objetivos">OFFSET(#REF!,0,0,COUNTA(#REF!)-1,1)</definedName>
    <definedName name="OLE_LINK2" localSheetId="9">'CAMBIOS REGISTRO'!$A$1</definedName>
    <definedName name="Posibilidad">#REF!</definedName>
    <definedName name="RiesgoClase3">#REF!</definedName>
    <definedName name="SiNo">#REF!</definedName>
  </definedNames>
  <calcPr calcId="191028"/>
  <pivotCaches>
    <pivotCache cacheId="0" r:id="rId2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G18" i="1" l="1"/>
  <c r="AI18" i="1" s="1"/>
  <c r="AG17" i="1"/>
  <c r="AI17" i="1" s="1"/>
  <c r="AG15" i="1"/>
  <c r="AB17" i="1"/>
  <c r="Y17" i="1"/>
  <c r="S17" i="1"/>
  <c r="P17" i="1"/>
  <c r="Q17" i="1" s="1"/>
  <c r="AB16" i="1"/>
  <c r="Y16" i="1"/>
  <c r="AB21" i="1"/>
  <c r="Y21" i="1"/>
  <c r="AB20" i="1"/>
  <c r="Y20" i="1"/>
  <c r="AB19" i="1"/>
  <c r="Y19" i="1"/>
  <c r="AB18" i="1"/>
  <c r="Y18" i="1"/>
  <c r="S18" i="1"/>
  <c r="T18" i="1" s="1"/>
  <c r="P18" i="1"/>
  <c r="Q18" i="1" s="1"/>
  <c r="AK18" i="1" l="1"/>
  <c r="AJ18" i="1" s="1"/>
  <c r="U17" i="1"/>
  <c r="T17" i="1"/>
  <c r="AK17" i="1" s="1"/>
  <c r="AJ17" i="1" s="1"/>
  <c r="AH17" i="1"/>
  <c r="U18" i="1"/>
  <c r="AH18" i="1"/>
  <c r="AL18" i="1" l="1"/>
  <c r="AL17" i="1"/>
  <c r="Y15" i="1"/>
  <c r="AB15" i="1"/>
  <c r="N23" i="19" l="1"/>
  <c r="N24" i="19"/>
  <c r="N25" i="19"/>
  <c r="N26" i="19"/>
  <c r="N27" i="19"/>
  <c r="N28" i="19"/>
  <c r="N29" i="19"/>
  <c r="N30" i="19"/>
  <c r="N31" i="19"/>
  <c r="N32" i="19"/>
  <c r="N33" i="19"/>
  <c r="N34" i="19"/>
  <c r="N35" i="19"/>
  <c r="N36" i="19"/>
  <c r="N37" i="19"/>
  <c r="N38" i="19"/>
  <c r="N39" i="19"/>
  <c r="N40" i="19"/>
  <c r="N41" i="19"/>
  <c r="N42" i="19"/>
  <c r="N43" i="19"/>
  <c r="N44" i="19"/>
  <c r="N45" i="19"/>
  <c r="N46" i="19"/>
  <c r="N47" i="19"/>
  <c r="N48" i="19"/>
  <c r="N49" i="19"/>
  <c r="N50" i="19"/>
  <c r="N51" i="19"/>
  <c r="N52" i="19"/>
  <c r="N53" i="19"/>
  <c r="N54" i="19"/>
  <c r="N55" i="19"/>
  <c r="N56" i="19"/>
  <c r="N57" i="19"/>
  <c r="N58" i="19"/>
  <c r="N59" i="19"/>
  <c r="N60" i="19"/>
  <c r="N61" i="19"/>
  <c r="P15" i="1" l="1"/>
  <c r="Q15" i="1" s="1"/>
  <c r="S15" i="1"/>
  <c r="AE51" i="19" l="1"/>
  <c r="U15" i="1" l="1"/>
  <c r="AN61" i="19"/>
  <c r="AM61" i="19"/>
  <c r="AL61" i="19"/>
  <c r="AK61" i="19"/>
  <c r="AJ61" i="19"/>
  <c r="AI61" i="19"/>
  <c r="AH61" i="19"/>
  <c r="AG61" i="19"/>
  <c r="AF61" i="19"/>
  <c r="AE61" i="19"/>
  <c r="AD61" i="19"/>
  <c r="AC61" i="19"/>
  <c r="AB61" i="19"/>
  <c r="AA61" i="19"/>
  <c r="Z61" i="19"/>
  <c r="Y61" i="19"/>
  <c r="X61" i="19"/>
  <c r="W61" i="19"/>
  <c r="V61" i="19"/>
  <c r="U61" i="19"/>
  <c r="T61" i="19"/>
  <c r="S61" i="19"/>
  <c r="R61" i="19"/>
  <c r="Q61" i="19"/>
  <c r="P61" i="19"/>
  <c r="O61" i="19"/>
  <c r="M61" i="19"/>
  <c r="L61" i="19"/>
  <c r="K61" i="19"/>
  <c r="AN60" i="19"/>
  <c r="AM60" i="19"/>
  <c r="AL60" i="19"/>
  <c r="AK60" i="19"/>
  <c r="AJ60" i="19"/>
  <c r="AI60" i="19"/>
  <c r="AH60" i="19"/>
  <c r="AG60" i="19"/>
  <c r="AF60" i="19"/>
  <c r="AE60" i="19"/>
  <c r="AD60" i="19"/>
  <c r="AC60" i="19"/>
  <c r="AB60" i="19"/>
  <c r="AA60" i="19"/>
  <c r="Z60" i="19"/>
  <c r="Y60" i="19"/>
  <c r="X60" i="19"/>
  <c r="W60" i="19"/>
  <c r="V60" i="19"/>
  <c r="U60" i="19"/>
  <c r="T60" i="19"/>
  <c r="S60" i="19"/>
  <c r="R60" i="19"/>
  <c r="Q60" i="19"/>
  <c r="P60" i="19"/>
  <c r="O60" i="19"/>
  <c r="M60" i="19"/>
  <c r="L60" i="19"/>
  <c r="K60" i="19"/>
  <c r="AN59" i="19"/>
  <c r="AM59" i="19"/>
  <c r="AL59" i="19"/>
  <c r="AK59" i="19"/>
  <c r="AJ59" i="19"/>
  <c r="AI59" i="19"/>
  <c r="AH59" i="19"/>
  <c r="AG59" i="19"/>
  <c r="AF59" i="19"/>
  <c r="AE59" i="19"/>
  <c r="AD59" i="19"/>
  <c r="AC59" i="19"/>
  <c r="AB59" i="19"/>
  <c r="AA59" i="19"/>
  <c r="Z59" i="19"/>
  <c r="Y59" i="19"/>
  <c r="X59" i="19"/>
  <c r="W59" i="19"/>
  <c r="V59" i="19"/>
  <c r="U59" i="19"/>
  <c r="T59" i="19"/>
  <c r="S59" i="19"/>
  <c r="R59" i="19"/>
  <c r="Q59" i="19"/>
  <c r="P59" i="19"/>
  <c r="O59" i="19"/>
  <c r="M59" i="19"/>
  <c r="L59" i="19"/>
  <c r="K59" i="19"/>
  <c r="AN58" i="19"/>
  <c r="AM58" i="19"/>
  <c r="AL58" i="19"/>
  <c r="AK58" i="19"/>
  <c r="AJ58" i="19"/>
  <c r="AI58" i="19"/>
  <c r="AH58" i="19"/>
  <c r="AG58" i="19"/>
  <c r="AF58" i="19"/>
  <c r="AE58" i="19"/>
  <c r="AD58" i="19"/>
  <c r="AC58" i="19"/>
  <c r="AB58" i="19"/>
  <c r="AA58" i="19"/>
  <c r="Z58" i="19"/>
  <c r="Y58" i="19"/>
  <c r="X58" i="19"/>
  <c r="W58" i="19"/>
  <c r="V58" i="19"/>
  <c r="U58" i="19"/>
  <c r="T58" i="19"/>
  <c r="S58" i="19"/>
  <c r="R58" i="19"/>
  <c r="Q58" i="19"/>
  <c r="P58" i="19"/>
  <c r="O58" i="19"/>
  <c r="M58" i="19"/>
  <c r="L58" i="19"/>
  <c r="K58" i="19"/>
  <c r="AN57" i="19"/>
  <c r="AM57" i="19"/>
  <c r="AL57" i="19"/>
  <c r="AK57" i="19"/>
  <c r="AJ57" i="19"/>
  <c r="AI57" i="19"/>
  <c r="AH57" i="19"/>
  <c r="AG57" i="19"/>
  <c r="AF57" i="19"/>
  <c r="AE57" i="19"/>
  <c r="AD57" i="19"/>
  <c r="AC57" i="19"/>
  <c r="AB57" i="19"/>
  <c r="AA57" i="19"/>
  <c r="Z57" i="19"/>
  <c r="Y57" i="19"/>
  <c r="X57" i="19"/>
  <c r="W57" i="19"/>
  <c r="V57" i="19"/>
  <c r="U57" i="19"/>
  <c r="T57" i="19"/>
  <c r="S57" i="19"/>
  <c r="R57" i="19"/>
  <c r="Q57" i="19"/>
  <c r="P57" i="19"/>
  <c r="O57" i="19"/>
  <c r="M57" i="19"/>
  <c r="L57" i="19"/>
  <c r="K57" i="19"/>
  <c r="AN56" i="19"/>
  <c r="AM56" i="19"/>
  <c r="AL56" i="19"/>
  <c r="AK56" i="19"/>
  <c r="AJ56" i="19"/>
  <c r="AI56" i="19"/>
  <c r="AH56" i="19"/>
  <c r="AG56" i="19"/>
  <c r="AF56" i="19"/>
  <c r="AE56" i="19"/>
  <c r="AD56" i="19"/>
  <c r="AC56" i="19"/>
  <c r="AB56" i="19"/>
  <c r="AA56" i="19"/>
  <c r="Z56" i="19"/>
  <c r="Y56" i="19"/>
  <c r="X56" i="19"/>
  <c r="W56" i="19"/>
  <c r="V56" i="19"/>
  <c r="U56" i="19"/>
  <c r="T56" i="19"/>
  <c r="S56" i="19"/>
  <c r="R56" i="19"/>
  <c r="Q56" i="19"/>
  <c r="P56" i="19"/>
  <c r="O56" i="19"/>
  <c r="M56" i="19"/>
  <c r="L56" i="19"/>
  <c r="K56" i="19"/>
  <c r="AN55" i="19"/>
  <c r="AM55" i="19"/>
  <c r="AL55" i="19"/>
  <c r="AK55" i="19"/>
  <c r="AJ55" i="19"/>
  <c r="AI55" i="19"/>
  <c r="AH55" i="19"/>
  <c r="AG55" i="19"/>
  <c r="AF55" i="19"/>
  <c r="AE55" i="19"/>
  <c r="AD55" i="19"/>
  <c r="AC55" i="19"/>
  <c r="AB55" i="19"/>
  <c r="AA55" i="19"/>
  <c r="Z55" i="19"/>
  <c r="Y55" i="19"/>
  <c r="X55" i="19"/>
  <c r="W55" i="19"/>
  <c r="V55" i="19"/>
  <c r="U55" i="19"/>
  <c r="T55" i="19"/>
  <c r="S55" i="19"/>
  <c r="R55" i="19"/>
  <c r="Q55" i="19"/>
  <c r="P55" i="19"/>
  <c r="O55" i="19"/>
  <c r="M55" i="19"/>
  <c r="L55" i="19"/>
  <c r="K55" i="19"/>
  <c r="AN54" i="19"/>
  <c r="AM54" i="19"/>
  <c r="AL54" i="19"/>
  <c r="AK54" i="19"/>
  <c r="AJ54" i="19"/>
  <c r="AI54" i="19"/>
  <c r="AH54" i="19"/>
  <c r="AG54" i="19"/>
  <c r="AF54" i="19"/>
  <c r="AE54" i="19"/>
  <c r="AD54" i="19"/>
  <c r="AC54" i="19"/>
  <c r="AB54" i="19"/>
  <c r="AA54" i="19"/>
  <c r="Z54" i="19"/>
  <c r="Y54" i="19"/>
  <c r="X54" i="19"/>
  <c r="W54" i="19"/>
  <c r="V54" i="19"/>
  <c r="U54" i="19"/>
  <c r="T54" i="19"/>
  <c r="S54" i="19"/>
  <c r="R54" i="19"/>
  <c r="Q54" i="19"/>
  <c r="P54" i="19"/>
  <c r="O54" i="19"/>
  <c r="M54" i="19"/>
  <c r="L54" i="19"/>
  <c r="K54" i="19"/>
  <c r="AN53" i="19"/>
  <c r="AM53" i="19"/>
  <c r="AL53" i="19"/>
  <c r="AK53" i="19"/>
  <c r="AH53" i="19"/>
  <c r="AG53" i="19"/>
  <c r="AF53" i="19"/>
  <c r="AE53" i="19"/>
  <c r="AB53" i="19"/>
  <c r="AA53" i="19"/>
  <c r="Z53" i="19"/>
  <c r="Y53" i="19"/>
  <c r="V53" i="19"/>
  <c r="U53" i="19"/>
  <c r="T53" i="19"/>
  <c r="S53" i="19"/>
  <c r="P53" i="19"/>
  <c r="O53" i="19"/>
  <c r="M53" i="19"/>
  <c r="AN51" i="19"/>
  <c r="AM51" i="19"/>
  <c r="AL51" i="19"/>
  <c r="AK51" i="19"/>
  <c r="AJ51" i="19"/>
  <c r="AI51" i="19"/>
  <c r="AH51" i="19"/>
  <c r="AG51" i="19"/>
  <c r="AF51" i="19"/>
  <c r="AD51" i="19"/>
  <c r="AC51" i="19"/>
  <c r="AB51" i="19"/>
  <c r="AA51" i="19"/>
  <c r="Z51" i="19"/>
  <c r="Y51" i="19"/>
  <c r="X51" i="19"/>
  <c r="W51" i="19"/>
  <c r="V51" i="19"/>
  <c r="U51" i="19"/>
  <c r="T51" i="19"/>
  <c r="S51" i="19"/>
  <c r="R51" i="19"/>
  <c r="Q51" i="19"/>
  <c r="P51" i="19"/>
  <c r="O51" i="19"/>
  <c r="M51" i="19"/>
  <c r="L51" i="19"/>
  <c r="K51" i="19"/>
  <c r="AN50" i="19"/>
  <c r="AM50" i="19"/>
  <c r="AL50" i="19"/>
  <c r="AK50" i="19"/>
  <c r="AJ50" i="19"/>
  <c r="AI50" i="19"/>
  <c r="AH50" i="19"/>
  <c r="AG50" i="19"/>
  <c r="AF50" i="19"/>
  <c r="AE50" i="19"/>
  <c r="AD50" i="19"/>
  <c r="AC50" i="19"/>
  <c r="AB50" i="19"/>
  <c r="AA50" i="19"/>
  <c r="Z50" i="19"/>
  <c r="Y50" i="19"/>
  <c r="X50" i="19"/>
  <c r="W50" i="19"/>
  <c r="V50" i="19"/>
  <c r="U50" i="19"/>
  <c r="T50" i="19"/>
  <c r="S50" i="19"/>
  <c r="R50" i="19"/>
  <c r="Q50" i="19"/>
  <c r="P50" i="19"/>
  <c r="O50" i="19"/>
  <c r="M50" i="19"/>
  <c r="L50" i="19"/>
  <c r="K50" i="19"/>
  <c r="AN49" i="19"/>
  <c r="AM49" i="19"/>
  <c r="AL49" i="19"/>
  <c r="AK49" i="19"/>
  <c r="AJ49" i="19"/>
  <c r="AI49" i="19"/>
  <c r="AH49" i="19"/>
  <c r="AG49" i="19"/>
  <c r="AF49" i="19"/>
  <c r="AE49" i="19"/>
  <c r="AD49" i="19"/>
  <c r="AC49" i="19"/>
  <c r="AB49" i="19"/>
  <c r="AA49" i="19"/>
  <c r="Z49" i="19"/>
  <c r="Y49" i="19"/>
  <c r="X49" i="19"/>
  <c r="W49" i="19"/>
  <c r="V49" i="19"/>
  <c r="U49" i="19"/>
  <c r="T49" i="19"/>
  <c r="S49" i="19"/>
  <c r="R49" i="19"/>
  <c r="Q49" i="19"/>
  <c r="P49" i="19"/>
  <c r="O49" i="19"/>
  <c r="M49" i="19"/>
  <c r="L49" i="19"/>
  <c r="K49" i="19"/>
  <c r="AN48" i="19"/>
  <c r="AM48" i="19"/>
  <c r="AL48" i="19"/>
  <c r="AK48" i="19"/>
  <c r="AJ48" i="19"/>
  <c r="AI48" i="19"/>
  <c r="AH48" i="19"/>
  <c r="AG48" i="19"/>
  <c r="AF48" i="19"/>
  <c r="AE48" i="19"/>
  <c r="AD48" i="19"/>
  <c r="AC48" i="19"/>
  <c r="AB48" i="19"/>
  <c r="AA48" i="19"/>
  <c r="Z48" i="19"/>
  <c r="Y48" i="19"/>
  <c r="X48" i="19"/>
  <c r="W48" i="19"/>
  <c r="V48" i="19"/>
  <c r="U48" i="19"/>
  <c r="T48" i="19"/>
  <c r="S48" i="19"/>
  <c r="R48" i="19"/>
  <c r="Q48" i="19"/>
  <c r="P48" i="19"/>
  <c r="O48" i="19"/>
  <c r="M48" i="19"/>
  <c r="L48" i="19"/>
  <c r="K48" i="19"/>
  <c r="AN47" i="19"/>
  <c r="AM47" i="19"/>
  <c r="AL47" i="19"/>
  <c r="AK47" i="19"/>
  <c r="AJ47" i="19"/>
  <c r="AI47" i="19"/>
  <c r="AH47" i="19"/>
  <c r="AG47" i="19"/>
  <c r="AF47" i="19"/>
  <c r="AE47" i="19"/>
  <c r="AD47" i="19"/>
  <c r="AC47" i="19"/>
  <c r="AB47" i="19"/>
  <c r="AA47" i="19"/>
  <c r="Z47" i="19"/>
  <c r="Y47" i="19"/>
  <c r="X47" i="19"/>
  <c r="W47" i="19"/>
  <c r="V47" i="19"/>
  <c r="U47" i="19"/>
  <c r="T47" i="19"/>
  <c r="S47" i="19"/>
  <c r="R47" i="19"/>
  <c r="Q47" i="19"/>
  <c r="P47" i="19"/>
  <c r="O47" i="19"/>
  <c r="M47" i="19"/>
  <c r="L47" i="19"/>
  <c r="K47" i="19"/>
  <c r="AN46" i="19"/>
  <c r="AM46" i="19"/>
  <c r="AL46" i="19"/>
  <c r="AK46" i="19"/>
  <c r="AJ46" i="19"/>
  <c r="AI46" i="19"/>
  <c r="AH46" i="19"/>
  <c r="AG46" i="19"/>
  <c r="AF46" i="19"/>
  <c r="AE46" i="19"/>
  <c r="AD46" i="19"/>
  <c r="AC46" i="19"/>
  <c r="AB46" i="19"/>
  <c r="AA46" i="19"/>
  <c r="Z46" i="19"/>
  <c r="Y46" i="19"/>
  <c r="X46" i="19"/>
  <c r="W46" i="19"/>
  <c r="V46" i="19"/>
  <c r="U46" i="19"/>
  <c r="T46" i="19"/>
  <c r="S46" i="19"/>
  <c r="R46" i="19"/>
  <c r="Q46" i="19"/>
  <c r="P46" i="19"/>
  <c r="O46" i="19"/>
  <c r="M46" i="19"/>
  <c r="L46" i="19"/>
  <c r="K46" i="19"/>
  <c r="AN45" i="19"/>
  <c r="AM45" i="19"/>
  <c r="AL45" i="19"/>
  <c r="AK45" i="19"/>
  <c r="AJ45" i="19"/>
  <c r="AI45" i="19"/>
  <c r="AH45" i="19"/>
  <c r="AG45" i="19"/>
  <c r="AF45" i="19"/>
  <c r="AE45" i="19"/>
  <c r="AD45" i="19"/>
  <c r="AC45" i="19"/>
  <c r="AB45" i="19"/>
  <c r="AA45" i="19"/>
  <c r="Z45" i="19"/>
  <c r="Y45" i="19"/>
  <c r="X45" i="19"/>
  <c r="W45" i="19"/>
  <c r="V45" i="19"/>
  <c r="U45" i="19"/>
  <c r="T45" i="19"/>
  <c r="S45" i="19"/>
  <c r="R45" i="19"/>
  <c r="Q45" i="19"/>
  <c r="P45" i="19"/>
  <c r="O45" i="19"/>
  <c r="M45" i="19"/>
  <c r="L45" i="19"/>
  <c r="K45" i="19"/>
  <c r="AN44" i="19"/>
  <c r="AM44" i="19"/>
  <c r="AL44" i="19"/>
  <c r="AK44" i="19"/>
  <c r="AJ44" i="19"/>
  <c r="AI44" i="19"/>
  <c r="AH44" i="19"/>
  <c r="AG44" i="19"/>
  <c r="AF44" i="19"/>
  <c r="AE44" i="19"/>
  <c r="AD44" i="19"/>
  <c r="AC44" i="19"/>
  <c r="AB44" i="19"/>
  <c r="AA44" i="19"/>
  <c r="Z44" i="19"/>
  <c r="Y44" i="19"/>
  <c r="X44" i="19"/>
  <c r="W44" i="19"/>
  <c r="V44" i="19"/>
  <c r="U44" i="19"/>
  <c r="T44" i="19"/>
  <c r="S44" i="19"/>
  <c r="R44" i="19"/>
  <c r="Q44" i="19"/>
  <c r="P44" i="19"/>
  <c r="O44" i="19"/>
  <c r="M44" i="19"/>
  <c r="L44" i="19"/>
  <c r="K44" i="19"/>
  <c r="AN43" i="19"/>
  <c r="AM43" i="19"/>
  <c r="AL43" i="19"/>
  <c r="AK43" i="19"/>
  <c r="AH43" i="19"/>
  <c r="AG43" i="19"/>
  <c r="AF43" i="19"/>
  <c r="AE43" i="19"/>
  <c r="AB43" i="19"/>
  <c r="AA43" i="19"/>
  <c r="Z43" i="19"/>
  <c r="Y43" i="19"/>
  <c r="V43" i="19"/>
  <c r="U43" i="19"/>
  <c r="T43" i="19"/>
  <c r="S43" i="19"/>
  <c r="P43" i="19"/>
  <c r="O43" i="19"/>
  <c r="M43" i="19"/>
  <c r="AM41" i="19"/>
  <c r="AL41" i="19"/>
  <c r="AK41" i="19"/>
  <c r="AJ41" i="19"/>
  <c r="AI41" i="19"/>
  <c r="AH41" i="19"/>
  <c r="AG41" i="19"/>
  <c r="AF41" i="19"/>
  <c r="AE41" i="19"/>
  <c r="AD41" i="19"/>
  <c r="AC41" i="19"/>
  <c r="AB41" i="19"/>
  <c r="AA41" i="19"/>
  <c r="Z41" i="19"/>
  <c r="Y41" i="19"/>
  <c r="X41" i="19"/>
  <c r="W41" i="19"/>
  <c r="V41" i="19"/>
  <c r="U41" i="19"/>
  <c r="T41" i="19"/>
  <c r="S41" i="19"/>
  <c r="R41" i="19"/>
  <c r="Q41" i="19"/>
  <c r="P41" i="19"/>
  <c r="O41" i="19"/>
  <c r="M41" i="19"/>
  <c r="L41" i="19"/>
  <c r="K41" i="19"/>
  <c r="AN40" i="19"/>
  <c r="AM40" i="19"/>
  <c r="AL40" i="19"/>
  <c r="AK40" i="19"/>
  <c r="AJ40" i="19"/>
  <c r="AI40" i="19"/>
  <c r="AH40" i="19"/>
  <c r="AG40" i="19"/>
  <c r="AF40" i="19"/>
  <c r="AE40" i="19"/>
  <c r="AD40" i="19"/>
  <c r="AC40" i="19"/>
  <c r="AB40" i="19"/>
  <c r="AA40" i="19"/>
  <c r="Z40" i="19"/>
  <c r="Y40" i="19"/>
  <c r="X40" i="19"/>
  <c r="W40" i="19"/>
  <c r="V40" i="19"/>
  <c r="U40" i="19"/>
  <c r="T40" i="19"/>
  <c r="S40" i="19"/>
  <c r="R40" i="19"/>
  <c r="Q40" i="19"/>
  <c r="P40" i="19"/>
  <c r="O40" i="19"/>
  <c r="M40" i="19"/>
  <c r="L40" i="19"/>
  <c r="K40" i="19"/>
  <c r="AN39" i="19"/>
  <c r="AM39" i="19"/>
  <c r="AL39" i="19"/>
  <c r="AK39" i="19"/>
  <c r="AJ39" i="19"/>
  <c r="AI39" i="19"/>
  <c r="AH39" i="19"/>
  <c r="AG39" i="19"/>
  <c r="AF39" i="19"/>
  <c r="AE39" i="19"/>
  <c r="AD39" i="19"/>
  <c r="AC39" i="19"/>
  <c r="AB39" i="19"/>
  <c r="AA39" i="19"/>
  <c r="Z39" i="19"/>
  <c r="Y39" i="19"/>
  <c r="X39" i="19"/>
  <c r="W39" i="19"/>
  <c r="V39" i="19"/>
  <c r="U39" i="19"/>
  <c r="T39" i="19"/>
  <c r="S39" i="19"/>
  <c r="R39" i="19"/>
  <c r="Q39" i="19"/>
  <c r="P39" i="19"/>
  <c r="O39" i="19"/>
  <c r="M39" i="19"/>
  <c r="L39" i="19"/>
  <c r="K39" i="19"/>
  <c r="AN38" i="19"/>
  <c r="AM38" i="19"/>
  <c r="AL38" i="19"/>
  <c r="AK38" i="19"/>
  <c r="AJ38" i="19"/>
  <c r="AI38" i="19"/>
  <c r="AH38" i="19"/>
  <c r="AG38" i="19"/>
  <c r="AF38" i="19"/>
  <c r="AE38" i="19"/>
  <c r="AD38" i="19"/>
  <c r="AC38" i="19"/>
  <c r="AB38" i="19"/>
  <c r="AA38" i="19"/>
  <c r="Z38" i="19"/>
  <c r="Y38" i="19"/>
  <c r="X38" i="19"/>
  <c r="W38" i="19"/>
  <c r="V38" i="19"/>
  <c r="U38" i="19"/>
  <c r="T38" i="19"/>
  <c r="S38" i="19"/>
  <c r="R38" i="19"/>
  <c r="Q38" i="19"/>
  <c r="P38" i="19"/>
  <c r="O38" i="19"/>
  <c r="M38" i="19"/>
  <c r="L38" i="19"/>
  <c r="K38" i="19"/>
  <c r="AN37" i="19"/>
  <c r="AM37" i="19"/>
  <c r="AL37" i="19"/>
  <c r="AK37" i="19"/>
  <c r="AJ37" i="19"/>
  <c r="AI37" i="19"/>
  <c r="AH37" i="19"/>
  <c r="AG37" i="19"/>
  <c r="AF37" i="19"/>
  <c r="AE37" i="19"/>
  <c r="AD37" i="19"/>
  <c r="AC37" i="19"/>
  <c r="AB37" i="19"/>
  <c r="AA37" i="19"/>
  <c r="Z37" i="19"/>
  <c r="Y37" i="19"/>
  <c r="X37" i="19"/>
  <c r="W37" i="19"/>
  <c r="V37" i="19"/>
  <c r="U37" i="19"/>
  <c r="T37" i="19"/>
  <c r="S37" i="19"/>
  <c r="R37" i="19"/>
  <c r="Q37" i="19"/>
  <c r="P37" i="19"/>
  <c r="O37" i="19"/>
  <c r="M37" i="19"/>
  <c r="L37" i="19"/>
  <c r="K37" i="19"/>
  <c r="AN36" i="19"/>
  <c r="AM36" i="19"/>
  <c r="AL36" i="19"/>
  <c r="AK36" i="19"/>
  <c r="AJ36" i="19"/>
  <c r="AI36" i="19"/>
  <c r="AH36" i="19"/>
  <c r="AG36" i="19"/>
  <c r="AF36" i="19"/>
  <c r="AE36" i="19"/>
  <c r="AD36" i="19"/>
  <c r="AC36" i="19"/>
  <c r="AB36" i="19"/>
  <c r="AA36" i="19"/>
  <c r="Z36" i="19"/>
  <c r="Y36" i="19"/>
  <c r="X36" i="19"/>
  <c r="W36" i="19"/>
  <c r="V36" i="19"/>
  <c r="U36" i="19"/>
  <c r="T36" i="19"/>
  <c r="S36" i="19"/>
  <c r="R36" i="19"/>
  <c r="Q36" i="19"/>
  <c r="P36" i="19"/>
  <c r="O36" i="19"/>
  <c r="M36" i="19"/>
  <c r="L36" i="19"/>
  <c r="K36" i="19"/>
  <c r="AN35" i="19"/>
  <c r="AM35" i="19"/>
  <c r="AL35" i="19"/>
  <c r="AK35" i="19"/>
  <c r="AJ35" i="19"/>
  <c r="AI35" i="19"/>
  <c r="AH35" i="19"/>
  <c r="AG35" i="19"/>
  <c r="AF35" i="19"/>
  <c r="AE35" i="19"/>
  <c r="AD35" i="19"/>
  <c r="AC35" i="19"/>
  <c r="AB35" i="19"/>
  <c r="AA35" i="19"/>
  <c r="Z35" i="19"/>
  <c r="Y35" i="19"/>
  <c r="X35" i="19"/>
  <c r="W35" i="19"/>
  <c r="V35" i="19"/>
  <c r="U35" i="19"/>
  <c r="T35" i="19"/>
  <c r="S35" i="19"/>
  <c r="R35" i="19"/>
  <c r="Q35" i="19"/>
  <c r="P35" i="19"/>
  <c r="O35" i="19"/>
  <c r="M35" i="19"/>
  <c r="L35" i="19"/>
  <c r="K35" i="19"/>
  <c r="AN34" i="19"/>
  <c r="AM34" i="19"/>
  <c r="AL34" i="19"/>
  <c r="AK34" i="19"/>
  <c r="AJ34" i="19"/>
  <c r="AI34" i="19"/>
  <c r="AH34" i="19"/>
  <c r="AG34" i="19"/>
  <c r="AF34" i="19"/>
  <c r="AE34" i="19"/>
  <c r="AD34" i="19"/>
  <c r="AC34" i="19"/>
  <c r="AB34" i="19"/>
  <c r="AA34" i="19"/>
  <c r="Z34" i="19"/>
  <c r="Y34" i="19"/>
  <c r="X34" i="19"/>
  <c r="W34" i="19"/>
  <c r="V34" i="19"/>
  <c r="U34" i="19"/>
  <c r="T34" i="19"/>
  <c r="S34" i="19"/>
  <c r="R34" i="19"/>
  <c r="Q34" i="19"/>
  <c r="P34" i="19"/>
  <c r="O34" i="19"/>
  <c r="M34" i="19"/>
  <c r="L34" i="19"/>
  <c r="K34" i="19"/>
  <c r="AN33" i="19"/>
  <c r="AM33" i="19"/>
  <c r="AL33" i="19"/>
  <c r="AK33" i="19"/>
  <c r="AH33" i="19"/>
  <c r="AG33" i="19"/>
  <c r="AF33" i="19"/>
  <c r="AE33" i="19"/>
  <c r="AB33" i="19"/>
  <c r="AA33" i="19"/>
  <c r="Z33" i="19"/>
  <c r="Y33" i="19"/>
  <c r="V33" i="19"/>
  <c r="U33" i="19"/>
  <c r="T33" i="19"/>
  <c r="S33" i="19"/>
  <c r="P33" i="19"/>
  <c r="O33" i="19"/>
  <c r="M33" i="19"/>
  <c r="AM31" i="19"/>
  <c r="AL31" i="19"/>
  <c r="AK31" i="19"/>
  <c r="AJ31" i="19"/>
  <c r="AI31" i="19"/>
  <c r="AH31" i="19"/>
  <c r="AG31" i="19"/>
  <c r="AF31" i="19"/>
  <c r="AE31" i="19"/>
  <c r="AD31" i="19"/>
  <c r="AC31" i="19"/>
  <c r="AB31" i="19"/>
  <c r="AA31" i="19"/>
  <c r="Z31" i="19"/>
  <c r="Y31" i="19"/>
  <c r="X31" i="19"/>
  <c r="W31" i="19"/>
  <c r="V31" i="19"/>
  <c r="U31" i="19"/>
  <c r="T31" i="19"/>
  <c r="S31" i="19"/>
  <c r="R31" i="19"/>
  <c r="Q31" i="19"/>
  <c r="P31" i="19"/>
  <c r="O31" i="19"/>
  <c r="M31" i="19"/>
  <c r="L31" i="19"/>
  <c r="K31" i="19"/>
  <c r="AN30" i="19"/>
  <c r="AM30" i="19"/>
  <c r="AL30" i="19"/>
  <c r="AK30" i="19"/>
  <c r="AJ30" i="19"/>
  <c r="AI30" i="19"/>
  <c r="AH30" i="19"/>
  <c r="AG30" i="19"/>
  <c r="AF30" i="19"/>
  <c r="AE30" i="19"/>
  <c r="AD30" i="19"/>
  <c r="AC30" i="19"/>
  <c r="AB30" i="19"/>
  <c r="AA30" i="19"/>
  <c r="Z30" i="19"/>
  <c r="Y30" i="19"/>
  <c r="X30" i="19"/>
  <c r="W30" i="19"/>
  <c r="V30" i="19"/>
  <c r="U30" i="19"/>
  <c r="T30" i="19"/>
  <c r="S30" i="19"/>
  <c r="R30" i="19"/>
  <c r="Q30" i="19"/>
  <c r="P30" i="19"/>
  <c r="O30" i="19"/>
  <c r="M30" i="19"/>
  <c r="L30" i="19"/>
  <c r="K30" i="19"/>
  <c r="AN29" i="19"/>
  <c r="AM29" i="19"/>
  <c r="AL29" i="19"/>
  <c r="AK29" i="19"/>
  <c r="AJ29" i="19"/>
  <c r="AI29" i="19"/>
  <c r="AH29" i="19"/>
  <c r="AG29" i="19"/>
  <c r="AF29" i="19"/>
  <c r="AE29" i="19"/>
  <c r="AD29" i="19"/>
  <c r="AC29" i="19"/>
  <c r="AB29" i="19"/>
  <c r="AA29" i="19"/>
  <c r="Z29" i="19"/>
  <c r="Y29" i="19"/>
  <c r="X29" i="19"/>
  <c r="W29" i="19"/>
  <c r="V29" i="19"/>
  <c r="U29" i="19"/>
  <c r="T29" i="19"/>
  <c r="S29" i="19"/>
  <c r="R29" i="19"/>
  <c r="Q29" i="19"/>
  <c r="P29" i="19"/>
  <c r="O29" i="19"/>
  <c r="M29" i="19"/>
  <c r="L29" i="19"/>
  <c r="K29" i="19"/>
  <c r="AN28" i="19"/>
  <c r="AM28" i="19"/>
  <c r="AL28" i="19"/>
  <c r="AK28" i="19"/>
  <c r="AJ28" i="19"/>
  <c r="AI28" i="19"/>
  <c r="AH28" i="19"/>
  <c r="AG28" i="19"/>
  <c r="AF28" i="19"/>
  <c r="AE28" i="19"/>
  <c r="AD28" i="19"/>
  <c r="AC28" i="19"/>
  <c r="AB28" i="19"/>
  <c r="AA28" i="19"/>
  <c r="Z28" i="19"/>
  <c r="Y28" i="19"/>
  <c r="X28" i="19"/>
  <c r="W28" i="19"/>
  <c r="V28" i="19"/>
  <c r="U28" i="19"/>
  <c r="T28" i="19"/>
  <c r="S28" i="19"/>
  <c r="R28" i="19"/>
  <c r="Q28" i="19"/>
  <c r="P28" i="19"/>
  <c r="O28" i="19"/>
  <c r="M28" i="19"/>
  <c r="L28" i="19"/>
  <c r="K28" i="19"/>
  <c r="AN27" i="19"/>
  <c r="AM27" i="19"/>
  <c r="AL27" i="19"/>
  <c r="AK27" i="19"/>
  <c r="AJ27" i="19"/>
  <c r="AI27" i="19"/>
  <c r="AH27" i="19"/>
  <c r="AG27" i="19"/>
  <c r="AF27" i="19"/>
  <c r="AE27" i="19"/>
  <c r="AD27" i="19"/>
  <c r="AC27" i="19"/>
  <c r="AB27" i="19"/>
  <c r="AA27" i="19"/>
  <c r="Z27" i="19"/>
  <c r="Y27" i="19"/>
  <c r="X27" i="19"/>
  <c r="W27" i="19"/>
  <c r="V27" i="19"/>
  <c r="U27" i="19"/>
  <c r="T27" i="19"/>
  <c r="S27" i="19"/>
  <c r="R27" i="19"/>
  <c r="Q27" i="19"/>
  <c r="P27" i="19"/>
  <c r="O27" i="19"/>
  <c r="M27" i="19"/>
  <c r="L27" i="19"/>
  <c r="K27" i="19"/>
  <c r="AN26" i="19"/>
  <c r="AM26" i="19"/>
  <c r="AL26" i="19"/>
  <c r="AK26" i="19"/>
  <c r="AJ26" i="19"/>
  <c r="AI26" i="19"/>
  <c r="AH26" i="19"/>
  <c r="AG26" i="19"/>
  <c r="AF26" i="19"/>
  <c r="AE26" i="19"/>
  <c r="AD26" i="19"/>
  <c r="AC26" i="19"/>
  <c r="AB26" i="19"/>
  <c r="AA26" i="19"/>
  <c r="Z26" i="19"/>
  <c r="Y26" i="19"/>
  <c r="X26" i="19"/>
  <c r="W26" i="19"/>
  <c r="V26" i="19"/>
  <c r="U26" i="19"/>
  <c r="T26" i="19"/>
  <c r="S26" i="19"/>
  <c r="R26" i="19"/>
  <c r="Q26" i="19"/>
  <c r="P26" i="19"/>
  <c r="O26" i="19"/>
  <c r="M26" i="19"/>
  <c r="L26" i="19"/>
  <c r="K26" i="19"/>
  <c r="AN25" i="19"/>
  <c r="AM25" i="19"/>
  <c r="AL25" i="19"/>
  <c r="AK25" i="19"/>
  <c r="AJ25" i="19"/>
  <c r="AI25" i="19"/>
  <c r="AH25" i="19"/>
  <c r="AG25" i="19"/>
  <c r="AF25" i="19"/>
  <c r="AE25" i="19"/>
  <c r="AD25" i="19"/>
  <c r="AC25" i="19"/>
  <c r="AB25" i="19"/>
  <c r="AA25" i="19"/>
  <c r="Z25" i="19"/>
  <c r="Y25" i="19"/>
  <c r="X25" i="19"/>
  <c r="W25" i="19"/>
  <c r="V25" i="19"/>
  <c r="U25" i="19"/>
  <c r="T25" i="19"/>
  <c r="S25" i="19"/>
  <c r="R25" i="19"/>
  <c r="Q25" i="19"/>
  <c r="P25" i="19"/>
  <c r="O25" i="19"/>
  <c r="M25" i="19"/>
  <c r="L25" i="19"/>
  <c r="K25" i="19"/>
  <c r="AN24" i="19"/>
  <c r="AM24" i="19"/>
  <c r="AL24" i="19"/>
  <c r="AK24" i="19"/>
  <c r="AJ24" i="19"/>
  <c r="AI24" i="19"/>
  <c r="AH24" i="19"/>
  <c r="AG24" i="19"/>
  <c r="AF24" i="19"/>
  <c r="AE24" i="19"/>
  <c r="AD24" i="19"/>
  <c r="AC24" i="19"/>
  <c r="AB24" i="19"/>
  <c r="AA24" i="19"/>
  <c r="Z24" i="19"/>
  <c r="Y24" i="19"/>
  <c r="X24" i="19"/>
  <c r="W24" i="19"/>
  <c r="V24" i="19"/>
  <c r="U24" i="19"/>
  <c r="T24" i="19"/>
  <c r="S24" i="19"/>
  <c r="R24" i="19"/>
  <c r="Q24" i="19"/>
  <c r="P24" i="19"/>
  <c r="O24" i="19"/>
  <c r="M24" i="19"/>
  <c r="L24" i="19"/>
  <c r="K24" i="19"/>
  <c r="AN23" i="19"/>
  <c r="AM23" i="19"/>
  <c r="AL23" i="19"/>
  <c r="AK23" i="19"/>
  <c r="AH23" i="19"/>
  <c r="AG23" i="19"/>
  <c r="AF23" i="19"/>
  <c r="AE23" i="19"/>
  <c r="AB23" i="19"/>
  <c r="AA23" i="19"/>
  <c r="Z23" i="19"/>
  <c r="Y23" i="19"/>
  <c r="V23" i="19"/>
  <c r="U23" i="19"/>
  <c r="T23" i="19"/>
  <c r="S23" i="19"/>
  <c r="P23" i="19"/>
  <c r="O23" i="19"/>
  <c r="M23" i="19"/>
  <c r="AN41" i="19"/>
  <c r="AN31" i="19"/>
  <c r="AN21" i="19"/>
  <c r="AM21" i="19"/>
  <c r="AL21" i="19"/>
  <c r="AK21" i="19"/>
  <c r="AJ21" i="19"/>
  <c r="AI21" i="19"/>
  <c r="AN20" i="19"/>
  <c r="AM20" i="19"/>
  <c r="AL20" i="19"/>
  <c r="AK20" i="19"/>
  <c r="AJ20" i="19"/>
  <c r="AI20" i="19"/>
  <c r="AN19" i="19"/>
  <c r="AM19" i="19"/>
  <c r="AL19" i="19"/>
  <c r="AK19" i="19"/>
  <c r="AJ19" i="19"/>
  <c r="AI19" i="19"/>
  <c r="AN18" i="19"/>
  <c r="AM18" i="19"/>
  <c r="AL18" i="19"/>
  <c r="AK18" i="19"/>
  <c r="AJ18" i="19"/>
  <c r="AI18" i="19"/>
  <c r="AN17" i="19"/>
  <c r="AM17" i="19"/>
  <c r="AL17" i="19"/>
  <c r="AK17" i="19"/>
  <c r="AJ17" i="19"/>
  <c r="AI17" i="19"/>
  <c r="AN16" i="19"/>
  <c r="AM16" i="19"/>
  <c r="AL16" i="19"/>
  <c r="AK16" i="19"/>
  <c r="AJ16" i="19"/>
  <c r="AI16" i="19"/>
  <c r="AN15" i="19"/>
  <c r="AM15" i="19"/>
  <c r="AL15" i="19"/>
  <c r="AK15" i="19"/>
  <c r="AJ15" i="19"/>
  <c r="AI15" i="19"/>
  <c r="AN14" i="19"/>
  <c r="AM14" i="19"/>
  <c r="AL14" i="19"/>
  <c r="AK14" i="19"/>
  <c r="AJ14" i="19"/>
  <c r="AI14" i="19"/>
  <c r="Q14" i="19"/>
  <c r="AN13" i="19"/>
  <c r="AM13" i="19"/>
  <c r="AL13" i="19"/>
  <c r="AK13" i="19"/>
  <c r="AC14" i="19"/>
  <c r="AD14" i="19"/>
  <c r="AE14" i="19"/>
  <c r="AF14" i="19"/>
  <c r="AH14" i="19"/>
  <c r="AG14" i="19"/>
  <c r="AH21" i="19"/>
  <c r="AF13" i="19"/>
  <c r="AE13" i="19"/>
  <c r="AG15" i="19"/>
  <c r="AG13" i="19"/>
  <c r="AH13" i="19"/>
  <c r="AG21" i="19"/>
  <c r="AF21" i="19"/>
  <c r="AE21" i="19"/>
  <c r="AD21" i="19"/>
  <c r="AC21" i="19"/>
  <c r="AH20" i="19"/>
  <c r="AG20" i="19"/>
  <c r="AF20" i="19"/>
  <c r="AE20" i="19"/>
  <c r="AD20" i="19"/>
  <c r="AC20" i="19"/>
  <c r="AH19" i="19"/>
  <c r="AG19" i="19"/>
  <c r="AF19" i="19"/>
  <c r="AE19" i="19"/>
  <c r="AD19" i="19"/>
  <c r="AC19" i="19"/>
  <c r="AH18" i="19"/>
  <c r="AG18" i="19"/>
  <c r="AF18" i="19"/>
  <c r="AE18" i="19"/>
  <c r="AD18" i="19"/>
  <c r="AC18" i="19"/>
  <c r="AH17" i="19"/>
  <c r="AG17" i="19"/>
  <c r="AF17" i="19"/>
  <c r="AE17" i="19"/>
  <c r="AD17" i="19"/>
  <c r="AC17" i="19"/>
  <c r="AH16" i="19"/>
  <c r="AG16" i="19"/>
  <c r="AF16" i="19"/>
  <c r="AE16" i="19"/>
  <c r="AD16" i="19"/>
  <c r="AC16" i="19"/>
  <c r="AH15" i="19"/>
  <c r="AF15" i="19"/>
  <c r="AE15" i="19"/>
  <c r="AD15" i="19"/>
  <c r="AC15" i="19"/>
  <c r="W21" i="19"/>
  <c r="X21" i="19"/>
  <c r="Y21" i="19"/>
  <c r="Z21" i="19"/>
  <c r="AA21" i="19"/>
  <c r="AB21" i="19"/>
  <c r="AB20" i="19"/>
  <c r="AA20" i="19"/>
  <c r="Z20" i="19"/>
  <c r="Y20" i="19"/>
  <c r="X20" i="19"/>
  <c r="W20" i="19"/>
  <c r="W19" i="19"/>
  <c r="X19" i="19"/>
  <c r="Y19" i="19"/>
  <c r="Z19" i="19"/>
  <c r="AA19" i="19"/>
  <c r="AB19" i="19"/>
  <c r="AB18" i="19"/>
  <c r="AA18" i="19"/>
  <c r="Z18" i="19"/>
  <c r="Y18" i="19"/>
  <c r="X18" i="19"/>
  <c r="W18" i="19"/>
  <c r="W17" i="19"/>
  <c r="X17" i="19"/>
  <c r="Y17" i="19"/>
  <c r="Z17" i="19"/>
  <c r="AA17" i="19"/>
  <c r="AB17" i="19"/>
  <c r="AB16" i="19"/>
  <c r="AA16" i="19"/>
  <c r="Z16" i="19"/>
  <c r="Y16" i="19"/>
  <c r="X16" i="19"/>
  <c r="W16" i="19"/>
  <c r="W15" i="19"/>
  <c r="X15" i="19"/>
  <c r="Y15" i="19"/>
  <c r="Z15" i="19"/>
  <c r="AA15" i="19"/>
  <c r="AB15" i="19"/>
  <c r="AB14" i="19"/>
  <c r="AA14" i="19"/>
  <c r="Z14" i="19"/>
  <c r="Y14" i="19"/>
  <c r="X14" i="19"/>
  <c r="W14" i="19"/>
  <c r="Y13" i="19"/>
  <c r="Z13" i="19"/>
  <c r="AA13" i="19"/>
  <c r="AB13" i="19"/>
  <c r="V21" i="19"/>
  <c r="U21" i="19"/>
  <c r="T21" i="19"/>
  <c r="S21" i="19"/>
  <c r="R21" i="19"/>
  <c r="Q21" i="19"/>
  <c r="Q20" i="19"/>
  <c r="R20" i="19"/>
  <c r="S20" i="19"/>
  <c r="T20" i="19"/>
  <c r="U20" i="19"/>
  <c r="V20" i="19"/>
  <c r="U19" i="19"/>
  <c r="V19" i="19"/>
  <c r="T19" i="19"/>
  <c r="S19" i="19"/>
  <c r="R19" i="19"/>
  <c r="Q19" i="19"/>
  <c r="Q18" i="19"/>
  <c r="R18" i="19"/>
  <c r="S18" i="19"/>
  <c r="T18" i="19"/>
  <c r="U18" i="19"/>
  <c r="V18" i="19"/>
  <c r="V17" i="19"/>
  <c r="U17" i="19"/>
  <c r="T17" i="19"/>
  <c r="S17" i="19"/>
  <c r="R17" i="19"/>
  <c r="Q17" i="19"/>
  <c r="Q16" i="19"/>
  <c r="R16" i="19"/>
  <c r="S16" i="19"/>
  <c r="T16" i="19"/>
  <c r="U16" i="19"/>
  <c r="V16" i="19"/>
  <c r="V15" i="19"/>
  <c r="U15" i="19"/>
  <c r="T15" i="19"/>
  <c r="S15" i="19"/>
  <c r="R15" i="19"/>
  <c r="Q15" i="19"/>
  <c r="V13" i="19"/>
  <c r="V14" i="19"/>
  <c r="U14" i="19"/>
  <c r="T14" i="19"/>
  <c r="S14" i="19"/>
  <c r="R14" i="19"/>
  <c r="S13" i="19"/>
  <c r="T13" i="19"/>
  <c r="U13" i="19"/>
  <c r="P21" i="19"/>
  <c r="O21" i="19"/>
  <c r="N21" i="19"/>
  <c r="M21" i="19"/>
  <c r="L21" i="19"/>
  <c r="K21" i="19"/>
  <c r="P20" i="19"/>
  <c r="O20" i="19"/>
  <c r="N20" i="19"/>
  <c r="M20" i="19"/>
  <c r="L20" i="19"/>
  <c r="K20" i="19"/>
  <c r="P19" i="19"/>
  <c r="O19" i="19"/>
  <c r="N19" i="19"/>
  <c r="M19" i="19"/>
  <c r="L19" i="19"/>
  <c r="K19" i="19"/>
  <c r="P18" i="19"/>
  <c r="O18" i="19"/>
  <c r="N18" i="19"/>
  <c r="M18" i="19"/>
  <c r="L18" i="19"/>
  <c r="K18" i="19"/>
  <c r="P17" i="19"/>
  <c r="O17" i="19"/>
  <c r="N17" i="19"/>
  <c r="M17" i="19"/>
  <c r="L17" i="19"/>
  <c r="K17" i="19"/>
  <c r="P16" i="19"/>
  <c r="O16" i="19"/>
  <c r="N16" i="19"/>
  <c r="M16" i="19"/>
  <c r="L16" i="19"/>
  <c r="K16" i="19"/>
  <c r="P15" i="19"/>
  <c r="O15" i="19"/>
  <c r="N15" i="19"/>
  <c r="M15" i="19"/>
  <c r="L15" i="19"/>
  <c r="K15" i="19"/>
  <c r="P14" i="19"/>
  <c r="O14" i="19"/>
  <c r="N14" i="19"/>
  <c r="M14" i="19"/>
  <c r="L14" i="19"/>
  <c r="K14" i="19"/>
  <c r="P13" i="19"/>
  <c r="O13" i="19"/>
  <c r="N13" i="19"/>
  <c r="M13" i="19"/>
  <c r="L49" i="18"/>
  <c r="N49" i="18"/>
  <c r="P49" i="18"/>
  <c r="R49" i="18"/>
  <c r="T49" i="18"/>
  <c r="V49" i="18"/>
  <c r="X49" i="18"/>
  <c r="Z49" i="18"/>
  <c r="AB49" i="18"/>
  <c r="AD49" i="18"/>
  <c r="AF49" i="18"/>
  <c r="AH49" i="18"/>
  <c r="AJ49" i="18"/>
  <c r="AL49" i="18"/>
  <c r="AN49" i="18"/>
  <c r="AN47" i="18"/>
  <c r="AH47" i="18"/>
  <c r="AB47" i="18"/>
  <c r="V47" i="18"/>
  <c r="P47" i="18"/>
  <c r="N47" i="18"/>
  <c r="N45" i="18"/>
  <c r="P45" i="18"/>
  <c r="P43" i="18"/>
  <c r="N43" i="18"/>
  <c r="L41" i="18"/>
  <c r="N41" i="18"/>
  <c r="P41" i="18"/>
  <c r="R41" i="18"/>
  <c r="T41" i="18"/>
  <c r="V41" i="18"/>
  <c r="X41" i="18"/>
  <c r="Z41" i="18"/>
  <c r="AB41" i="18"/>
  <c r="AD41" i="18"/>
  <c r="AF41" i="18"/>
  <c r="AH41" i="18"/>
  <c r="AJ41" i="18"/>
  <c r="AL41" i="18"/>
  <c r="AN41" i="18"/>
  <c r="AN39" i="18"/>
  <c r="AH39" i="18"/>
  <c r="AB39" i="18"/>
  <c r="V39" i="18"/>
  <c r="P39" i="18"/>
  <c r="N39" i="18"/>
  <c r="N37" i="18"/>
  <c r="P37" i="18"/>
  <c r="P35" i="18"/>
  <c r="N35" i="18"/>
  <c r="AN33" i="18"/>
  <c r="AL33" i="18"/>
  <c r="AJ33" i="18"/>
  <c r="AH33" i="18"/>
  <c r="AF33" i="18"/>
  <c r="AD33" i="18"/>
  <c r="AB33" i="18"/>
  <c r="Z33" i="18"/>
  <c r="X33" i="18"/>
  <c r="V33" i="18"/>
  <c r="T33" i="18"/>
  <c r="R33" i="18"/>
  <c r="P33" i="18"/>
  <c r="N33" i="18"/>
  <c r="L33" i="18"/>
  <c r="N31" i="18"/>
  <c r="P31" i="18"/>
  <c r="V31" i="18"/>
  <c r="AB31" i="18"/>
  <c r="AH31" i="18"/>
  <c r="AN31" i="18"/>
  <c r="P29" i="18"/>
  <c r="N29" i="18"/>
  <c r="P27" i="18"/>
  <c r="N27" i="18"/>
  <c r="AN25" i="18"/>
  <c r="AL25" i="18"/>
  <c r="AJ25" i="18"/>
  <c r="AN23" i="18"/>
  <c r="AH25" i="18"/>
  <c r="AF25" i="18"/>
  <c r="AD25" i="18"/>
  <c r="AH23" i="18"/>
  <c r="AB25" i="18"/>
  <c r="X25" i="18"/>
  <c r="Z25" i="18"/>
  <c r="AB23" i="18"/>
  <c r="V25" i="18"/>
  <c r="T25" i="18"/>
  <c r="R25" i="18"/>
  <c r="V23" i="18"/>
  <c r="P25" i="18"/>
  <c r="N25" i="18"/>
  <c r="L25" i="18"/>
  <c r="P23" i="18"/>
  <c r="N23" i="18"/>
  <c r="P21" i="18"/>
  <c r="N21" i="18"/>
  <c r="P19" i="18"/>
  <c r="N19" i="18"/>
  <c r="AN17" i="18"/>
  <c r="AL17" i="18"/>
  <c r="AJ17" i="18"/>
  <c r="AN15" i="18"/>
  <c r="AH17" i="18"/>
  <c r="AF17" i="18"/>
  <c r="AD17" i="18"/>
  <c r="AH15" i="18"/>
  <c r="AB17" i="18"/>
  <c r="Z17" i="18"/>
  <c r="X17" i="18"/>
  <c r="AB15" i="18"/>
  <c r="V17" i="18"/>
  <c r="V15" i="18"/>
  <c r="T17" i="18"/>
  <c r="R17" i="18"/>
  <c r="L17" i="18"/>
  <c r="P17" i="18"/>
  <c r="N17" i="18"/>
  <c r="P15" i="18"/>
  <c r="N15" i="18"/>
  <c r="P13" i="18"/>
  <c r="N13" i="18"/>
  <c r="P11" i="18"/>
  <c r="N11" i="18"/>
  <c r="AI53" i="19" l="1"/>
  <c r="AN13" i="18"/>
  <c r="AN29" i="18"/>
  <c r="AN37" i="18"/>
  <c r="AN21" i="18"/>
  <c r="AN45" i="18"/>
  <c r="AI15" i="1" l="1"/>
  <c r="AH15" i="1"/>
  <c r="F29" i="27"/>
  <c r="E29" i="27"/>
  <c r="G29" i="27" s="1"/>
  <c r="P26" i="1" l="1"/>
  <c r="F221" i="13" l="1"/>
  <c r="F211" i="13"/>
  <c r="F212" i="13"/>
  <c r="F213" i="13"/>
  <c r="F214" i="13"/>
  <c r="F215" i="13"/>
  <c r="F216" i="13"/>
  <c r="F217" i="13"/>
  <c r="F218" i="13"/>
  <c r="F219" i="13"/>
  <c r="F220" i="13"/>
  <c r="F210" i="13"/>
  <c r="B221" i="13" a="1"/>
  <c r="B221" i="13" l="1"/>
  <c r="B223" i="13" l="1"/>
  <c r="B222" i="13"/>
  <c r="H210" i="13" s="1"/>
  <c r="AD53" i="19" l="1"/>
  <c r="X23" i="19"/>
  <c r="AJ13" i="19"/>
  <c r="X13" i="19"/>
  <c r="R43" i="19"/>
  <c r="R33" i="19"/>
  <c r="R53" i="19"/>
  <c r="R23" i="19"/>
  <c r="AD13" i="19"/>
  <c r="X53" i="19"/>
  <c r="AJ43" i="19"/>
  <c r="L43" i="19"/>
  <c r="L33" i="19"/>
  <c r="L53" i="19"/>
  <c r="AJ33" i="19"/>
  <c r="AJ23" i="19"/>
  <c r="L23" i="19"/>
  <c r="X33" i="19"/>
  <c r="AD43" i="19"/>
  <c r="AD33" i="19"/>
  <c r="AJ53" i="19"/>
  <c r="AD23" i="19"/>
  <c r="X43" i="19"/>
  <c r="R13" i="19"/>
  <c r="L13" i="19"/>
  <c r="AC53" i="19"/>
  <c r="W43" i="19"/>
  <c r="W33" i="19"/>
  <c r="W23" i="19"/>
  <c r="W53" i="19"/>
  <c r="AI13" i="19"/>
  <c r="Q43" i="19"/>
  <c r="Q33" i="19"/>
  <c r="K13" i="19"/>
  <c r="Q53" i="19"/>
  <c r="Q23" i="19"/>
  <c r="AC13" i="19"/>
  <c r="AI43" i="19"/>
  <c r="K43" i="19"/>
  <c r="K33" i="19"/>
  <c r="K23" i="19"/>
  <c r="K53" i="19"/>
  <c r="AI33" i="19"/>
  <c r="AI23" i="19"/>
  <c r="AC23" i="19"/>
  <c r="W13" i="19"/>
  <c r="AC43" i="19"/>
  <c r="AC33" i="19"/>
  <c r="Q13" i="19"/>
  <c r="P52" i="19"/>
  <c r="AH42" i="19"/>
  <c r="AH32" i="19"/>
  <c r="AB12" i="19"/>
  <c r="P12" i="19"/>
  <c r="AH52" i="19"/>
  <c r="P42" i="19"/>
  <c r="P32" i="19"/>
  <c r="AH22" i="19"/>
  <c r="P22" i="19"/>
  <c r="AN12" i="19"/>
  <c r="V22" i="19"/>
  <c r="AB52" i="19"/>
  <c r="AB42" i="19"/>
  <c r="AB32" i="19"/>
  <c r="AB22" i="19"/>
  <c r="AH12" i="19"/>
  <c r="V12" i="19"/>
  <c r="AN42" i="19"/>
  <c r="AN32" i="19"/>
  <c r="AN52" i="19"/>
  <c r="V52" i="19"/>
  <c r="V42" i="19"/>
  <c r="V32" i="19"/>
  <c r="AN22" i="19"/>
  <c r="U52" i="19"/>
  <c r="U22" i="19"/>
  <c r="O12" i="19"/>
  <c r="O52" i="19"/>
  <c r="AG42" i="19"/>
  <c r="AG32" i="19"/>
  <c r="AG52" i="19"/>
  <c r="O42" i="19"/>
  <c r="O32" i="19"/>
  <c r="AG22" i="19"/>
  <c r="U12" i="19"/>
  <c r="AM12" i="19"/>
  <c r="AA22" i="19"/>
  <c r="U32" i="19"/>
  <c r="O22" i="19"/>
  <c r="AA52" i="19"/>
  <c r="AA42" i="19"/>
  <c r="AA32" i="19"/>
  <c r="AG12" i="19"/>
  <c r="U42" i="19"/>
  <c r="AM42" i="19"/>
  <c r="AM32" i="19"/>
  <c r="AA12" i="19"/>
  <c r="AM52" i="19"/>
  <c r="AM22" i="19"/>
  <c r="L21" i="18" l="1"/>
  <c r="L37" i="18"/>
  <c r="R13" i="18"/>
  <c r="R37" i="18"/>
  <c r="AD29" i="18"/>
  <c r="L45" i="18"/>
  <c r="AD45" i="18"/>
  <c r="X13" i="18"/>
  <c r="AJ21" i="18"/>
  <c r="AD37" i="18"/>
  <c r="L13" i="18"/>
  <c r="X21" i="18"/>
  <c r="R21" i="18"/>
  <c r="X37" i="18"/>
  <c r="R29" i="18"/>
  <c r="X29" i="18"/>
  <c r="AJ13" i="18"/>
  <c r="AJ45" i="18"/>
  <c r="X45" i="18"/>
  <c r="R45" i="18"/>
  <c r="AJ29" i="18"/>
  <c r="AD13" i="18"/>
  <c r="L29" i="18"/>
  <c r="AJ37" i="18"/>
  <c r="AD21" i="18"/>
  <c r="Z31" i="18"/>
  <c r="AL23" i="18"/>
  <c r="Z15" i="18"/>
  <c r="Z23" i="18"/>
  <c r="AF39" i="18"/>
  <c r="Z39" i="18"/>
  <c r="AL31" i="18"/>
  <c r="T47" i="18"/>
  <c r="AF15" i="18"/>
  <c r="AL15" i="18"/>
  <c r="T39" i="18"/>
  <c r="AL47" i="18"/>
  <c r="AF23" i="18"/>
  <c r="AL39" i="18"/>
  <c r="T31" i="18"/>
  <c r="T15" i="18"/>
  <c r="AF31" i="18"/>
  <c r="AF47" i="18"/>
  <c r="T23" i="18"/>
  <c r="Z47" i="18"/>
  <c r="Z21" i="18"/>
  <c r="Z29" i="18"/>
  <c r="AL21" i="18"/>
  <c r="AF37" i="18"/>
  <c r="AL29" i="18"/>
  <c r="AF13" i="18"/>
  <c r="T21" i="18"/>
  <c r="AF29" i="18"/>
  <c r="T37" i="18"/>
  <c r="Z37" i="18"/>
  <c r="AL13" i="18"/>
  <c r="T45" i="18"/>
  <c r="T29" i="18"/>
  <c r="AF45" i="18"/>
  <c r="T13" i="18"/>
  <c r="Z45" i="18"/>
  <c r="AL37" i="18"/>
  <c r="AF21" i="18"/>
  <c r="Z13" i="18"/>
  <c r="AL45" i="18"/>
  <c r="R15" i="18"/>
  <c r="AJ23" i="18"/>
  <c r="R39" i="18"/>
  <c r="AJ39" i="18"/>
  <c r="R31" i="18"/>
  <c r="L47" i="18"/>
  <c r="X23" i="18"/>
  <c r="L39" i="18"/>
  <c r="L31" i="18"/>
  <c r="X15" i="18"/>
  <c r="X31" i="18"/>
  <c r="AD39" i="18"/>
  <c r="AJ31" i="18"/>
  <c r="R23" i="18"/>
  <c r="AJ47" i="18"/>
  <c r="AD23" i="18"/>
  <c r="X47" i="18"/>
  <c r="L23" i="18"/>
  <c r="R47" i="18"/>
  <c r="L15" i="18"/>
  <c r="AD31" i="18"/>
  <c r="AD15" i="18"/>
  <c r="AJ15" i="18"/>
  <c r="X39" i="18"/>
  <c r="AD47" i="18"/>
  <c r="AH29" i="18"/>
  <c r="V13" i="18"/>
  <c r="AB45" i="18"/>
  <c r="AH45" i="18"/>
  <c r="AB29" i="18"/>
  <c r="AB13" i="18"/>
  <c r="V29" i="18"/>
  <c r="V37" i="18"/>
  <c r="AH13" i="18"/>
  <c r="AH37" i="18"/>
  <c r="AB37" i="18"/>
  <c r="AB21" i="18"/>
  <c r="V21" i="18"/>
  <c r="V45" i="18"/>
  <c r="AH21" i="18"/>
  <c r="Z19" i="18"/>
  <c r="AL43" i="18"/>
  <c r="AF35" i="18"/>
  <c r="AF11" i="18"/>
  <c r="AN27" i="18"/>
  <c r="AN19" i="18"/>
  <c r="AB43" i="18"/>
  <c r="V27" i="18"/>
  <c r="AN43" i="18"/>
  <c r="AN35" i="18"/>
  <c r="AB19" i="18"/>
  <c r="V11" i="18"/>
  <c r="AN11" i="18"/>
  <c r="AH43" i="18"/>
  <c r="V19" i="18"/>
  <c r="AH35" i="18"/>
  <c r="AH19" i="18"/>
  <c r="AB35" i="18"/>
  <c r="V43" i="18"/>
  <c r="AB11" i="18"/>
  <c r="AH11" i="18"/>
  <c r="AH27" i="18"/>
  <c r="AB27" i="18"/>
  <c r="V35" i="18"/>
  <c r="Z43" i="18" l="1"/>
  <c r="T15" i="1"/>
  <c r="AK15" i="1" s="1"/>
  <c r="AL35" i="18"/>
  <c r="AF27" i="18"/>
  <c r="AF19" i="18"/>
  <c r="T11" i="18"/>
  <c r="Z11" i="18"/>
  <c r="Z35" i="18"/>
  <c r="T43" i="18"/>
  <c r="T35" i="18"/>
  <c r="AF43" i="18"/>
  <c r="T19" i="18"/>
  <c r="AL19" i="18"/>
  <c r="AL27" i="18"/>
  <c r="T27" i="18"/>
  <c r="Z27" i="18"/>
  <c r="AL11" i="18"/>
  <c r="AF22" i="19"/>
  <c r="AL22" i="19"/>
  <c r="AF12" i="19"/>
  <c r="Z22" i="19"/>
  <c r="N22" i="19"/>
  <c r="T52" i="19"/>
  <c r="T42" i="19"/>
  <c r="Z32" i="19"/>
  <c r="AL42" i="19"/>
  <c r="Z52" i="19"/>
  <c r="T12" i="19"/>
  <c r="T32" i="19"/>
  <c r="AF32" i="19"/>
  <c r="T22" i="19"/>
  <c r="AF52" i="19"/>
  <c r="AL12" i="19"/>
  <c r="AL32" i="19"/>
  <c r="Z12" i="19"/>
  <c r="AF42" i="19"/>
  <c r="AL52" i="19"/>
  <c r="N12" i="19"/>
  <c r="Z42" i="19"/>
  <c r="M52" i="19" l="1"/>
  <c r="AK52" i="19"/>
  <c r="S42" i="19"/>
  <c r="M42" i="19"/>
  <c r="S32" i="19"/>
  <c r="S22" i="19"/>
  <c r="M32" i="19"/>
  <c r="AE42" i="19"/>
  <c r="AE52" i="19"/>
  <c r="AK32" i="19"/>
  <c r="AK42" i="19"/>
  <c r="M22" i="19"/>
  <c r="AE22" i="19"/>
  <c r="AK22" i="19"/>
  <c r="M12" i="19"/>
  <c r="AE32" i="19"/>
  <c r="AK12" i="19"/>
  <c r="S52" i="19"/>
  <c r="S12" i="19"/>
  <c r="AE12" i="19"/>
  <c r="AJ15" i="1"/>
  <c r="AL15" i="1" s="1"/>
  <c r="R12" i="19"/>
  <c r="X32" i="19"/>
  <c r="AD22" i="19"/>
  <c r="L22" i="19"/>
  <c r="X42" i="19"/>
  <c r="AD12" i="19"/>
  <c r="R52" i="19"/>
  <c r="AJ42" i="19"/>
  <c r="AD32" i="19"/>
  <c r="AJ32" i="19"/>
  <c r="R32" i="19"/>
  <c r="AJ52" i="19"/>
  <c r="AJ22" i="19"/>
  <c r="AJ12" i="19"/>
  <c r="R22" i="19"/>
  <c r="AD52" i="19"/>
  <c r="AD42" i="19"/>
  <c r="L42" i="19"/>
  <c r="L52" i="19"/>
  <c r="R42" i="19"/>
  <c r="L12" i="19"/>
  <c r="X22" i="19"/>
  <c r="X12" i="19"/>
  <c r="L32" i="19"/>
  <c r="X52" i="1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tc={31DE014E-1502-4058-AF14-D12B122223C2}</author>
    <author>tc={7319F458-F751-4993-B913-0ED035E30CF3}</author>
    <author>Calidad ETITC</author>
    <author>tc={1816B48D-01BB-448B-AFCC-2FEDB756BA42}</author>
    <author>tc={8ADAA9EE-5890-4480-85AE-C33717331CF8}</author>
    <author>tc={975DE72D-945A-4BAE-A64E-E42069A0D1CB}</author>
    <author>tc={837D0758-B511-4B9B-885F-44B15625A2B0}</author>
    <author>Stefany Parra</author>
  </authors>
  <commentList>
    <comment ref="F13" authorId="0" shapeId="0" xr:uid="{31DE014E-1502-4058-AF14-D12B122223C2}">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Para el riesgo Fiscal, solo aplica IMPACTO ECONÓMICO</t>
        </r>
      </text>
    </comment>
    <comment ref="G13" authorId="1" shapeId="0" xr:uid="{7319F458-F751-4993-B913-0ED035E30CF3}">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Aplica para Riesgo FISCAL</t>
        </r>
      </text>
    </comment>
    <comment ref="K13" authorId="2" shapeId="0" xr:uid="{00000000-0006-0000-0200-000001000000}">
      <text>
        <r>
          <rPr>
            <sz val="11"/>
            <color rgb="FF000000"/>
            <rFont val="Calibri"/>
            <family val="2"/>
          </rPr>
          <t xml:space="preserve">Inicia con el IMPACTO+ Conector (por) Causa(s) Inmediata(s)+ Conector (debido a) Causa(s) Raíz.
</t>
        </r>
        <r>
          <rPr>
            <sz val="11"/>
            <color rgb="FF000000"/>
            <rFont val="Calibri"/>
            <family val="2"/>
          </rPr>
          <t xml:space="preserve">
</t>
        </r>
        <r>
          <rPr>
            <sz val="11"/>
            <color rgb="FF000000"/>
            <rFont val="Calibri"/>
            <family val="2"/>
          </rPr>
          <t xml:space="preserve">Para el riesgo de Corrupción: se debe tener en cuenta: ACCIÓN U OMISIÓN + USO DEL PODER + DESVIACIÓN DE LA GESTIÓN DE
</t>
        </r>
        <r>
          <rPr>
            <sz val="11"/>
            <color rgb="FF000000"/>
            <rFont val="Calibri"/>
            <family val="2"/>
          </rPr>
          <t xml:space="preserve">LO PÚBLICO + EL BENEFICIO PRIVADO. Es decir tener en cuenta los anteriores criterios.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
</t>
        </r>
        <r>
          <rPr>
            <sz val="11"/>
            <color rgb="FF000000"/>
            <rFont val="Calibri"/>
            <family val="2"/>
          </rPr>
          <t xml:space="preserve">Aplica para riesgo Gestión/Fiscal/Seguridad de la Información: 
</t>
        </r>
        <r>
          <rPr>
            <sz val="11"/>
            <color rgb="FF000000"/>
            <rFont val="Calibri"/>
            <family val="2"/>
          </rPr>
          <t xml:space="preserve">
</t>
        </r>
        <r>
          <rPr>
            <sz val="11"/>
            <color rgb="FF000000"/>
            <rFont val="Calibri"/>
            <family val="2"/>
          </rPr>
          <t xml:space="preserve">Inicia: IMPACTO+ Conector (por) Causa inmediata+ Conector (debido a) Causa Raíz. 
</t>
        </r>
        <r>
          <rPr>
            <sz val="11"/>
            <color rgb="FF000000"/>
            <rFont val="Calibri"/>
            <family val="2"/>
          </rPr>
          <t xml:space="preserve">
</t>
        </r>
        <r>
          <rPr>
            <sz val="11"/>
            <color rgb="FF000000"/>
            <rFont val="Calibri"/>
            <family val="2"/>
          </rPr>
          <t xml:space="preserve">Riesgos de Corrupción; </t>
        </r>
      </text>
    </comment>
    <comment ref="AU13" authorId="3" shapeId="0" xr:uid="{1816B48D-01BB-448B-AFCC-2FEDB756BA42}">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realiza una descripción breve de lo ejecutado en el periodo. Así como las desviaciones presentadas en la aplicación del control. </t>
        </r>
      </text>
    </comment>
    <comment ref="AV13" authorId="4" shapeId="0" xr:uid="{8ADAA9EE-5890-4480-85AE-C33717331CF8}">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Se debe describir los soportes de la ejecución del control y punto de uso de la información. Ejemplo (enlaces de carpetas)</t>
        </r>
      </text>
    </comment>
    <comment ref="AW13" authorId="5" shapeId="0" xr:uid="{975DE72D-945A-4BAE-A64E-E42069A0D1CB}">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Se realiza una descripción breve de lo ejecutado en el periodo</t>
        </r>
      </text>
    </comment>
    <comment ref="AX13" authorId="6" shapeId="0" xr:uid="{837D0758-B511-4B9B-885F-44B15625A2B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Se debe describir los soportes de la ejecución del control y punto de uso de la información. Ejemplo (enlaces de carpetas)</t>
        </r>
      </text>
    </comment>
    <comment ref="O15" authorId="7" shapeId="0" xr:uid="{749F69DC-97DE-5041-AF4F-9BC67B1888E8}">
      <text>
        <r>
          <rPr>
            <b/>
            <sz val="10"/>
            <color rgb="FF000000"/>
            <rFont val="Tahoma"/>
            <family val="2"/>
          </rPr>
          <t>Stefany Parra:</t>
        </r>
        <r>
          <rPr>
            <sz val="10"/>
            <color rgb="FF000000"/>
            <rFont val="Tahoma"/>
            <family val="2"/>
          </rPr>
          <t xml:space="preserve">
</t>
        </r>
        <r>
          <rPr>
            <sz val="10"/>
            <color rgb="FF000000"/>
            <rFont val="Calibri"/>
            <family val="2"/>
          </rPr>
          <t>Número de actuaciones judiciales y administrativas sujetas a término legal durante el 2025</t>
        </r>
      </text>
    </comment>
    <comment ref="O17" authorId="7" shapeId="0" xr:uid="{2F57D4F1-07F8-3648-A113-1A1D7EF010FC}">
      <text>
        <r>
          <rPr>
            <b/>
            <sz val="10"/>
            <color rgb="FF000000"/>
            <rFont val="Tahoma"/>
            <family val="2"/>
          </rPr>
          <t>Stefany Parra:</t>
        </r>
        <r>
          <rPr>
            <sz val="10"/>
            <color rgb="FF000000"/>
            <rFont val="Tahoma"/>
            <family val="2"/>
          </rPr>
          <t xml:space="preserve">
</t>
        </r>
        <r>
          <rPr>
            <sz val="10"/>
            <color rgb="FF000000"/>
            <rFont val="Calibri"/>
            <family val="2"/>
          </rPr>
          <t>Número de conceptos jurídicos emitidos + Número de actos administrativos revisados + Número de asesorías jurídicas realizadas en el 2025</t>
        </r>
      </text>
    </comment>
    <comment ref="O18" authorId="7" shapeId="0" xr:uid="{C186FC48-0B44-E24A-ADE3-E81D43922B46}">
      <text>
        <r>
          <rPr>
            <b/>
            <sz val="10"/>
            <color rgb="FF000000"/>
            <rFont val="Tahoma"/>
            <family val="2"/>
          </rPr>
          <t>Stefany Parra:</t>
        </r>
        <r>
          <rPr>
            <sz val="10"/>
            <color rgb="FF000000"/>
            <rFont val="Tahoma"/>
            <family val="2"/>
          </rPr>
          <t xml:space="preserve">
</t>
        </r>
        <r>
          <rPr>
            <sz val="10"/>
            <color rgb="FF000000"/>
            <rFont val="Calibri"/>
            <family val="2"/>
          </rPr>
          <t>Número de conceptos jurídicos emitidos + Número de actos administrativos revisados + Número de procesos de conciliación, defensa judicial o actuaciones en los que exista intervención de la Oficina Jurídica realizados en el 2025</t>
        </r>
      </text>
    </comment>
  </commentList>
</comments>
</file>

<file path=xl/sharedStrings.xml><?xml version="1.0" encoding="utf-8"?>
<sst xmlns="http://schemas.openxmlformats.org/spreadsheetml/2006/main" count="783" uniqueCount="472">
  <si>
    <r>
      <rPr>
        <b/>
        <sz val="6"/>
        <color rgb="FF000000"/>
        <rFont val="Arial"/>
        <family val="2"/>
      </rPr>
      <t xml:space="preserve">Escuela Tecnológica Instituto Técnico Central
</t>
    </r>
    <r>
      <rPr>
        <b/>
        <sz val="5"/>
        <color rgb="FF000000"/>
        <rFont val="Arial"/>
        <family val="2"/>
      </rPr>
      <t>Establecimiento Público de Educación Superior</t>
    </r>
  </si>
  <si>
    <t>MAPA Y PLAN DE TRATAMIENTO DE RIESGOS</t>
  </si>
  <si>
    <t>CÓDIGO: GSI- CA-FO-09</t>
  </si>
  <si>
    <t>VERSIÓN: 9</t>
  </si>
  <si>
    <t>VIGENCIA: 2026-04-28</t>
  </si>
  <si>
    <t>PÁGINA:     1 de 1</t>
  </si>
  <si>
    <t xml:space="preserve">PREGUNTAR  RIESGOS DE CORRUPCIÓN </t>
  </si>
  <si>
    <t>CRITERIOS PARA CALIFICAR EL IMPACTO EN RIESGOS DE CORRUPCIÓN</t>
  </si>
  <si>
    <t>CÓDIGO:GSI- CA-FO-09</t>
  </si>
  <si>
    <t>REGRESAR</t>
  </si>
  <si>
    <t>ITEM</t>
  </si>
  <si>
    <t>Criterios para calificar el impacto en riesgos de corrupción</t>
  </si>
  <si>
    <t>MARACAR CON X</t>
  </si>
  <si>
    <t>Pregunta: ¿Si el riesgo de corrupción se materializa podría:</t>
  </si>
  <si>
    <t>SI</t>
  </si>
  <si>
    <t>NO</t>
  </si>
  <si>
    <t>¿Afectar al grupo de funcionarios del proceso?</t>
  </si>
  <si>
    <t>¿Afectar el cumplimiento de metas y objetivos de la dependencia?</t>
  </si>
  <si>
    <t>¿Afectar el cumplimiento de misión de la entidad?</t>
  </si>
  <si>
    <t>¿Afectar el cumplimiento de la misión del sector al que pertenece la entidad?</t>
  </si>
  <si>
    <t>¿Afectar el cumplimiento de misión del sector al que pertenece la entidad?</t>
  </si>
  <si>
    <t>¿Generar perdida de confianza de la entidad , afectando su reputación?</t>
  </si>
  <si>
    <t>¿Generar perdida de recursos económicos?</t>
  </si>
  <si>
    <t>¿Afectar la generación de los productos o la prestación de los servicios?</t>
  </si>
  <si>
    <t>¿Dar lugar al detrimento de la calidad de vida de la comunidad por la perdida del bien, servicio o recursos públicos?</t>
  </si>
  <si>
    <t>¿Generar pérdida de información de la entidad?</t>
  </si>
  <si>
    <t>¿Generar intervención de los órganos de control, de la Fiscalia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</si>
  <si>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</si>
  <si>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</si>
  <si>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</si>
  <si>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</si>
  <si>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</si>
  <si>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</si>
  <si>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</si>
  <si>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</si>
  <si>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</si>
  <si>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Para la calificación del impacto de los riesgos clasificados con tipología de corrupción, se deberá responder las siguientes preguntas, con el fin de determinar el nivel de impacto del riesgo en caso de llegarse a materializar. 
Una vez responda las diecinueve (19) preguntas para cada uno de los riesgos de corrupción, automáticamente la presente hoja se establecerá el nivel de impacto del riesgo que se encuentra valorando, segun los rangos descritos a continuación:</t>
  </si>
  <si>
    <t xml:space="preserve">
Escuela Tecnológica Instituto Técnico Central
Establecimiento Público de Educación Superior</t>
  </si>
  <si>
    <t>MAPA DE RIESGOS</t>
  </si>
  <si>
    <t>VERSIÓN:  9</t>
  </si>
  <si>
    <t>PÁGINA:    1 de 1</t>
  </si>
  <si>
    <t>Proceso:</t>
  </si>
  <si>
    <t>Objetivo:</t>
  </si>
  <si>
    <t>Alcance:</t>
  </si>
  <si>
    <t>PRIMERA LÍNEA DE DEFENSA (Líder del Proceso)</t>
  </si>
  <si>
    <t xml:space="preserve">
PRIMERA LÍNEA DE DEFENSA
MONITOREO  
</t>
  </si>
  <si>
    <t xml:space="preserve">SEGUNDA LÍNEA DE DEFENSA  (Oficina asesora de Planeación) 
</t>
  </si>
  <si>
    <t>TERCERA LÍNEA DE DEFENSA (Control Interno)</t>
  </si>
  <si>
    <t>Identificación del riesgo</t>
  </si>
  <si>
    <t>Análisis del riesgo inherente</t>
  </si>
  <si>
    <t>Evaluación del riesgo - Valoración de los controles</t>
  </si>
  <si>
    <t>Documentación</t>
  </si>
  <si>
    <t>Evaluación del riesgo - Nivel del riesgo residual</t>
  </si>
  <si>
    <t>Plan de Tratamiento</t>
  </si>
  <si>
    <t xml:space="preserve">Referencia </t>
  </si>
  <si>
    <t>Tipo de Riesgo  (Clasificación)</t>
  </si>
  <si>
    <t>Impacto</t>
  </si>
  <si>
    <t>Efecto Dañoso (Riesgo Fiscal)</t>
  </si>
  <si>
    <t>Factor</t>
  </si>
  <si>
    <t xml:space="preserve">Causa Inmediata
</t>
  </si>
  <si>
    <t>Causa Raíz-Amenazas</t>
  </si>
  <si>
    <t>Clasificación del Riesgo</t>
  </si>
  <si>
    <t xml:space="preserve">Seguridad de la Información </t>
  </si>
  <si>
    <t>Frecuencia con la cual se realiza la actividad</t>
  </si>
  <si>
    <t>Probabilidad Inherente</t>
  </si>
  <si>
    <t>%</t>
  </si>
  <si>
    <t>Criterios de impacto</t>
  </si>
  <si>
    <t>Impacto 
Inherente</t>
  </si>
  <si>
    <t>Zona de Riesgo Inherente</t>
  </si>
  <si>
    <t>No. Control</t>
  </si>
  <si>
    <t>Descripción del Control
Responsable+ Frecuencia+ Propósito+ Desviación</t>
  </si>
  <si>
    <t>Soportes del Control</t>
  </si>
  <si>
    <t>Afectación</t>
  </si>
  <si>
    <t>Atributos</t>
  </si>
  <si>
    <t>Probabilidad Residual</t>
  </si>
  <si>
    <t>Probabilidad Residual Final</t>
  </si>
  <si>
    <t>Impacto Residual Final</t>
  </si>
  <si>
    <t>Zona de Riesgo Final</t>
  </si>
  <si>
    <t>Tratamiento</t>
  </si>
  <si>
    <t>No. Acciones</t>
  </si>
  <si>
    <t xml:space="preserve"> Acción</t>
  </si>
  <si>
    <t>Responsable</t>
  </si>
  <si>
    <t xml:space="preserve"> Evidencia de la Acción</t>
  </si>
  <si>
    <t>Fecha Implementación</t>
  </si>
  <si>
    <t xml:space="preserve">Fecha de Reporte </t>
  </si>
  <si>
    <t>¿El riesgo se materializó?</t>
  </si>
  <si>
    <t xml:space="preserve">Evidencias de la ejecución del Control </t>
  </si>
  <si>
    <t>Evidencias de la ejecucióndel Plan de Tratamiento</t>
  </si>
  <si>
    <t xml:space="preserve">Estado del Plan de Acción </t>
  </si>
  <si>
    <t>Fecha Seguimiento</t>
  </si>
  <si>
    <t xml:space="preserve">Ubicación de las evidencias </t>
  </si>
  <si>
    <t xml:space="preserve">Seguimiento y Evaluación
</t>
  </si>
  <si>
    <t>Activo de información afectado</t>
  </si>
  <si>
    <t>Criterio afectado</t>
  </si>
  <si>
    <t>Tipo</t>
  </si>
  <si>
    <t>Implementación</t>
  </si>
  <si>
    <t>Calificación</t>
  </si>
  <si>
    <t>Frecuencia</t>
  </si>
  <si>
    <t>Evidencia</t>
  </si>
  <si>
    <t>Corrupción</t>
  </si>
  <si>
    <t>Detectivo</t>
  </si>
  <si>
    <t>Reducir (mitigar)</t>
  </si>
  <si>
    <t>NA</t>
  </si>
  <si>
    <r>
      <rPr>
        <sz val="11"/>
        <color theme="9"/>
        <rFont val="Arial"/>
        <family val="2"/>
      </rPr>
      <t xml:space="preserve">*Nota: </t>
    </r>
    <r>
      <rPr>
        <sz val="11"/>
        <color theme="1"/>
        <rFont val="Arial"/>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</si>
  <si>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r>
      <rPr>
        <b/>
        <sz val="14"/>
        <rFont val="Arial"/>
        <family val="2"/>
      </rPr>
      <t>LIDER DEL PROCESO:</t>
    </r>
    <r>
      <rPr>
        <sz val="14"/>
        <rFont val="Arial"/>
        <family val="2"/>
      </rPr>
      <t xml:space="preserve"> Hno. Ariosto Ardila Silva</t>
    </r>
  </si>
  <si>
    <t>Iniciada</t>
  </si>
  <si>
    <t>Sin iniciar</t>
  </si>
  <si>
    <t>CLASIF. DE CONFIDENCIALIDAD</t>
  </si>
  <si>
    <t>IPB</t>
  </si>
  <si>
    <t>CLASIF. DE INTEGRIDAD</t>
  </si>
  <si>
    <t>A</t>
  </si>
  <si>
    <t>CLASIF. DE DISPONIBILIDAD</t>
  </si>
  <si>
    <t>cumplida</t>
  </si>
  <si>
    <t xml:space="preserve">Documento controlado por el Sistema de Gestión de la Calidad
Asegúrese que corresponde a la última versión consultando el micrositio de calidad de la Escuela Tecnológica Instituto Técnico Central (ETITC) </t>
  </si>
  <si>
    <t>Incumplida</t>
  </si>
  <si>
    <t>Criterios_Impacto</t>
  </si>
  <si>
    <t xml:space="preserve">     Afectación menor a 10 SMLMV .</t>
  </si>
  <si>
    <t>Leve</t>
  </si>
  <si>
    <t xml:space="preserve">     Entre 10 y 50 SMLMV </t>
  </si>
  <si>
    <t>Menor</t>
  </si>
  <si>
    <t xml:space="preserve">     Entre 50 y 100 SMLMV </t>
  </si>
  <si>
    <t>Moderado</t>
  </si>
  <si>
    <t xml:space="preserve">     Entre 100 y 500 SMLMV </t>
  </si>
  <si>
    <t>Mayor</t>
  </si>
  <si>
    <t xml:space="preserve">     Mayor a 500 SMLMV </t>
  </si>
  <si>
    <t>Catastrófico</t>
  </si>
  <si>
    <t xml:space="preserve">     El riesgo afecta la imagen de alguna área de la organización</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</si>
  <si>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</si>
  <si>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</si>
  <si>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</si>
  <si>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</si>
  <si>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Moderado (Corrupción)</t>
  </si>
  <si>
    <t>Mayor (Corrupción)</t>
  </si>
  <si>
    <t>Catastrófico (Corrupción)</t>
  </si>
  <si>
    <t>14.	Tipología de riesgos que enmarcan la política de administración del riesgo</t>
  </si>
  <si>
    <t>6.4.	 Identificación de áreas de factores de riesgo</t>
  </si>
  <si>
    <t>Efecto Dañoso (fiscal)</t>
  </si>
  <si>
    <t>FACTOR</t>
  </si>
  <si>
    <t xml:space="preserve">Clasificacion del riesgo </t>
  </si>
  <si>
    <t xml:space="preserve">Riesgo Materializado </t>
  </si>
  <si>
    <t>Activo de información</t>
  </si>
  <si>
    <t>Criterio</t>
  </si>
  <si>
    <t>Plan de accion (solo para la opción reducir)</t>
  </si>
  <si>
    <t>Gestión</t>
  </si>
  <si>
    <t>•	Procesos</t>
  </si>
  <si>
    <t>Económico</t>
  </si>
  <si>
    <t>Recursos Públicos</t>
  </si>
  <si>
    <t>Evento externo</t>
  </si>
  <si>
    <t>Daños Activos Fisicos</t>
  </si>
  <si>
    <t>Información</t>
  </si>
  <si>
    <t>Confidencialidad</t>
  </si>
  <si>
    <t>Preventivo</t>
  </si>
  <si>
    <t>Automático</t>
  </si>
  <si>
    <t>Documentado</t>
  </si>
  <si>
    <t>Continua</t>
  </si>
  <si>
    <t>Registro Sustancial</t>
  </si>
  <si>
    <t>Aceptar</t>
  </si>
  <si>
    <t>Finalizado</t>
  </si>
  <si>
    <t>•	Talento humano</t>
  </si>
  <si>
    <t>Reputacional</t>
  </si>
  <si>
    <t>Bienes Públicos</t>
  </si>
  <si>
    <t>Financiero</t>
  </si>
  <si>
    <t>Ejecucion y Administracion de procesos</t>
  </si>
  <si>
    <t xml:space="preserve">Software </t>
  </si>
  <si>
    <t>Disponibilidad</t>
  </si>
  <si>
    <t>Manual</t>
  </si>
  <si>
    <t>Sin Documentar</t>
  </si>
  <si>
    <t>Aleatoria</t>
  </si>
  <si>
    <t>Registro Material</t>
  </si>
  <si>
    <t>Evitar</t>
  </si>
  <si>
    <t>En curso</t>
  </si>
  <si>
    <t>Fiscal</t>
  </si>
  <si>
    <t>•	Tecnología</t>
  </si>
  <si>
    <t>Económico y Reputacional</t>
  </si>
  <si>
    <t>Intereses Patrimoniales de Naturaleza Pública</t>
  </si>
  <si>
    <t>Infraestructura</t>
  </si>
  <si>
    <t>Fallas Tecnologicas</t>
  </si>
  <si>
    <t>Hardware</t>
  </si>
  <si>
    <t>Integridad</t>
  </si>
  <si>
    <t>Correctivo</t>
  </si>
  <si>
    <t>Sin registro</t>
  </si>
  <si>
    <t>Reducir</t>
  </si>
  <si>
    <t>•	Infraestructura</t>
  </si>
  <si>
    <t>Procesos</t>
  </si>
  <si>
    <t>Fraude Externo</t>
  </si>
  <si>
    <t>Servicios</t>
  </si>
  <si>
    <t>NO APLICA</t>
  </si>
  <si>
    <t>•	Evento externo</t>
  </si>
  <si>
    <t>Talento humano</t>
  </si>
  <si>
    <t>Fraude Interno</t>
  </si>
  <si>
    <t>Intangibles</t>
  </si>
  <si>
    <t>Reducir (compartir)</t>
  </si>
  <si>
    <t>Tecnología</t>
  </si>
  <si>
    <t>Relaciones Laborales</t>
  </si>
  <si>
    <t>Componentes
de red</t>
  </si>
  <si>
    <t>Usuarios, productos y practicas , organizacionales</t>
  </si>
  <si>
    <t>Personas</t>
  </si>
  <si>
    <t>Instalaciones</t>
  </si>
  <si>
    <t>Redaccion del Riesgo General</t>
  </si>
  <si>
    <t xml:space="preserve">Redaccion del Riesgo  fiscal </t>
  </si>
  <si>
    <t>CONTEXTO - DOFA</t>
  </si>
  <si>
    <t>DEBILIDADES</t>
  </si>
  <si>
    <t>ESTADO</t>
  </si>
  <si>
    <t>D1. Falta de disponibilidad de recurso humano contratado, con cobertura en las diferentes sedes, Seccionales, Extensiones, unidades Agroambientales y Oficinas de la Universidad, que garantice el apoyo continuó durante todo el período académico</t>
  </si>
  <si>
    <t>D2. Falta de conocimiento de la normatividad legal vigente, aplicable y actualizada, relacionada con aspectos e impactos ambientales asociados al desempeño ambiental institucional y de su respectivo seguimiento.</t>
  </si>
  <si>
    <t>D3. Falta de conocimiento, participación, de la totalidad de  la comunidad universitaria y otras partes interesadas del  Sistema de Gestión Ambiental, y las actividades de implementación del mismo, de la Política Ambiental y  Programas ambientales del Plan Institucional de Gestión Ambiental PIGA.</t>
  </si>
  <si>
    <t>D4. Falta de compromiso y sentido de pertenencia con los temas ambientales por parte de algunos sectores de la comunidad universitaria y otras partes interesadas, reflejado en la falta de participación  en actividades del SGA y de lineamientos ambientales.</t>
  </si>
  <si>
    <t>D5. Falta de articulación de los lineamientos del SGA con los procesos del Modelo de Operación Digital</t>
  </si>
  <si>
    <t xml:space="preserve">D6. Falta de articulación con la academia en temas ambientales, reflejado en el bajo porcentaje de cobertura del Sistema de Gestión de Ambiental respecto a los estudiantes en relación en relación al porcentaje que representan en la comunidad universitaria. </t>
  </si>
  <si>
    <t xml:space="preserve">D7. Falta de articulación de temas ambientales con el Plan de Emergencias Institucional  </t>
  </si>
  <si>
    <t xml:space="preserve">D8. Falta de recursos disponibles de forma oportuna para el desarrollo y continuidad de actividades del Sistema de Gestión Ambiental. </t>
  </si>
  <si>
    <t>D9. Falta  de recursos para desplazamientos del equipo del Sistema de Gestión Ambiental.</t>
  </si>
  <si>
    <t>D10.  Incumplimiento del código de colores de clasificación de residuos institucional por desconocimiento, falta de conciencia ambiental y compromiso de parte de algunos sectores de la comunidad universitaria y otras partes interesadas, o por no contar con la totalidad de los dispositivos de almacenamiento requeridos.</t>
  </si>
  <si>
    <t>AMENAZAS</t>
  </si>
  <si>
    <t>A1. Prácticas ambientales inadecuadas por parte de vecinos de la comunidad circundante a las instalaciones de la Universidad, que puedan afectar su desempeño ambiental.</t>
  </si>
  <si>
    <t xml:space="preserve">A2. Afectación en el desarrollo de actividades presenciales o virtuales, internas y externas del SGA, debido al riesgo de contagio por virus que puedan alcanzar el nivel de pandemia </t>
  </si>
  <si>
    <t>A3. Falta  de alcance en servicios públicos o de comunicación, y condiciones específicas  de la infraestructura  de algunas sedes.</t>
  </si>
  <si>
    <t>A4. Falta de participación  de las partes interesadas externas en las actividades del Sistema de Gestión Ambiental.</t>
  </si>
  <si>
    <t>A5. Afectación de actividades  del Sistema de Gestión ambiental internas o externas), y  de recursos, elementos o insumos del Plan Institucional de Gestión Ambiental -PIGA, por alteraciones de orden público como manifestaciones, paros,  disturbios y asonadas.</t>
  </si>
  <si>
    <t>A6. Afectación de fenómenos naturales (Cambio climático, fenómeno del niño y la niña, sismos, incendios, caída de árboles, Vendavales) y antrópicos (Orden publico y manifestaciones estudiantiles) que puedan afectar las instalaciones.</t>
  </si>
  <si>
    <t xml:space="preserve">A7. Sanciones o multas por incumplimiento legal </t>
  </si>
  <si>
    <t>A8. Rotación constante de personal en diferentes procesos</t>
  </si>
  <si>
    <t>FORTALEZAS</t>
  </si>
  <si>
    <t>F1.Compromiso de la alta  Dirección para apoyar el proceso, reflejado en liderazgo de Directores Administrativos y del Rector.​</t>
  </si>
  <si>
    <t>F2. Articulación del Sistema de Gestión Ambiental a nivel institucional en Sede, Seccionales y Extensiones.</t>
  </si>
  <si>
    <t>F3. Equipo de profesionales del  Sistema de Gestión Ambiental con competencia  y actitud propositiva en el proceso de planeación, implementación, seguimiento y preparación para los procesos de auditoría del SGA.</t>
  </si>
  <si>
    <t>F4. Disponibilidad de la documentación del Sistema de Gestión ambiental en el sitio web del Modelo de Operación digital, en el marco del PHVA: Caracterización, Política y Objetivos de Gestión Ambiental, Plan Institucional de Gestión Ambiental - PIGA y programas ambientales, Procedimientos, Formatos, Matrices y otros registros SGA.</t>
  </si>
  <si>
    <t>F5.Asignación de rubro para implementación y certificación  del Sistema de Gestión Ambiental_ISO 14001:2015 a través del Proyecto UCundinamarca en Equilibrio con la Naturaleza.</t>
  </si>
  <si>
    <t>F6.Fortalecimiento de la cultura ambiental  a nivel institucional a través del #Reto Ambientalmente en equilibrio con la naturaleza, eventos y capacitaciones ambientales.</t>
  </si>
  <si>
    <t>F7.Divulgación de la Gestión ambiental con la comunidad universitaria y otras partes interesadas a través de publicaciones y eventos en canales institucionales como la página web, la agencia de noticias, redes sociales, revistas digitales de las Seccionales, Extensiones y Periódico digital institucional.</t>
  </si>
  <si>
    <t>F8. Implementación del código de colores de clasificación de residuos con la instalación gradual de Unidades Técnicas de Almacenamiento Central -UTAC-  y Puntos ecológicos en Sede, Seccionales y Extensiones.</t>
  </si>
  <si>
    <t>F9. Implementación de estrategias de sostenibilidad en la Sede, Seccionales y Extensiones, mediante la instalación de dispositivos de ahorro de agua y de energía como paneles fotovoltaicos e iluminación LED.</t>
  </si>
  <si>
    <t>F10.Articulación con los demás componentes del Sistema Integrado de Gestión como: SG SST, SGSI, SGC y con las diferentes procesos y dependencias.</t>
  </si>
  <si>
    <t>F11. Proceso de Medición de Huella de Carbono y reporte internacional de sostenibilidad GRI en articulación con Interacción Social Universitaria y diferentes dependencias relacionadas.</t>
  </si>
  <si>
    <t>F12. Articulación del Sistema de Gestión Ambiental  como parte del proceso de formación para la vida de la comunidad universitaria, desde la dimensión naturaleza del Modelo de Educación Digital Transmoderno -MEDIT.</t>
  </si>
  <si>
    <t>F13. Participación activa de los estudiantes en la Gestión Ambiental Institucional como practicantes y pasantes al SGA</t>
  </si>
  <si>
    <t>F14 Articulación de criterios  ambientales en los procesos  de compras institucionales.</t>
  </si>
  <si>
    <t>F15. Disponibilidad de canales institucionales para la comunicación de solicitudes, felicitaciones</t>
  </si>
  <si>
    <t>OPORTUNIDADES</t>
  </si>
  <si>
    <t xml:space="preserve">O1. Fortalecer la articulación  del  Sistema de Gestión ambiental, con las partes interesadas Internas y  Externas de forma translocal a través de la cultura ambiental.     </t>
  </si>
  <si>
    <t>O2. Ampliar la  cobertura  del proceso de cultura ambiental de la comunidad universitaria con base en la Política de Gestión Ambiental, y los programas del Plan Institucional de Gestión Ambiental -PIGA.</t>
  </si>
  <si>
    <t>O3. Ampliar la cobertura de contenedores para disposición de residuos sólidos y  Unidades Técnicas de Almacenamiento Central UTAC en Sedes, Seccionales y Extensiones</t>
  </si>
  <si>
    <t>O4.Pomover alianzas para el desarrollo de espacios verdes en las Sedes, Seccionales y Extensiones, mediante la  implementación de actividades del Programa de Uso Eficiente de Servicios Ecosistemicos -PUESE- generando un ambiente sano para la comunidad.</t>
  </si>
  <si>
    <t>O5. Fortalecer el acompañamiento y asesoría en las unidades regionales, en condiciones de Pandemia, con actividades virtuales y presenciales según las necesidades de la Sede, Seccional o Extensión.</t>
  </si>
  <si>
    <t>O6.Articulación en de Proyectos Ambientales Universitarios -PRAU- con partes interesadas internas y externas.</t>
  </si>
  <si>
    <t xml:space="preserve">O7. Ampliación de actividades de  medición  de impacto y desempeño institucional con proyección translocal.  </t>
  </si>
  <si>
    <t xml:space="preserve">O8. Instaurar lineamiento de austeridad del gasto con el proceso de Bienes y Servicios articulados con el  Sistema de Gestión Ambiental con el fin de  minimizar el consumo de  materiales a nivel institucional </t>
  </si>
  <si>
    <t xml:space="preserve">O9. Generar espacios virtuales o presenciales para  el fortalecimiento de la cultura ambiental de la comunidad educativa, a través de cursos, diplomados,  programas de voluntariado ( ambiental)  y proyectos que generen impacto ambiental positivo  mediante alianzas estratégicas. </t>
  </si>
  <si>
    <r>
      <rPr>
        <b/>
        <sz val="6"/>
        <color theme="1"/>
        <rFont val="Arial"/>
        <family val="2"/>
      </rPr>
      <t>Escuela Tecnológica Instituto Técnico Central</t>
    </r>
    <r>
      <rPr>
        <b/>
        <sz val="5"/>
        <color theme="1"/>
        <rFont val="Arial"/>
        <family val="2"/>
      </rPr>
      <t xml:space="preserve">
Establecimiento Público de Educación Superior</t>
    </r>
  </si>
  <si>
    <t>CÓDIGO: GDC-FO-09</t>
  </si>
  <si>
    <t>VIGENCIA: 2024-08-22</t>
  </si>
  <si>
    <t>Matriz de Calor Inherente</t>
  </si>
  <si>
    <t>Probabilidad</t>
  </si>
  <si>
    <t>Muy Alta
100%</t>
  </si>
  <si>
    <t>Extremo</t>
  </si>
  <si>
    <t>Alta
80%</t>
  </si>
  <si>
    <t>Alto</t>
  </si>
  <si>
    <t>Media
60%</t>
  </si>
  <si>
    <t>Baja
40%</t>
  </si>
  <si>
    <t>Bajo</t>
  </si>
  <si>
    <t>Muy Baja
20%</t>
  </si>
  <si>
    <t>Leve
20%</t>
  </si>
  <si>
    <t>Menor
40%</t>
  </si>
  <si>
    <t>Moderado
60%</t>
  </si>
  <si>
    <t>Mayor
80%</t>
  </si>
  <si>
    <t>Catastrófico
100%</t>
  </si>
  <si>
    <t>(Y('Mapa final'!$L$22="Muy Alta",'Mapa final'!$P$22="Leve"),CONCATENAR("R",'Mapa final'!$A$22),"")</t>
  </si>
  <si>
    <t xml:space="preserve"> Matriz de Calor Residual</t>
  </si>
  <si>
    <t>Escuela Tecnológica Instituto Técnico Central
Establecimiento Público de Educación Superior</t>
  </si>
  <si>
    <t>FECHA</t>
  </si>
  <si>
    <t>DESCRIPCIÓN DE LA ACTUALIZACIÓN</t>
  </si>
  <si>
    <t>RESPONSABLE</t>
  </si>
  <si>
    <t>CARGO</t>
  </si>
  <si>
    <t xml:space="preserve">Se actualiza en la versión 9 del formato, se eliminan los riesgos No 5 y 6 Para incluirlos como riesgo No 1 en los mapas de comunicaciones y Internacionalización </t>
  </si>
  <si>
    <t xml:space="preserve"> Hno. Ariosto Ardila Silva</t>
  </si>
  <si>
    <t xml:space="preserve">Rector </t>
  </si>
  <si>
    <r>
      <rPr>
        <b/>
        <sz val="11"/>
        <color theme="1"/>
        <rFont val="Arial"/>
        <family val="2"/>
      </rPr>
      <t>C</t>
    </r>
    <r>
      <rPr>
        <sz val="11"/>
        <color theme="1"/>
        <rFont val="Arial"/>
        <family val="2"/>
      </rPr>
      <t xml:space="preserve">ontexto:
Se elininaron las debilidades D3 Y D8:
Se incluyeron las debilidades D10, D11.
se eliminaron las fortalezas: F2,F11,F12,F13Y la F9 paso a fortaleza.
Riesgos: Se elimino el R1(Posibilidad de afectación económica y reputacional por recibir o solicitar cualquier dádiva o beneficio a nombre propio o de terceros al formular proyectos direccionados que no respondan a ninguna necesidad.) por racionalización de riesgos de integro al riesgo No2.
R2:Se cambiaron los controles del riesgos No2, se ajusto redacción en el control no1 y se implemento el control No2.
R4:Se ajusto redacción del riesgo y el control </t>
    </r>
  </si>
  <si>
    <t>Matriz Mapa de Riesgos</t>
  </si>
  <si>
    <t>X</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</si>
  <si>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V6</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</si>
  <si>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</si>
  <si>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</si>
  <si>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2,3 y 5 Mapa Final de Gestión, Corrupción y Seguridad de la Información: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</si>
  <si>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</si>
  <si>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</si>
  <si>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</si>
  <si>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</si>
  <si>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</si>
  <si>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</si>
  <si>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</si>
  <si>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</si>
  <si>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</si>
  <si>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</si>
  <si>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</si>
  <si>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</si>
  <si>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</si>
  <si>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</si>
  <si>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</si>
  <si>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</si>
  <si>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</si>
  <si>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</si>
  <si>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</si>
  <si>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</si>
  <si>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</si>
  <si>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</si>
  <si>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</si>
  <si>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</si>
  <si>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</si>
  <si>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Esta casilla no se diligencia, depende de la selección en la columna R.</t>
  </si>
  <si>
    <r>
      <t xml:space="preserve">ATRIBUTOS EFICIENCIA
</t>
    </r>
    <r>
      <rPr>
        <sz val="9"/>
        <rFont val="Arial Narrow"/>
        <family val="2"/>
      </rPr>
      <t>Tipo</t>
    </r>
  </si>
  <si>
    <t>Utilice la lista de despligue que se encuentra parametrizada, le aparecerán las opciones: i)Preventivo, ii)Detectivo, iii)Correctivo.</t>
  </si>
  <si>
    <r>
      <t xml:space="preserve">ATRIBUTOS EFICIENCIA
</t>
    </r>
    <r>
      <rPr>
        <sz val="9"/>
        <rFont val="Arial Narrow"/>
        <family val="2"/>
      </rPr>
      <t>Implementación</t>
    </r>
  </si>
  <si>
    <t>Utilice la lista de despligue que se encuentra parametrizada, le aparecerán las opciones: i)Automático, ii)Manual.</t>
  </si>
  <si>
    <r>
      <t xml:space="preserve">ATRIBUTOS EFICIENCIA
</t>
    </r>
    <r>
      <rPr>
        <sz val="9"/>
        <rFont val="Arial Narrow"/>
        <family val="2"/>
      </rPr>
      <t>Calificación</t>
    </r>
  </si>
  <si>
    <t xml:space="preserve">La matriz automáticamente hará el cálculo para el control analizado (Columna T) </t>
  </si>
  <si>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</si>
  <si>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</si>
  <si>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</si>
  <si>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</si>
  <si>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</si>
  <si>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</si>
  <si>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</si>
  <si>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</si>
  <si>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Utilice la lista de despligue que se encuentra parametrizada, le aparecerán las opciones: i)Aceptar, ii)Evitar, iii)Reducir (compartir), iv)Reducir (mitigar).</t>
  </si>
  <si>
    <r>
      <t xml:space="preserve">Plan de Acción
</t>
    </r>
    <r>
      <rPr>
        <sz val="9"/>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</si>
  <si>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</si>
  <si>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</si>
  <si>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</si>
  <si>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Hoja 6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</si>
  <si>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7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</si>
  <si>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8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</si>
  <si>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9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</si>
  <si>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10 Tabla de Valoración de Controles: </t>
    </r>
    <r>
      <rPr>
        <sz val="11"/>
        <rFont val="Arial Narrow"/>
        <family val="2"/>
      </rPr>
      <t>Tabla referente para todos los cálculos (no se diligencia)</t>
    </r>
  </si>
  <si>
    <t xml:space="preserve">Tipo </t>
  </si>
  <si>
    <t>Ambiental</t>
  </si>
  <si>
    <t>Software</t>
  </si>
  <si>
    <t>Estratégico</t>
  </si>
  <si>
    <t>Documental</t>
  </si>
  <si>
    <t>Seguridad digital</t>
  </si>
  <si>
    <t>SST</t>
  </si>
  <si>
    <t>Tecnológico</t>
  </si>
  <si>
    <t>VERSIÓN: 8</t>
  </si>
  <si>
    <t>VERSIÓN</t>
  </si>
  <si>
    <t>CAMBIOS</t>
  </si>
  <si>
    <t xml:space="preserve">Se incluye protada, control de cambios del registro, riesgos fiscales </t>
  </si>
  <si>
    <t>28/4/2026</t>
  </si>
  <si>
    <t xml:space="preserve">Se ajusta el formato en las siguientes condiciones: 
1- Se ajustan las tipologias de riesgos: Corrupción, Fiscal, Seguridad de la Información y Gestión.
2- Se incluye en los criterios de impacto de corrupción: Moderado, Mayor, Catastrófico.
3- Se ajusta las variables del diseño del control
4- Se ajustan la descripción para el monitoreo de la primera y segunda linea, así como la evaluación para la tercera linea de defensa. m
</t>
  </si>
  <si>
    <t>ELABORÓ</t>
  </si>
  <si>
    <t>REVISÓ</t>
  </si>
  <si>
    <t>APROBÓ</t>
  </si>
  <si>
    <t>ANAY PINTO</t>
  </si>
  <si>
    <t xml:space="preserve">JORGE HERRERA ORTIZ </t>
  </si>
  <si>
    <t>Profesional de Calidad</t>
  </si>
  <si>
    <t>Representante de la Dirección</t>
  </si>
  <si>
    <t>Documento controlado por el Sistema de Gestión de la Calidad</t>
  </si>
  <si>
    <t>Asegúrese que corresponde a la última versión consultando el micrositio de calidad de la Escuela Tecnológica Instituto Técnico Central (ETITC)</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</si>
  <si>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</si>
  <si>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</si>
  <si>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</si>
  <si>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</si>
  <si>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</si>
  <si>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</si>
  <si>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</si>
  <si>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</si>
  <si>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</si>
  <si>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</si>
  <si>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</si>
  <si>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</si>
  <si>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</si>
  <si>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</si>
  <si>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</si>
  <si>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</si>
  <si>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</si>
  <si>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</si>
  <si>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</si>
  <si>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</si>
  <si>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</si>
  <si>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</si>
  <si>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</si>
  <si>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</si>
  <si>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</si>
  <si>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 80%</t>
  </si>
  <si>
    <t xml:space="preserve">Entre 100 y 500 SMLMV </t>
  </si>
  <si>
    <t>El riesgo afecta la imagen de la entidad con efecto publicitario sostenido a nivel de sector administrativo, nivel departamental o municipal</t>
  </si>
  <si>
    <t>Catastrófico 100%</t>
  </si>
  <si>
    <t xml:space="preserve">Mayor a 500 SMLMV </t>
  </si>
  <si>
    <t>El riesgo afecta la imagen de la entidad a nivel nacional, con efecto publicitarios sostenible a nivel país</t>
  </si>
  <si>
    <t>Afectación_Económica_o_presupuestal</t>
  </si>
  <si>
    <t>Pérdida_Reputacional</t>
  </si>
  <si>
    <t>Criterios</t>
  </si>
  <si>
    <t>Subcriterios</t>
  </si>
  <si>
    <t>Afectación Económica o presupuestal</t>
  </si>
  <si>
    <t>Afectación menor a 10 SMLMV .</t>
  </si>
  <si>
    <t>El riesgo afecta la imagen de de la entidad con efecto publicitario sostenido a nivel de sector administrativo, nivel departamental o municipal</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</si>
  <si>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</si>
  <si>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</si>
  <si>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</si>
  <si>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</si>
  <si>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</si>
  <si>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</si>
  <si>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</si>
  <si>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</si>
  <si>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</si>
  <si>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</si>
  <si>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</si>
  <si>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</si>
  <si>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</si>
  <si>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</si>
  <si>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</si>
  <si>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</si>
  <si>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</si>
  <si>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</si>
  <si>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Con Registro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</si>
  <si>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</si>
  <si>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</si>
  <si>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</si>
  <si>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</si>
  <si>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Seguimiento</t>
  </si>
  <si>
    <t>Avance de Ejecución de Control(es)</t>
  </si>
  <si>
    <t>Avance de Ejecución de Plan de Tratamiento</t>
  </si>
  <si>
    <t xml:space="preserve">Descripción del Riesgo
</t>
  </si>
  <si>
    <t>Esta actividad se incorporó en la matriz de riesgos para su implementación a partir del segundo cuatrimestre del 2026</t>
  </si>
  <si>
    <t>GESTIÓN JURÍDICA</t>
  </si>
  <si>
    <t>Orientar, asistir, asesorar y defender la Institución, en asuntos jurídico-administrativos internos y externos de su competencia, de manera oportuna y eficaz buscando garantizar los intereses de la Escuela en cumplimiento de la Constitución Política, la Ley y la normatividad interna.</t>
  </si>
  <si>
    <t>Inicia con la ocurrencia de la situación jurídica y/o actuación judicial que incluye todas las actividades propias de la representación legal de la entidad y finaliza con la solución del problema jurídico y/o la decisión judicial o conciliación correspondiente.</t>
  </si>
  <si>
    <t>Posibilidad de afectación económica y reputacional por el incumplimiento de los términos procesales y administrativos en la atención de actuaciones judiciales y extrajudiciales, debido a deficiencias en el seguimiento de los procesos, la gestión de las notificaciones judiciales y el control de los términos legales.</t>
  </si>
  <si>
    <t>deficiencias en el seguimiento de los procesos, la gestión de las notificaciones judiciales y el control de los términos legales.</t>
  </si>
  <si>
    <t>incumplimiento de los términos procesales y administrativos en la atención de actuaciones judiciales y extrajudiciales</t>
  </si>
  <si>
    <t>Posibilidad de afectación económica y reputacional por la emisión de conceptos, asesorías o actuaciones jurídicas contrarias a la normatividad vigente, debido a deficiencias en la actualización normativa, el análisis jurídico y la socialización de los cambios normativos aplicables.</t>
  </si>
  <si>
    <t>emisión de conceptos, asesorías o actuaciones jurídicas contrarias a la normatividad vigente,</t>
  </si>
  <si>
    <t>deficiencias en la actualización normativa, el análisis jurídico y la socialización de los cambios normativos aplicables.</t>
  </si>
  <si>
    <t>Posibilidad de afectación reputacional por recibir, solicitar o aceptar dádivas o cualquier otro beneficio indebido, haciendo uso de las funciones y facultades del cargo para emitir conceptos, elaborar documentos o adelantar actuaciones jurídicas contrarias a la normatividad vigente, desviando el cumplimiento de los fines institucionales, con el fin de obtener un beneficio propio o favorecer indebidamente a un tercero.</t>
  </si>
  <si>
    <t>Actuación parcializada del servidor público en la emisión de conceptos, elaboración de documentos o actuaciones jurídicas, influenciada por un beneficio indebido o por un conflicto de interés no gestionado.</t>
  </si>
  <si>
    <t>Debilidades en los controles para la gestión de conflictos de interés, la supervisión de las actuaciones jurídicas y el fortalecimiento de la cultura de integridad y transparencia institucional.</t>
  </si>
  <si>
    <t>Matriz de seguimiento a la página web de rama judicial.
Correo electrónico: notificacionesjudiciales@itc.edu.co</t>
  </si>
  <si>
    <t>Pendiente documentar</t>
  </si>
  <si>
    <t>La Profesional de Gestión Jurídica, dos (2) veces por semana, consulta el estado de los procesos judiciales asignados mediante la plataforma de Consulta de Procesos de la Rama Judicial o los medios oficiales dispuestos por las autoridades competentes, verificando la existencia de nuevas actuaciones y los términos procesales aplicables, con el fin de garantizar su atención oportuna.
La evidencia del control es la Matriz de seguimiento a la página web de rama judicial y los correos de notificacionesjudiciales@itc.edu.co
Cuando identifique actuaciones con término próximo a vencer, registra inmediatamente la actuación en la matriz de control de términos e informa al Secretario General para priorizar su atención. Si la plataforma de consulta presenta indisponibilidad, realiza la verificación mediante el canal oficial de notificaciones judiciales y demás medios habilitados por la autoridad judicial.</t>
  </si>
  <si>
    <t>El/la Profesional de Gestión Jurídica cada vez que se reciba una actuación o requerimiento judicial, registra la información en la matriz de seguimiento de términos, indicando la fecha de recepción, término legal, responsable y fecha límite de respuesta, con el fin de realizar el control oportuno de los vencimientos. Como evidencia se conserva la matriz de seguimiento debidamente actualizada.
Semanalmente el Secretario General verifica la actualización de la matriz y, en caso de identificar actuaciones sin registrar, términos próximos a vencer o inconsistencias, solicita su actualización inmediata y realiza seguimiento hasta el cierre de la novedad.</t>
  </si>
  <si>
    <t>matriz de seguimiento debidamente actualizada.
Solicitud del Secretario General en caso de identificar inconsistencias</t>
  </si>
  <si>
    <t>Implementar alertas automáticas en Outlook o en la matriz de seguimiento para los vencimientos de términos.</t>
  </si>
  <si>
    <t>Realizar conciliaciones mensuales entre la matriz institucional y los procesos consultados en la Rama Judicial.</t>
  </si>
  <si>
    <t>Circulares.
Comunicados.
Correos electrónicos.
Lineamientos jurídicos.</t>
  </si>
  <si>
    <t>Elaborar e implementar un procedimiento definiendo la metodología para la gestión, seguimiento de cambios normativos, actualización de normograma y responsables</t>
  </si>
  <si>
    <t>El Secretario General, cada vez que se proyecte un concepto jurídico, acto administrativo o documento de contenido jurídico de especial relevancia, verifica que su contenido se encuentre soportado en la normatividad vigente, los antecedentes y la evidencia documental correspondiente, con el propósito de prevenir actuaciones contrarias al ordenamiento jurídico o que favorezcan indebidamente intereses particulares. En caso de identificar inconsistencias, ausencia de soportes o posibles conflictos de interés, devuelve el documento al responsable para su ajuste y realiza seguimiento hasta la subsanación de las observaciones.</t>
  </si>
  <si>
    <t>Los servidores públicos y contratistas que intervengan en la elaboración de conceptos jurídicos, actuaciones judiciales o revisión de actos administrativos, cada vez que identifiquen un posible conflicto de interés, informan inmediatamente al Secretario General y se abstienen de participar en la actuación correspondiente, con el propósito de garantizar la imparcialidad en las decisiones jurídicas. En caso de identificarse un conflicto de interés durante el desarrollo de la actuación, el Secretario General designa un nuevo responsable y deja la respectiva trazabilidad documental.</t>
  </si>
  <si>
    <t>El Secretario General, trimestralmente, selecciona una muestra de conceptos jurídicos, actuaciones judiciales y actos administrativos revisados por la dependencia para verificar que se encuentren soportados en la normatividad vigente y que no existan actuaciones que puedan evidenciar favorecimiento indebido de terceros. En caso de identificar inconsistencias, informa a la autoridad competente y define las acciones de mejora correspondientes.</t>
  </si>
  <si>
    <t>Los profesionales jurídicos de la Secretaría General, cada vez que elaboren conceptos jurídicos o revisen actos administrativos, conservan los soportes normativos, jurisprudenciales y documentales que sustentan el análisis realizado, con el propósito de garantizar la trazabilidad y transparencia de las actuaciones jurídicas. En caso de evidenciar ausencia de soportes, el documento no podrá emitirse hasta completar la documentación requerida.</t>
  </si>
  <si>
    <t>Implementar la revisión y validación previa de conceptos jurídicos y actos administrativos por parte del Secretario General o del Líder de Gestión Jurídica</t>
  </si>
  <si>
    <t>Implementar un mecanismo de declaración y gestión de conflictos de interés para las actuaciones jurídicas de mayor impacto.</t>
  </si>
  <si>
    <t>Diseñar e implementar una lista de verificación para la elaboración y revisión de conceptos jurídicos y actos administrativos.</t>
  </si>
  <si>
    <t>Desarrollar actividades periódicas de sensibilización sobre integridad, transparencia y prevención de la corrupción dirigidas al personal de la Secretaría General.</t>
  </si>
  <si>
    <t>A la fecha se ha realizado el seguimiento de los procesos judiciales en los cuales la entidad actúa como demandante o demandado, cada 15 días a través de la plataforma SAMAI (casos contenciosos administrativos) y la Rama Judicial (jurisdicción ordinaria), así como el seguimiento y verificación, dos veces por semana, por medio del correo electrónico (notificacionesjudiciales), de conformidad con el CPACA.</t>
  </si>
  <si>
    <t>El Secretario General verificó semanalmente la actualización de la matriz y  no encontró falta de diligenciamiento de terminos realizados por el abogado para el seguimiento de los proceso judiciales.</t>
  </si>
  <si>
    <t>Los profesionales jurídicos de la Secretaría General, cada vez que se expida una disposición normativa o jurisprudencial que impacte la gestión de la ETITC, analizan su aplicabilidad y evaluarán la necesidad de elaboracion  de circular, comunicado o lineamiento institucional correspondiente, con el propósito de garantizar la actualización y aplicación oportuna de la normatividad vigente en las actuaciones de la Entidad. En caso de identificar que una actualización normativa no fue analizada o socializada oportunamente, realizan de manera inmediata el análisis, emiten la comunicación correspondiente e informan a las dependencias involucradas para la adopción de las acciones pertinentes.</t>
  </si>
  <si>
    <t xml:space="preserve">El abogado de la secretaria general, luego de la revision quincenal en los portales web de las entidandes regulatorias del sector nacional, NO encontro que se expidera normatividad que impacte a la ETITC. </t>
  </si>
  <si>
    <t>https://itceduco-my.sharepoint.com/personal/calidad_itc_edu_co/_layouts/15/onedrive.aspx?id=%2Fpersonal%2Fcalidad%5Fitc%5Fedu%5Fco%2FDocuments%2F1%2E%20CALIDAD%2FRIESGOS%2FMAPA%20DE%20RIESGOS%202026%2FMONITOREO%20RIESGOS%20%2D%20I%20y%20II%20CUATRIMESTRE%202026%2F16%2E%20Gestión%20Jurídica%2FRevisión%5FProcesos&amp;viewid=447e56a4%2D5745%2D47ab%2D890b%2D6d01b02bc3f2&amp;ga=1</t>
  </si>
  <si>
    <t>Se revisaron y validaron los actos administrativos y conceptos jurídicos emitidos en el periodo, verificando su soporte normativo. Sin desviaciones</t>
  </si>
  <si>
    <t>Durante el periodo no se identificaron situaciones de conflictos de interés; el personal dio cumplimiento al deber de abstención y reporte en las actuaciones jurídicas.</t>
  </si>
  <si>
    <t>Los profesionales jurídicos conservaron los soportes normativos y jurisprudenciales de los documentos emitidos. No se presentaron emisiones sin la documentación completa</t>
  </si>
  <si>
    <t>Se ejecutó la selección y revisión de la muestra trimestral de conceptos y actuaciones jurídicas, comprobando su adecuación a la normatividad vigente sin evidenciar desviaciones</t>
  </si>
  <si>
    <t>Concepto o acto administrativo con visto bueno (firma o aprobación electrónica) y lista de chequeo jurídica anexada.</t>
  </si>
  <si>
    <t>Correo electrónico de declaración del conflicto de interés y memorando o correo de designación del nuevo responsable.</t>
  </si>
  <si>
    <t>Acta o informe trimestral de revisión de expedientes, indicando la muestra revisada y las observaciones encontradas.</t>
  </si>
  <si>
    <t>Carpeta digital del expediente con los documentos de soporte (normas, jurisprudencia, antecedentes y concepto jurídico).</t>
  </si>
  <si>
    <t>Líder de Gestión Jurídica o a quien designe</t>
  </si>
  <si>
    <t>Captura de pantalla de la regla o recordatorio de Outlook, o matriz de seguimiento con la columna de alerta y fechas de vencimiento.</t>
  </si>
  <si>
    <t>Acta breve o formato de conciliación mensual firmado, con la relación de procesos conciliados.</t>
  </si>
  <si>
    <t>Procedimiento aprobado y registro de actualización del normograma (control de cambios o versión vigente).</t>
  </si>
  <si>
    <t>Documento con visto bueno del Secretario General o correo de aprobación antes de su emisión.</t>
  </si>
  <si>
    <t>Formato de declaración de conflicto de interés diligenciado o registro de “sin conflicto de interés” firmado por el responsable.</t>
  </si>
  <si>
    <t>Lista de chequeo diligenciada y anexada al expediente del documento revisado.</t>
  </si>
  <si>
    <t>Lista de asistencia y presentación o material utilizado en la capacitación.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</si>
</sst>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10">
    <font>
      <sz val="11"/>
      <color theme="1"/>
      <name val="Calibri"/>
      <family val="2"/>
      <scheme val="minor"/>
    </font>
    <font>
      <sz val="11"/>
      <name val="Arial Narrow"/>
      <family val="2"/>
    </font>
    <font>
      <sz val="10"/>
      <color rgb="FF000000"/>
      <name val="Arial Narrow"/>
      <family val="2"/>
    </font>
    <font>
      <b/>
      <sz val="11"/>
      <color theme="1"/>
      <name val="Arial Narrow"/>
      <family val="2"/>
    </font>
    <font>
      <sz val="10"/>
      <color theme="1"/>
      <name val="Calibri"/>
      <family val="2"/>
      <scheme val="minor"/>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theme="1"/>
      <name val="Arial Narrow"/>
      <family val="2"/>
    </font>
    <font>
      <b/>
      <sz val="22"/>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b/>
      <sz val="10"/>
      <name val="Arial"/>
      <family val="2"/>
    </font>
    <font>
      <b/>
      <sz val="12"/>
      <color rgb="FF000000"/>
      <name val="Arial"/>
      <family val="2"/>
    </font>
    <font>
      <b/>
      <sz val="12"/>
      <name val="Arial"/>
      <family val="2"/>
    </font>
    <font>
      <sz val="6"/>
      <color theme="1"/>
      <name val="Arial"/>
      <family val="2"/>
    </font>
    <font>
      <b/>
      <sz val="14"/>
      <color rgb="FF000000"/>
      <name val="Arial"/>
      <family val="2"/>
    </font>
    <font>
      <sz val="14"/>
      <color rgb="FF000000"/>
      <name val="Arial"/>
      <family val="2"/>
    </font>
    <font>
      <b/>
      <sz val="11"/>
      <color theme="0"/>
      <name val="Calibri"/>
      <family val="2"/>
      <scheme val="minor"/>
    </font>
    <font>
      <b/>
      <sz val="11"/>
      <color theme="1"/>
      <name val="Calibri"/>
      <family val="2"/>
      <scheme val="minor"/>
    </font>
    <font>
      <b/>
      <sz val="5"/>
      <color rgb="FF000000"/>
      <name val="Arial"/>
      <family val="2"/>
    </font>
    <font>
      <b/>
      <sz val="6"/>
      <color rgb="FF000000"/>
      <name val="Arial"/>
      <family val="2"/>
    </font>
    <font>
      <b/>
      <sz val="11"/>
      <color rgb="FF292929"/>
      <name val="Arial"/>
      <family val="2"/>
    </font>
    <font>
      <sz val="11"/>
      <color theme="1"/>
      <name val="Arial"/>
      <family val="2"/>
    </font>
    <font>
      <b/>
      <sz val="8"/>
      <color theme="1"/>
      <name val="Arial"/>
      <family val="2"/>
    </font>
    <font>
      <b/>
      <sz val="5"/>
      <color theme="1"/>
      <name val="Arial"/>
      <family val="2"/>
    </font>
    <font>
      <b/>
      <sz val="6"/>
      <color theme="1"/>
      <name val="Arial"/>
      <family val="2"/>
    </font>
    <font>
      <b/>
      <sz val="9"/>
      <color rgb="FF292929"/>
      <name val="Arial"/>
      <family val="2"/>
    </font>
    <font>
      <b/>
      <sz val="11"/>
      <color theme="0"/>
      <name val="Arial"/>
      <family val="2"/>
    </font>
    <font>
      <sz val="10"/>
      <color theme="1"/>
      <name val="Arial"/>
      <family val="2"/>
    </font>
    <font>
      <b/>
      <sz val="10"/>
      <color theme="0"/>
      <name val="Arial"/>
      <family val="2"/>
    </font>
    <font>
      <b/>
      <sz val="10"/>
      <color theme="1"/>
      <name val="Arial"/>
      <family val="2"/>
    </font>
    <font>
      <b/>
      <u/>
      <sz val="10"/>
      <color theme="1"/>
      <name val="Arial"/>
      <family val="2"/>
    </font>
    <font>
      <i/>
      <sz val="9"/>
      <color rgb="FF000000"/>
      <name val="Arial"/>
      <family val="2"/>
    </font>
    <font>
      <b/>
      <sz val="11"/>
      <color theme="1"/>
      <name val="Arial"/>
      <family val="2"/>
    </font>
    <font>
      <b/>
      <sz val="11"/>
      <color rgb="FF000000"/>
      <name val="Arial"/>
      <family val="2"/>
    </font>
    <font>
      <b/>
      <sz val="11"/>
      <color theme="1"/>
      <name val="Times New Roman"/>
      <family val="1"/>
    </font>
    <font>
      <b/>
      <sz val="11"/>
      <color theme="0"/>
      <name val="Times New Roman"/>
      <family val="1"/>
    </font>
    <font>
      <sz val="11"/>
      <color theme="0"/>
      <name val="Times New Roman"/>
      <family val="1"/>
    </font>
    <font>
      <sz val="11"/>
      <color rgb="FF7030A0"/>
      <name val="Calibri"/>
      <family val="2"/>
      <scheme val="minor"/>
    </font>
    <font>
      <b/>
      <sz val="16"/>
      <color rgb="FF7030A0"/>
      <name val="Times New Roman"/>
      <family val="1"/>
    </font>
    <font>
      <b/>
      <sz val="18"/>
      <color theme="0"/>
      <name val="Arial"/>
      <family val="2"/>
    </font>
    <font>
      <b/>
      <sz val="12"/>
      <color theme="0"/>
      <name val="Arial"/>
      <family val="2"/>
    </font>
    <font>
      <sz val="11"/>
      <color rgb="FF000000"/>
      <name val="Arial"/>
      <family val="2"/>
    </font>
    <font>
      <sz val="10"/>
      <color theme="0"/>
      <name val="Arial"/>
      <family val="2"/>
    </font>
    <font>
      <b/>
      <sz val="22"/>
      <color rgb="FF000000"/>
      <name val="Arial"/>
      <family val="2"/>
    </font>
    <font>
      <b/>
      <sz val="18"/>
      <name val="Arial"/>
      <family val="2"/>
    </font>
    <font>
      <sz val="11"/>
      <color theme="0"/>
      <name val="Arial"/>
      <family val="2"/>
    </font>
    <font>
      <sz val="11"/>
      <name val="Arial"/>
      <family val="2"/>
    </font>
    <font>
      <sz val="14"/>
      <name val="Arial"/>
      <family val="2"/>
    </font>
    <font>
      <b/>
      <sz val="14"/>
      <name val="Arial"/>
      <family val="2"/>
    </font>
    <font>
      <b/>
      <sz val="12"/>
      <color theme="0"/>
      <name val="Arial Black"/>
      <family val="2"/>
    </font>
    <font>
      <sz val="11"/>
      <color theme="9"/>
      <name val="Arial"/>
      <family val="2"/>
    </font>
    <font>
      <b/>
      <sz val="11"/>
      <name val="Arial"/>
      <family val="2"/>
    </font>
    <font>
      <u/>
      <sz val="11"/>
      <color theme="10"/>
      <name val="Calibri"/>
      <family val="2"/>
      <scheme val="minor"/>
    </font>
    <font>
      <sz val="11"/>
      <color rgb="FF000000"/>
      <name val="Calibri"/>
      <family val="2"/>
      <scheme val="minor"/>
    </font>
    <font>
      <b/>
      <sz val="11"/>
      <name val="Arial"/>
      <family val="2"/>
    </font>
    <font>
      <b/>
      <sz val="10"/>
      <color rgb="FF000000"/>
      <name val="Arial"/>
      <family val="2"/>
    </font>
    <font>
      <sz val="11"/>
      <color rgb="FF000000"/>
      <name val="Calibri"/>
      <family val="2"/>
    </font>
    <font>
      <sz val="10"/>
      <color theme="1"/>
      <name val="Arial Narrow"/>
      <family val="2"/>
    </font>
    <font>
      <sz val="14"/>
      <color rgb="FF000000"/>
      <name val="-webkit-standard"/>
    </font>
    <font>
      <b/>
      <sz val="36"/>
      <color rgb="FF000000"/>
      <name val="Calibri"/>
      <family val="2"/>
      <scheme val="minor"/>
    </font>
    <font>
      <sz val="36"/>
      <color rgb="FF000000"/>
      <name val="Calibri"/>
      <family val="2"/>
      <scheme val="minor"/>
    </font>
    <font>
      <sz val="10"/>
      <color rgb="FF000000"/>
      <name val="Tahoma"/>
      <family val="2"/>
    </font>
    <font>
      <b/>
      <sz val="10"/>
      <color rgb="FF000000"/>
      <name val="Tahoma"/>
      <family val="2"/>
    </font>
    <font>
      <sz val="10"/>
      <color rgb="FF000000"/>
      <name val="Calibri"/>
      <family val="2"/>
    </font>
    <font>
      <sz val="11"/>
      <color theme="1"/>
      <name val="Arial Narrow"/>
      <family val="2"/>
    </font>
    <font>
      <sz val="11"/>
      <name val="Arial"/>
    </font>
  </fonts>
  <fills count="30">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26783C"/>
        <bgColor indexed="64"/>
      </patternFill>
    </fill>
    <fill>
      <patternFill patternType="solid">
        <fgColor theme="0" tint="-0.14999847407452621"/>
        <bgColor indexed="64"/>
      </patternFill>
    </fill>
    <fill>
      <patternFill patternType="solid">
        <fgColor rgb="FF287840"/>
        <bgColor indexed="64"/>
      </patternFill>
    </fill>
    <fill>
      <patternFill patternType="solid">
        <fgColor theme="0" tint="-0.499984740745262"/>
        <bgColor indexed="64"/>
      </patternFill>
    </fill>
    <fill>
      <patternFill patternType="solid">
        <fgColor rgb="FFDAAA00"/>
        <bgColor indexed="64"/>
      </patternFill>
    </fill>
    <fill>
      <patternFill patternType="solid">
        <fgColor rgb="FF4E4B48"/>
        <bgColor indexed="64"/>
      </patternFill>
    </fill>
    <fill>
      <patternFill patternType="solid">
        <fgColor rgb="FFFFFFFF"/>
        <bgColor rgb="FFFFFFFF"/>
      </patternFill>
    </fill>
    <fill>
      <patternFill patternType="solid">
        <fgColor rgb="FFFFFFFF"/>
        <bgColor rgb="FF000000"/>
      </patternFill>
    </fill>
    <fill>
      <patternFill patternType="solid">
        <fgColor rgb="FFFFFFFF"/>
        <bgColor indexed="64"/>
      </patternFill>
    </fill>
    <fill>
      <patternFill patternType="solid">
        <fgColor rgb="FFB4B3B6"/>
        <bgColor indexed="64"/>
      </patternFill>
    </fill>
    <fill>
      <patternFill patternType="solid">
        <fgColor rgb="FF00CC66"/>
        <bgColor indexed="64"/>
      </patternFill>
    </fill>
    <fill>
      <patternFill patternType="solid">
        <fgColor theme="0" tint="-4.9989318521683403E-2"/>
        <bgColor indexed="64"/>
      </patternFill>
    </fill>
    <fill>
      <patternFill patternType="solid">
        <fgColor theme="6" tint="-0.499984740745262"/>
        <bgColor indexed="64"/>
      </patternFill>
    </fill>
    <fill>
      <patternFill patternType="solid">
        <fgColor theme="6" tint="0.79998168889431442"/>
        <bgColor indexed="64"/>
      </patternFill>
    </fill>
  </fills>
  <borders count="117">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thin">
        <color auto="1"/>
      </left>
      <right/>
      <top/>
      <bottom style="thin">
        <color auto="1"/>
      </bottom>
      <diagonal/>
    </border>
    <border>
      <left/>
      <right/>
      <top/>
      <bottom style="dashed">
        <color theme="9" tint="-0.2499465926084170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ck">
        <color auto="1"/>
      </left>
      <right style="thick">
        <color auto="1"/>
      </right>
      <top style="thick">
        <color auto="1"/>
      </top>
      <bottom style="thick">
        <color auto="1"/>
      </bottom>
      <diagonal/>
    </border>
    <border>
      <left style="medium">
        <color rgb="FF000000"/>
      </left>
      <right style="thin">
        <color indexed="64"/>
      </right>
      <top style="medium">
        <color rgb="FF000000"/>
      </top>
      <bottom/>
      <diagonal/>
    </border>
    <border>
      <left style="medium">
        <color rgb="FF000000"/>
      </left>
      <right style="thin">
        <color indexed="64"/>
      </right>
      <top/>
      <bottom/>
      <diagonal/>
    </border>
    <border>
      <left style="thin">
        <color rgb="FF4B514E"/>
      </left>
      <right/>
      <top/>
      <bottom/>
      <diagonal/>
    </border>
    <border>
      <left/>
      <right style="thin">
        <color indexed="64"/>
      </right>
      <top/>
      <bottom/>
      <diagonal/>
    </border>
    <border>
      <left style="medium">
        <color rgb="FF000000"/>
      </left>
      <right style="thin">
        <color indexed="64"/>
      </right>
      <top/>
      <bottom style="medium">
        <color rgb="FF000000"/>
      </bottom>
      <diagonal/>
    </border>
    <border>
      <left style="thin">
        <color rgb="FF4B514E"/>
      </left>
      <right style="thin">
        <color rgb="FF4B514E"/>
      </right>
      <top style="thin">
        <color rgb="FF4B514E"/>
      </top>
      <bottom style="thin">
        <color rgb="FF4B514E"/>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rgb="FF000000"/>
      </left>
      <right/>
      <top/>
      <bottom/>
      <diagonal/>
    </border>
    <border>
      <left/>
      <right style="thin">
        <color rgb="FF4B514E"/>
      </right>
      <top/>
      <bottom/>
      <diagonal/>
    </border>
    <border>
      <left style="thin">
        <color rgb="FF4B514E"/>
      </left>
      <right/>
      <top style="medium">
        <color indexed="64"/>
      </top>
      <bottom/>
      <diagonal/>
    </border>
    <border>
      <left style="thin">
        <color rgb="FF4B514E"/>
      </left>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auto="1"/>
      </left>
      <right/>
      <top style="thin">
        <color auto="1"/>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ck">
        <color auto="1"/>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
      <left/>
      <right style="thin">
        <color rgb="FF000000"/>
      </right>
      <top style="thin">
        <color auto="1"/>
      </top>
      <bottom style="thin">
        <color indexed="64"/>
      </bottom>
      <diagonal/>
    </border>
    <border>
      <left style="thin">
        <color indexed="64"/>
      </left>
      <right style="thin">
        <color indexed="64"/>
      </right>
      <top style="thin">
        <color rgb="FF000000"/>
      </top>
      <bottom/>
      <diagonal/>
    </border>
    <border>
      <left/>
      <right style="thin">
        <color indexed="64"/>
      </right>
      <top style="medium">
        <color rgb="FF000000"/>
      </top>
      <bottom/>
      <diagonal/>
    </border>
    <border>
      <left/>
      <right style="thin">
        <color indexed="64"/>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6">
    <xf numFmtId="0" fontId="0" fillId="0" borderId="0"/>
    <xf numFmtId="9" fontId="12" fillId="0" borderId="0" applyFont="0" applyFill="0" applyBorder="0" applyAlignment="0" applyProtection="0"/>
    <xf numFmtId="0" fontId="43" fillId="0" borderId="0"/>
    <xf numFmtId="0" fontId="44" fillId="0" borderId="0"/>
    <xf numFmtId="0" fontId="4" fillId="0" borderId="0"/>
    <xf numFmtId="0" fontId="96" fillId="0" borderId="0" applyNumberFormat="0" applyFill="0" applyBorder="0" applyAlignment="0" applyProtection="0"/>
  </cellStyleXfs>
  <cellXfs count="756">
    <xf numFmtId="0" fontId="0" fillId="0" borderId="0" xfId="0"/>
    <xf numFmtId="0" fontId="4" fillId="0" borderId="0" xfId="0" applyFont="1"/>
    <xf numFmtId="0" fontId="2" fillId="0" borderId="1" xfId="0" applyFont="1" applyBorder="1" applyAlignment="1">
      <alignment horizontal="left" vertical="center" wrapText="1" indent="1" readingOrder="1"/>
    </xf>
    <xf numFmtId="0" fontId="6" fillId="0" borderId="0" xfId="0" applyFont="1" applyAlignment="1">
      <alignment horizontal="center" vertical="center" wrapText="1"/>
    </xf>
    <xf numFmtId="0" fontId="7" fillId="6" borderId="0" xfId="0" applyFont="1" applyFill="1" applyAlignment="1">
      <alignment horizontal="center" vertical="center" wrapText="1" readingOrder="1"/>
    </xf>
    <xf numFmtId="0" fontId="8" fillId="5" borderId="4" xfId="0" applyFont="1" applyFill="1" applyBorder="1" applyAlignment="1">
      <alignment horizontal="center" vertical="center" wrapText="1" readingOrder="1"/>
    </xf>
    <xf numFmtId="0" fontId="8" fillId="0" borderId="4" xfId="0" applyFont="1" applyBorder="1" applyAlignment="1">
      <alignment horizontal="justify" vertical="center" wrapText="1" readingOrder="1"/>
    </xf>
    <xf numFmtId="9" fontId="8" fillId="0" borderId="4" xfId="0" applyNumberFormat="1" applyFont="1" applyBorder="1" applyAlignment="1">
      <alignment horizontal="center" vertical="center" wrapText="1" readingOrder="1"/>
    </xf>
    <xf numFmtId="0" fontId="8" fillId="7" borderId="1" xfId="0" applyFont="1" applyFill="1" applyBorder="1" applyAlignment="1">
      <alignment horizontal="center" vertical="center" wrapText="1" readingOrder="1"/>
    </xf>
    <xf numFmtId="0" fontId="8" fillId="0" borderId="1" xfId="0" applyFont="1" applyBorder="1" applyAlignment="1">
      <alignment horizontal="justify" vertical="center" wrapText="1" readingOrder="1"/>
    </xf>
    <xf numFmtId="9" fontId="8" fillId="0" borderId="1" xfId="0" applyNumberFormat="1" applyFont="1" applyBorder="1" applyAlignment="1">
      <alignment horizontal="center" vertical="center" wrapText="1" readingOrder="1"/>
    </xf>
    <xf numFmtId="0" fontId="8" fillId="4" borderId="1" xfId="0" applyFont="1" applyFill="1" applyBorder="1" applyAlignment="1">
      <alignment horizontal="center" vertical="center" wrapText="1" readingOrder="1"/>
    </xf>
    <xf numFmtId="0" fontId="8" fillId="8" borderId="1" xfId="0" applyFont="1" applyFill="1" applyBorder="1" applyAlignment="1">
      <alignment horizontal="center" vertical="center" wrapText="1" readingOrder="1"/>
    </xf>
    <xf numFmtId="0" fontId="9" fillId="9" borderId="1" xfId="0" applyFont="1" applyFill="1" applyBorder="1" applyAlignment="1">
      <alignment horizontal="center" vertical="center" wrapText="1" readingOrder="1"/>
    </xf>
    <xf numFmtId="0" fontId="13" fillId="0" borderId="0" xfId="0" applyFont="1"/>
    <xf numFmtId="0" fontId="11" fillId="0" borderId="0" xfId="0" applyFont="1"/>
    <xf numFmtId="0" fontId="24" fillId="0" borderId="0" xfId="0" applyFont="1" applyAlignment="1">
      <alignment vertical="center"/>
    </xf>
    <xf numFmtId="0" fontId="25" fillId="0" borderId="0" xfId="0" applyFont="1"/>
    <xf numFmtId="0" fontId="23" fillId="0" borderId="0" xfId="0" applyFont="1"/>
    <xf numFmtId="0" fontId="0" fillId="0" borderId="0" xfId="0" pivotButton="1"/>
    <xf numFmtId="0" fontId="10" fillId="0" borderId="0" xfId="0" applyFont="1" applyAlignment="1">
      <alignment horizontal="justify" vertical="center" wrapText="1" readingOrder="1"/>
    </xf>
    <xf numFmtId="0" fontId="26" fillId="0" borderId="0" xfId="0" applyFont="1"/>
    <xf numFmtId="0" fontId="28" fillId="6" borderId="0" xfId="0" applyFont="1" applyFill="1" applyAlignment="1">
      <alignment horizontal="center" vertical="center" wrapText="1" readingOrder="1"/>
    </xf>
    <xf numFmtId="0" fontId="29" fillId="0" borderId="4" xfId="0" applyFont="1" applyBorder="1" applyAlignment="1">
      <alignment horizontal="justify" vertical="center" wrapText="1" readingOrder="1"/>
    </xf>
    <xf numFmtId="0" fontId="29" fillId="0" borderId="1" xfId="0" applyFont="1" applyBorder="1" applyAlignment="1">
      <alignment horizontal="justify" vertical="center" wrapText="1" readingOrder="1"/>
    </xf>
    <xf numFmtId="0" fontId="29" fillId="5" borderId="4" xfId="0" applyFont="1" applyFill="1" applyBorder="1" applyAlignment="1">
      <alignment horizontal="center" vertical="center" wrapText="1" readingOrder="1"/>
    </xf>
    <xf numFmtId="0" fontId="29" fillId="7" borderId="1" xfId="0" applyFont="1" applyFill="1" applyBorder="1" applyAlignment="1">
      <alignment horizontal="center" vertical="center" wrapText="1" readingOrder="1"/>
    </xf>
    <xf numFmtId="0" fontId="29" fillId="4" borderId="1" xfId="0" applyFont="1" applyFill="1" applyBorder="1" applyAlignment="1">
      <alignment horizontal="center" vertical="center" wrapText="1" readingOrder="1"/>
    </xf>
    <xf numFmtId="0" fontId="29" fillId="8" borderId="1" xfId="0" applyFont="1" applyFill="1" applyBorder="1" applyAlignment="1">
      <alignment horizontal="center" vertical="center" wrapText="1" readingOrder="1"/>
    </xf>
    <xf numFmtId="0" fontId="30" fillId="9" borderId="1" xfId="0" applyFont="1" applyFill="1" applyBorder="1" applyAlignment="1">
      <alignment horizontal="center" vertical="center" wrapText="1" readingOrder="1"/>
    </xf>
    <xf numFmtId="0" fontId="29" fillId="0" borderId="4" xfId="0" applyFont="1" applyBorder="1" applyAlignment="1">
      <alignment horizontal="center" vertical="center" wrapText="1" readingOrder="1"/>
    </xf>
    <xf numFmtId="0" fontId="29" fillId="0" borderId="1" xfId="0" applyFont="1" applyBorder="1" applyAlignment="1">
      <alignment horizontal="center" vertical="center" wrapText="1" readingOrder="1"/>
    </xf>
    <xf numFmtId="0" fontId="17" fillId="11" borderId="5" xfId="0" applyFont="1" applyFill="1" applyBorder="1" applyAlignment="1" applyProtection="1">
      <alignment horizontal="center" vertical="center" wrapText="1" readingOrder="1"/>
      <protection hidden="1"/>
    </xf>
    <xf numFmtId="0" fontId="17" fillId="11" borderId="12" xfId="0" applyFont="1" applyFill="1" applyBorder="1" applyAlignment="1" applyProtection="1">
      <alignment horizontal="center" vertical="center" wrapText="1" readingOrder="1"/>
      <protection hidden="1"/>
    </xf>
    <xf numFmtId="0" fontId="17" fillId="11" borderId="6" xfId="0" applyFont="1" applyFill="1" applyBorder="1" applyAlignment="1" applyProtection="1">
      <alignment horizontal="center" vertical="center" wrapText="1" readingOrder="1"/>
      <protection hidden="1"/>
    </xf>
    <xf numFmtId="0" fontId="17" fillId="12" borderId="5" xfId="0" applyFont="1" applyFill="1" applyBorder="1" applyAlignment="1" applyProtection="1">
      <alignment horizontal="center" wrapText="1" readingOrder="1"/>
      <protection hidden="1"/>
    </xf>
    <xf numFmtId="0" fontId="17" fillId="12" borderId="12" xfId="0" applyFont="1" applyFill="1" applyBorder="1" applyAlignment="1" applyProtection="1">
      <alignment horizontal="center" wrapText="1" readingOrder="1"/>
      <protection hidden="1"/>
    </xf>
    <xf numFmtId="0" fontId="17" fillId="12" borderId="6" xfId="0" applyFont="1" applyFill="1" applyBorder="1" applyAlignment="1" applyProtection="1">
      <alignment horizontal="center" wrapText="1" readingOrder="1"/>
      <protection hidden="1"/>
    </xf>
    <xf numFmtId="0" fontId="17" fillId="11" borderId="7" xfId="0" applyFont="1" applyFill="1" applyBorder="1" applyAlignment="1" applyProtection="1">
      <alignment horizontal="center" vertical="center" wrapText="1" readingOrder="1"/>
      <protection hidden="1"/>
    </xf>
    <xf numFmtId="0" fontId="17" fillId="11" borderId="0" xfId="0" applyFont="1" applyFill="1" applyAlignment="1" applyProtection="1">
      <alignment horizontal="center" vertical="center" wrapText="1" readingOrder="1"/>
      <protection hidden="1"/>
    </xf>
    <xf numFmtId="0" fontId="17" fillId="11" borderId="8" xfId="0" applyFont="1" applyFill="1" applyBorder="1" applyAlignment="1" applyProtection="1">
      <alignment horizontal="center" vertical="center" wrapText="1" readingOrder="1"/>
      <protection hidden="1"/>
    </xf>
    <xf numFmtId="0" fontId="17" fillId="12" borderId="7" xfId="0" applyFont="1" applyFill="1" applyBorder="1" applyAlignment="1" applyProtection="1">
      <alignment horizontal="center" wrapText="1" readingOrder="1"/>
      <protection hidden="1"/>
    </xf>
    <xf numFmtId="0" fontId="17" fillId="12" borderId="0" xfId="0" applyFont="1" applyFill="1" applyAlignment="1" applyProtection="1">
      <alignment horizontal="center" wrapText="1" readingOrder="1"/>
      <protection hidden="1"/>
    </xf>
    <xf numFmtId="0" fontId="17" fillId="12" borderId="8" xfId="0" applyFont="1" applyFill="1" applyBorder="1" applyAlignment="1" applyProtection="1">
      <alignment horizontal="center" wrapText="1" readingOrder="1"/>
      <protection hidden="1"/>
    </xf>
    <xf numFmtId="0" fontId="17" fillId="11" borderId="9" xfId="0" applyFont="1" applyFill="1" applyBorder="1" applyAlignment="1" applyProtection="1">
      <alignment horizontal="center" vertical="center" wrapText="1" readingOrder="1"/>
      <protection hidden="1"/>
    </xf>
    <xf numFmtId="0" fontId="17" fillId="11" borderId="11" xfId="0" applyFont="1" applyFill="1" applyBorder="1" applyAlignment="1" applyProtection="1">
      <alignment horizontal="center" vertical="center" wrapText="1" readingOrder="1"/>
      <protection hidden="1"/>
    </xf>
    <xf numFmtId="0" fontId="17" fillId="11" borderId="10" xfId="0" applyFont="1" applyFill="1" applyBorder="1" applyAlignment="1" applyProtection="1">
      <alignment horizontal="center" vertical="center" wrapText="1" readingOrder="1"/>
      <protection hidden="1"/>
    </xf>
    <xf numFmtId="0" fontId="17" fillId="12" borderId="9" xfId="0" applyFont="1" applyFill="1" applyBorder="1" applyAlignment="1" applyProtection="1">
      <alignment horizontal="center" wrapText="1" readingOrder="1"/>
      <protection hidden="1"/>
    </xf>
    <xf numFmtId="0" fontId="17" fillId="12" borderId="11" xfId="0" applyFont="1" applyFill="1" applyBorder="1" applyAlignment="1" applyProtection="1">
      <alignment horizontal="center" wrapText="1" readingOrder="1"/>
      <protection hidden="1"/>
    </xf>
    <xf numFmtId="0" fontId="17" fillId="12" borderId="10" xfId="0" applyFont="1" applyFill="1" applyBorder="1" applyAlignment="1" applyProtection="1">
      <alignment horizontal="center" wrapText="1" readingOrder="1"/>
      <protection hidden="1"/>
    </xf>
    <xf numFmtId="0" fontId="17" fillId="13" borderId="5" xfId="0" applyFont="1" applyFill="1" applyBorder="1" applyAlignment="1" applyProtection="1">
      <alignment horizontal="center" wrapText="1" readingOrder="1"/>
      <protection hidden="1"/>
    </xf>
    <xf numFmtId="0" fontId="17" fillId="13" borderId="12" xfId="0" applyFont="1" applyFill="1" applyBorder="1" applyAlignment="1" applyProtection="1">
      <alignment horizontal="center" wrapText="1" readingOrder="1"/>
      <protection hidden="1"/>
    </xf>
    <xf numFmtId="0" fontId="17" fillId="13" borderId="6" xfId="0" applyFont="1" applyFill="1" applyBorder="1" applyAlignment="1" applyProtection="1">
      <alignment horizontal="center" wrapText="1" readingOrder="1"/>
      <protection hidden="1"/>
    </xf>
    <xf numFmtId="0" fontId="17" fillId="13" borderId="7" xfId="0" applyFont="1" applyFill="1" applyBorder="1" applyAlignment="1" applyProtection="1">
      <alignment horizontal="center" wrapText="1" readingOrder="1"/>
      <protection hidden="1"/>
    </xf>
    <xf numFmtId="0" fontId="17" fillId="13" borderId="0" xfId="0" applyFont="1" applyFill="1" applyAlignment="1" applyProtection="1">
      <alignment horizontal="center" wrapText="1" readingOrder="1"/>
      <protection hidden="1"/>
    </xf>
    <xf numFmtId="0" fontId="17" fillId="13" borderId="8" xfId="0" applyFont="1" applyFill="1" applyBorder="1" applyAlignment="1" applyProtection="1">
      <alignment horizontal="center" wrapText="1" readingOrder="1"/>
      <protection hidden="1"/>
    </xf>
    <xf numFmtId="0" fontId="17" fillId="13" borderId="9" xfId="0" applyFont="1" applyFill="1" applyBorder="1" applyAlignment="1" applyProtection="1">
      <alignment horizontal="center" wrapText="1" readingOrder="1"/>
      <protection hidden="1"/>
    </xf>
    <xf numFmtId="0" fontId="17" fillId="13" borderId="11" xfId="0" applyFont="1" applyFill="1" applyBorder="1" applyAlignment="1" applyProtection="1">
      <alignment horizontal="center" wrapText="1" readingOrder="1"/>
      <protection hidden="1"/>
    </xf>
    <xf numFmtId="0" fontId="17" fillId="13" borderId="10" xfId="0" applyFont="1" applyFill="1" applyBorder="1" applyAlignment="1" applyProtection="1">
      <alignment horizontal="center" wrapText="1" readingOrder="1"/>
      <protection hidden="1"/>
    </xf>
    <xf numFmtId="0" fontId="17" fillId="5" borderId="5" xfId="0" applyFont="1" applyFill="1" applyBorder="1" applyAlignment="1" applyProtection="1">
      <alignment horizontal="center" wrapText="1" readingOrder="1"/>
      <protection hidden="1"/>
    </xf>
    <xf numFmtId="0" fontId="17" fillId="5" borderId="12" xfId="0" applyFont="1" applyFill="1" applyBorder="1" applyAlignment="1" applyProtection="1">
      <alignment horizontal="center" wrapText="1" readingOrder="1"/>
      <protection hidden="1"/>
    </xf>
    <xf numFmtId="0" fontId="17" fillId="5" borderId="6" xfId="0" applyFont="1" applyFill="1" applyBorder="1" applyAlignment="1" applyProtection="1">
      <alignment horizontal="center" wrapText="1" readingOrder="1"/>
      <protection hidden="1"/>
    </xf>
    <xf numFmtId="0" fontId="17" fillId="5" borderId="7" xfId="0" applyFont="1" applyFill="1" applyBorder="1" applyAlignment="1" applyProtection="1">
      <alignment horizontal="center" wrapText="1" readingOrder="1"/>
      <protection hidden="1"/>
    </xf>
    <xf numFmtId="0" fontId="17" fillId="5" borderId="0" xfId="0" applyFont="1" applyFill="1" applyAlignment="1" applyProtection="1">
      <alignment horizontal="center" wrapText="1" readingOrder="1"/>
      <protection hidden="1"/>
    </xf>
    <xf numFmtId="0" fontId="17" fillId="5" borderId="8" xfId="0" applyFont="1" applyFill="1" applyBorder="1" applyAlignment="1" applyProtection="1">
      <alignment horizontal="center" wrapText="1" readingOrder="1"/>
      <protection hidden="1"/>
    </xf>
    <xf numFmtId="0" fontId="17" fillId="5" borderId="9" xfId="0" applyFont="1" applyFill="1" applyBorder="1" applyAlignment="1" applyProtection="1">
      <alignment horizontal="center" wrapText="1" readingOrder="1"/>
      <protection hidden="1"/>
    </xf>
    <xf numFmtId="0" fontId="17" fillId="5" borderId="11" xfId="0" applyFont="1" applyFill="1" applyBorder="1" applyAlignment="1" applyProtection="1">
      <alignment horizontal="center" wrapText="1" readingOrder="1"/>
      <protection hidden="1"/>
    </xf>
    <xf numFmtId="0" fontId="17" fillId="5" borderId="10" xfId="0" applyFont="1" applyFill="1" applyBorder="1" applyAlignment="1" applyProtection="1">
      <alignment horizontal="center" wrapText="1" readingOrder="1"/>
      <protection hidden="1"/>
    </xf>
    <xf numFmtId="0" fontId="0" fillId="3" borderId="0" xfId="0" applyFill="1"/>
    <xf numFmtId="0" fontId="45" fillId="3" borderId="39" xfId="2" applyFont="1" applyFill="1" applyBorder="1"/>
    <xf numFmtId="0" fontId="45" fillId="3" borderId="40" xfId="2" applyFont="1" applyFill="1" applyBorder="1"/>
    <xf numFmtId="0" fontId="45" fillId="3" borderId="41" xfId="2" applyFont="1" applyFill="1" applyBorder="1"/>
    <xf numFmtId="0" fontId="14" fillId="3" borderId="0" xfId="0" applyFont="1" applyFill="1" applyAlignment="1">
      <alignment vertical="center"/>
    </xf>
    <xf numFmtId="0" fontId="4" fillId="3" borderId="0" xfId="0" applyFont="1" applyFill="1"/>
    <xf numFmtId="0" fontId="32" fillId="3" borderId="0" xfId="0" applyFont="1" applyFill="1"/>
    <xf numFmtId="0" fontId="34" fillId="3" borderId="22" xfId="0" applyFont="1" applyFill="1" applyBorder="1" applyAlignment="1">
      <alignment horizontal="justify" vertical="center" wrapText="1" readingOrder="1"/>
    </xf>
    <xf numFmtId="9" fontId="33" fillId="3" borderId="31" xfId="0" applyNumberFormat="1" applyFont="1" applyFill="1" applyBorder="1" applyAlignment="1">
      <alignment horizontal="center" vertical="center" wrapText="1" readingOrder="1"/>
    </xf>
    <xf numFmtId="0" fontId="34" fillId="3" borderId="21" xfId="0" applyFont="1" applyFill="1" applyBorder="1" applyAlignment="1">
      <alignment horizontal="justify" vertical="center" wrapText="1" readingOrder="1"/>
    </xf>
    <xf numFmtId="9" fontId="33" fillId="3" borderId="26" xfId="0" applyNumberFormat="1" applyFont="1" applyFill="1" applyBorder="1" applyAlignment="1">
      <alignment horizontal="center" vertical="center" wrapText="1" readingOrder="1"/>
    </xf>
    <xf numFmtId="0" fontId="34" fillId="3" borderId="26" xfId="0" applyFont="1" applyFill="1" applyBorder="1" applyAlignment="1">
      <alignment horizontal="center" vertical="center" wrapText="1" readingOrder="1"/>
    </xf>
    <xf numFmtId="0" fontId="34" fillId="3" borderId="28" xfId="0" applyFont="1" applyFill="1" applyBorder="1" applyAlignment="1">
      <alignment horizontal="justify" vertical="center" wrapText="1" readingOrder="1"/>
    </xf>
    <xf numFmtId="0" fontId="34" fillId="3" borderId="29" xfId="0" applyFont="1" applyFill="1" applyBorder="1" applyAlignment="1">
      <alignment horizontal="center" vertical="center" wrapText="1" readingOrder="1"/>
    </xf>
    <xf numFmtId="0" fontId="42" fillId="3" borderId="0" xfId="0" applyFont="1" applyFill="1"/>
    <xf numFmtId="0" fontId="33" fillId="15" borderId="34" xfId="0" applyFont="1" applyFill="1" applyBorder="1" applyAlignment="1">
      <alignment horizontal="center" vertical="center" wrapText="1" readingOrder="1"/>
    </xf>
    <xf numFmtId="0" fontId="11" fillId="3" borderId="0" xfId="0" applyFont="1" applyFill="1"/>
    <xf numFmtId="0" fontId="27" fillId="3" borderId="0" xfId="0" applyFont="1" applyFill="1" applyAlignment="1">
      <alignment horizontal="center" vertical="center" wrapText="1"/>
    </xf>
    <xf numFmtId="0" fontId="10" fillId="3" borderId="0" xfId="0" applyFont="1" applyFill="1" applyAlignment="1">
      <alignment horizontal="justify" vertical="center" wrapText="1" readingOrder="1"/>
    </xf>
    <xf numFmtId="0" fontId="3" fillId="3" borderId="0" xfId="0" applyFont="1" applyFill="1" applyAlignment="1">
      <alignment vertical="center"/>
    </xf>
    <xf numFmtId="0" fontId="13" fillId="3" borderId="0" xfId="0" applyFont="1" applyFill="1"/>
    <xf numFmtId="0" fontId="3" fillId="3" borderId="0" xfId="0" applyFont="1" applyFill="1" applyAlignment="1">
      <alignment horizontal="left" vertical="center"/>
    </xf>
    <xf numFmtId="0" fontId="45" fillId="3" borderId="7" xfId="2" applyFont="1" applyFill="1" applyBorder="1"/>
    <xf numFmtId="0" fontId="50" fillId="3" borderId="0" xfId="0" applyFont="1" applyFill="1" applyAlignment="1">
      <alignment horizontal="left" vertical="center" wrapText="1"/>
    </xf>
    <xf numFmtId="0" fontId="51" fillId="3" borderId="0" xfId="0" applyFont="1" applyFill="1" applyAlignment="1">
      <alignment horizontal="left" vertical="top" wrapText="1"/>
    </xf>
    <xf numFmtId="0" fontId="45" fillId="3" borderId="0" xfId="2" applyFont="1" applyFill="1"/>
    <xf numFmtId="0" fontId="45" fillId="3" borderId="8" xfId="2" applyFont="1" applyFill="1" applyBorder="1"/>
    <xf numFmtId="0" fontId="45" fillId="3" borderId="9" xfId="2" applyFont="1" applyFill="1" applyBorder="1"/>
    <xf numFmtId="0" fontId="45" fillId="3" borderId="11" xfId="2" applyFont="1" applyFill="1" applyBorder="1"/>
    <xf numFmtId="0" fontId="45" fillId="3" borderId="10" xfId="2" applyFont="1" applyFill="1" applyBorder="1"/>
    <xf numFmtId="0" fontId="49" fillId="3" borderId="0" xfId="2" applyFont="1" applyFill="1" applyAlignment="1">
      <alignment horizontal="left" vertical="center" wrapText="1"/>
    </xf>
    <xf numFmtId="0" fontId="45" fillId="3" borderId="0" xfId="2" applyFont="1" applyFill="1" applyAlignment="1">
      <alignment horizontal="left" vertical="center" wrapText="1"/>
    </xf>
    <xf numFmtId="0" fontId="45" fillId="3" borderId="0" xfId="2" quotePrefix="1" applyFont="1" applyFill="1" applyAlignment="1">
      <alignment horizontal="left" vertical="center" wrapText="1"/>
    </xf>
    <xf numFmtId="0" fontId="47" fillId="3" borderId="7" xfId="2" quotePrefix="1" applyFont="1" applyFill="1" applyBorder="1" applyAlignment="1">
      <alignment horizontal="left" vertical="top" wrapText="1"/>
    </xf>
    <xf numFmtId="0" fontId="48" fillId="3" borderId="0" xfId="2" quotePrefix="1" applyFont="1" applyFill="1" applyAlignment="1">
      <alignment horizontal="left" vertical="top" wrapText="1"/>
    </xf>
    <xf numFmtId="0" fontId="48" fillId="3" borderId="8" xfId="2" quotePrefix="1" applyFont="1" applyFill="1" applyBorder="1" applyAlignment="1">
      <alignment horizontal="left" vertical="top" wrapText="1"/>
    </xf>
    <xf numFmtId="0" fontId="43" fillId="0" borderId="7" xfId="0" applyFont="1" applyBorder="1" applyAlignment="1">
      <alignment vertical="center" wrapText="1"/>
    </xf>
    <xf numFmtId="0" fontId="43" fillId="0" borderId="0" xfId="0" applyFont="1" applyAlignment="1">
      <alignment vertical="center" wrapText="1"/>
    </xf>
    <xf numFmtId="0" fontId="56" fillId="0" borderId="0" xfId="0" applyFont="1" applyAlignment="1">
      <alignment horizontal="center" vertical="center" wrapText="1"/>
    </xf>
    <xf numFmtId="0" fontId="43" fillId="0" borderId="0" xfId="0" applyFont="1" applyAlignment="1">
      <alignment horizontal="center" vertical="center" wrapText="1"/>
    </xf>
    <xf numFmtId="0" fontId="43" fillId="0" borderId="0" xfId="0" applyFont="1" applyAlignment="1">
      <alignment horizontal="left" vertical="center" wrapText="1"/>
    </xf>
    <xf numFmtId="0" fontId="57" fillId="0" borderId="0" xfId="0" applyFont="1" applyAlignment="1">
      <alignment horizontal="center"/>
    </xf>
    <xf numFmtId="0" fontId="59" fillId="0" borderId="0" xfId="0" applyFont="1" applyAlignment="1">
      <alignment horizontal="center" vertical="center" wrapText="1"/>
    </xf>
    <xf numFmtId="0" fontId="0" fillId="0" borderId="0" xfId="0" applyAlignment="1">
      <alignment wrapText="1"/>
    </xf>
    <xf numFmtId="0" fontId="59" fillId="0" borderId="0" xfId="0" applyFont="1" applyAlignment="1">
      <alignment vertical="center" wrapText="1"/>
    </xf>
    <xf numFmtId="0" fontId="55" fillId="0" borderId="63" xfId="0" applyFont="1" applyBorder="1" applyAlignment="1" applyProtection="1">
      <alignment horizontal="center" wrapText="1"/>
      <protection locked="0"/>
    </xf>
    <xf numFmtId="0" fontId="55" fillId="0" borderId="57" xfId="0" applyFont="1" applyBorder="1" applyAlignment="1" applyProtection="1">
      <alignment horizontal="center" wrapText="1"/>
      <protection locked="0"/>
    </xf>
    <xf numFmtId="0" fontId="54" fillId="0" borderId="57" xfId="0" applyFont="1" applyBorder="1" applyAlignment="1">
      <alignment horizontal="left" vertical="center"/>
    </xf>
    <xf numFmtId="0" fontId="0" fillId="17" borderId="0" xfId="0" applyFill="1"/>
    <xf numFmtId="0" fontId="65" fillId="17" borderId="0" xfId="0" applyFont="1" applyFill="1"/>
    <xf numFmtId="14" fontId="65" fillId="0" borderId="74" xfId="0" applyNumberFormat="1" applyFont="1" applyBorder="1" applyAlignment="1" applyProtection="1">
      <alignment horizontal="center" vertical="center"/>
      <protection locked="0"/>
    </xf>
    <xf numFmtId="0" fontId="65" fillId="0" borderId="74" xfId="0" applyFont="1" applyBorder="1" applyAlignment="1" applyProtection="1">
      <alignment horizontal="center" vertical="center"/>
      <protection locked="0"/>
    </xf>
    <xf numFmtId="0" fontId="65" fillId="0" borderId="74" xfId="0" applyFont="1" applyBorder="1" applyAlignment="1" applyProtection="1">
      <alignment horizontal="center" vertical="center" wrapText="1"/>
      <protection locked="0"/>
    </xf>
    <xf numFmtId="0" fontId="65" fillId="0" borderId="74" xfId="0" applyFont="1" applyBorder="1" applyAlignment="1" applyProtection="1">
      <alignment horizontal="justify" wrapText="1"/>
      <protection locked="0"/>
    </xf>
    <xf numFmtId="0" fontId="11" fillId="17" borderId="0" xfId="0" applyFont="1" applyFill="1"/>
    <xf numFmtId="0" fontId="66" fillId="0" borderId="24" xfId="0" applyFont="1" applyBorder="1" applyAlignment="1">
      <alignment horizontal="center" vertical="center"/>
    </xf>
    <xf numFmtId="0" fontId="66" fillId="0" borderId="85" xfId="0" applyFont="1" applyBorder="1" applyAlignment="1">
      <alignment horizontal="center" vertical="center" wrapText="1"/>
    </xf>
    <xf numFmtId="0" fontId="66" fillId="0" borderId="85" xfId="0" applyFont="1" applyBorder="1" applyAlignment="1">
      <alignment horizontal="center" vertical="center"/>
    </xf>
    <xf numFmtId="0" fontId="0" fillId="0" borderId="5" xfId="0" applyBorder="1"/>
    <xf numFmtId="0" fontId="0" fillId="0" borderId="12"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1" xfId="0" applyBorder="1"/>
    <xf numFmtId="0" fontId="0" fillId="0" borderId="10" xfId="0" applyBorder="1"/>
    <xf numFmtId="14" fontId="70" fillId="16" borderId="74" xfId="0" applyNumberFormat="1" applyFont="1" applyFill="1" applyBorder="1" applyAlignment="1">
      <alignment horizontal="center" vertical="center" wrapText="1"/>
    </xf>
    <xf numFmtId="0" fontId="70" fillId="16" borderId="74" xfId="0" applyFont="1" applyFill="1" applyBorder="1" applyAlignment="1">
      <alignment horizontal="center" vertical="center" wrapText="1"/>
    </xf>
    <xf numFmtId="0" fontId="76" fillId="17" borderId="0" xfId="0" applyFont="1" applyFill="1" applyAlignment="1">
      <alignment horizontal="center" vertical="center" textRotation="90"/>
    </xf>
    <xf numFmtId="0" fontId="78" fillId="0" borderId="0" xfId="0" applyFont="1" applyAlignment="1">
      <alignment vertical="center"/>
    </xf>
    <xf numFmtId="0" fontId="81" fillId="0" borderId="0" xfId="0" applyFont="1"/>
    <xf numFmtId="0" fontId="76" fillId="0" borderId="0" xfId="0" applyFont="1" applyAlignment="1">
      <alignment horizontal="left" vertical="center"/>
    </xf>
    <xf numFmtId="0" fontId="65" fillId="0" borderId="91" xfId="0" applyFont="1" applyBorder="1" applyAlignment="1">
      <alignment horizontal="left" vertical="center"/>
    </xf>
    <xf numFmtId="0" fontId="65" fillId="0" borderId="92" xfId="0" applyFont="1" applyBorder="1" applyAlignment="1">
      <alignment horizontal="left" vertical="center"/>
    </xf>
    <xf numFmtId="0" fontId="81" fillId="3" borderId="0" xfId="0" applyFont="1" applyFill="1"/>
    <xf numFmtId="0" fontId="82" fillId="3" borderId="0" xfId="0" applyFont="1" applyFill="1" applyAlignment="1">
      <alignment horizontal="center" vertical="center"/>
    </xf>
    <xf numFmtId="0" fontId="0" fillId="0" borderId="85" xfId="0" applyBorder="1" applyAlignment="1">
      <alignment horizontal="center" vertical="center"/>
    </xf>
    <xf numFmtId="0" fontId="70" fillId="19" borderId="85" xfId="0" applyFont="1" applyFill="1" applyBorder="1" applyAlignment="1">
      <alignment horizontal="center" vertical="center"/>
    </xf>
    <xf numFmtId="0" fontId="79" fillId="18" borderId="0" xfId="0" applyFont="1" applyFill="1" applyAlignment="1">
      <alignment horizontal="center" vertical="center"/>
    </xf>
    <xf numFmtId="0" fontId="70" fillId="19" borderId="0" xfId="0" applyFont="1" applyFill="1" applyAlignment="1">
      <alignment horizontal="center" vertical="center"/>
    </xf>
    <xf numFmtId="0" fontId="80" fillId="0" borderId="0" xfId="0" applyFont="1" applyAlignment="1">
      <alignment horizontal="center"/>
    </xf>
    <xf numFmtId="0" fontId="80" fillId="0" borderId="0" xfId="0" applyFont="1" applyAlignment="1">
      <alignment horizontal="center" vertical="center"/>
    </xf>
    <xf numFmtId="0" fontId="72" fillId="21" borderId="27" xfId="0" applyFont="1" applyFill="1" applyBorder="1" applyAlignment="1">
      <alignment horizontal="center" vertical="center" wrapText="1"/>
    </xf>
    <xf numFmtId="0" fontId="72" fillId="21" borderId="28" xfId="0" applyFont="1" applyFill="1" applyBorder="1" applyAlignment="1">
      <alignment horizontal="center" vertical="center" wrapText="1"/>
    </xf>
    <xf numFmtId="0" fontId="85" fillId="3" borderId="21" xfId="0" applyFont="1" applyFill="1" applyBorder="1" applyAlignment="1" applyProtection="1">
      <alignment horizontal="justify" vertical="justify" wrapText="1"/>
      <protection locked="0"/>
    </xf>
    <xf numFmtId="0" fontId="71" fillId="0" borderId="22" xfId="0" applyFont="1" applyBorder="1" applyAlignment="1" applyProtection="1">
      <alignment horizontal="center" vertical="center" wrapText="1"/>
      <protection locked="0"/>
    </xf>
    <xf numFmtId="0" fontId="85" fillId="0" borderId="21" xfId="0" applyFont="1" applyBorder="1" applyAlignment="1" applyProtection="1">
      <alignment horizontal="justify" vertical="justify" wrapText="1"/>
      <protection locked="0"/>
    </xf>
    <xf numFmtId="0" fontId="71" fillId="0" borderId="21" xfId="0" applyFont="1" applyBorder="1" applyAlignment="1" applyProtection="1">
      <alignment horizontal="center" vertical="center" wrapText="1"/>
      <protection locked="0"/>
    </xf>
    <xf numFmtId="0" fontId="85" fillId="22" borderId="21" xfId="0" applyFont="1" applyFill="1" applyBorder="1" applyAlignment="1" applyProtection="1">
      <alignment horizontal="justify" vertical="justify" wrapText="1"/>
      <protection locked="0"/>
    </xf>
    <xf numFmtId="0" fontId="43" fillId="0" borderId="25" xfId="0" applyFont="1" applyBorder="1" applyAlignment="1" applyProtection="1">
      <alignment horizontal="justify" vertical="center" wrapText="1"/>
      <protection locked="0"/>
    </xf>
    <xf numFmtId="0" fontId="72" fillId="21" borderId="25" xfId="0" applyFont="1" applyFill="1" applyBorder="1" applyAlignment="1">
      <alignment horizontal="center" vertical="center" wrapText="1"/>
    </xf>
    <xf numFmtId="0" fontId="71" fillId="21" borderId="21" xfId="0" applyFont="1" applyFill="1" applyBorder="1" applyAlignment="1" applyProtection="1">
      <alignment horizontal="center" vertical="center"/>
      <protection locked="0"/>
    </xf>
    <xf numFmtId="0" fontId="85" fillId="23" borderId="22" xfId="0" applyFont="1" applyFill="1" applyBorder="1" applyAlignment="1" applyProtection="1">
      <alignment horizontal="justify" vertical="justify" wrapText="1"/>
      <protection locked="0"/>
    </xf>
    <xf numFmtId="0" fontId="86" fillId="21" borderId="21" xfId="0" applyFont="1" applyFill="1" applyBorder="1" applyAlignment="1" applyProtection="1">
      <alignment horizontal="center" vertical="center"/>
      <protection locked="0"/>
    </xf>
    <xf numFmtId="0" fontId="85" fillId="24" borderId="21" xfId="0" applyFont="1" applyFill="1" applyBorder="1" applyAlignment="1" applyProtection="1">
      <alignment horizontal="justify" vertical="justify" wrapText="1"/>
      <protection locked="0"/>
    </xf>
    <xf numFmtId="0" fontId="85" fillId="22" borderId="67" xfId="0" applyFont="1" applyFill="1" applyBorder="1" applyAlignment="1" applyProtection="1">
      <alignment wrapText="1"/>
      <protection locked="0"/>
    </xf>
    <xf numFmtId="0" fontId="65" fillId="3" borderId="21" xfId="0" applyFont="1" applyFill="1" applyBorder="1" applyAlignment="1" applyProtection="1">
      <alignment horizontal="justify" vertical="justify" wrapText="1"/>
      <protection locked="0"/>
    </xf>
    <xf numFmtId="0" fontId="11" fillId="18" borderId="0" xfId="0" applyFont="1" applyFill="1" applyAlignment="1">
      <alignment horizontal="center" vertical="center"/>
    </xf>
    <xf numFmtId="0" fontId="60" fillId="18" borderId="0" xfId="0" applyFont="1" applyFill="1" applyAlignment="1">
      <alignment horizontal="center" vertical="center"/>
    </xf>
    <xf numFmtId="0" fontId="60" fillId="18" borderId="0" xfId="0" applyFont="1" applyFill="1" applyAlignment="1">
      <alignment horizontal="center" vertical="center" wrapText="1"/>
    </xf>
    <xf numFmtId="0" fontId="11" fillId="18" borderId="0" xfId="0" applyFont="1" applyFill="1" applyAlignment="1">
      <alignment wrapText="1"/>
    </xf>
    <xf numFmtId="0" fontId="65" fillId="0" borderId="0" xfId="0" applyFont="1"/>
    <xf numFmtId="0" fontId="65" fillId="0" borderId="0" xfId="0" applyFont="1" applyAlignment="1">
      <alignment horizontal="center" vertical="center"/>
    </xf>
    <xf numFmtId="0" fontId="65" fillId="0" borderId="0" xfId="0" applyFont="1" applyAlignment="1">
      <alignment horizontal="center"/>
    </xf>
    <xf numFmtId="0" fontId="87" fillId="0" borderId="57" xfId="0" applyFont="1" applyBorder="1" applyAlignment="1" applyProtection="1">
      <alignment horizontal="center" vertical="center"/>
      <protection locked="0"/>
    </xf>
    <xf numFmtId="0" fontId="65" fillId="3" borderId="0" xfId="0" applyFont="1" applyFill="1"/>
    <xf numFmtId="0" fontId="89" fillId="3" borderId="0" xfId="0" applyFont="1" applyFill="1"/>
    <xf numFmtId="0" fontId="83" fillId="3" borderId="66" xfId="0" applyFont="1" applyFill="1" applyBorder="1" applyAlignment="1">
      <alignment horizontal="center" vertical="center"/>
    </xf>
    <xf numFmtId="0" fontId="83" fillId="3" borderId="67" xfId="0" applyFont="1" applyFill="1" applyBorder="1" applyAlignment="1">
      <alignment horizontal="center" vertical="center"/>
    </xf>
    <xf numFmtId="0" fontId="83" fillId="3" borderId="65" xfId="0" applyFont="1" applyFill="1" applyBorder="1" applyAlignment="1">
      <alignment horizontal="center" vertical="center"/>
    </xf>
    <xf numFmtId="0" fontId="83" fillId="3" borderId="57" xfId="0" applyFont="1" applyFill="1" applyBorder="1" applyAlignment="1">
      <alignment horizontal="center" vertical="center"/>
    </xf>
    <xf numFmtId="0" fontId="83" fillId="3" borderId="40" xfId="0" applyFont="1" applyFill="1" applyBorder="1" applyAlignment="1">
      <alignment vertical="center"/>
    </xf>
    <xf numFmtId="0" fontId="70" fillId="3" borderId="0" xfId="0" applyFont="1" applyFill="1" applyAlignment="1">
      <alignment horizontal="center" vertical="center"/>
    </xf>
    <xf numFmtId="0" fontId="76" fillId="3" borderId="0" xfId="0" applyFont="1" applyFill="1" applyAlignment="1">
      <alignment horizontal="center" vertical="center"/>
    </xf>
    <xf numFmtId="0" fontId="76" fillId="2" borderId="0" xfId="0" applyFont="1" applyFill="1" applyAlignment="1">
      <alignment horizontal="center" vertical="center"/>
    </xf>
    <xf numFmtId="0" fontId="65" fillId="0" borderId="3" xfId="0" applyFont="1" applyBorder="1" applyAlignment="1">
      <alignment horizontal="center" vertical="center"/>
    </xf>
    <xf numFmtId="0" fontId="65" fillId="0" borderId="2" xfId="0" applyFont="1" applyBorder="1" applyAlignment="1">
      <alignment horizontal="center" vertical="center"/>
    </xf>
    <xf numFmtId="0" fontId="65" fillId="0" borderId="0" xfId="0" applyFont="1" applyAlignment="1">
      <alignment horizontal="center" wrapText="1"/>
    </xf>
    <xf numFmtId="0" fontId="65" fillId="0" borderId="0" xfId="0" applyFont="1" applyAlignment="1">
      <alignment wrapText="1"/>
    </xf>
    <xf numFmtId="0" fontId="65" fillId="0" borderId="0" xfId="0" applyFont="1" applyAlignment="1">
      <alignment vertical="center"/>
    </xf>
    <xf numFmtId="0" fontId="90" fillId="0" borderId="0" xfId="0" applyFont="1" applyAlignment="1">
      <alignment horizontal="center" vertical="center" wrapText="1"/>
    </xf>
    <xf numFmtId="0" fontId="90" fillId="0" borderId="21" xfId="0" applyFont="1" applyBorder="1" applyAlignment="1" applyProtection="1">
      <alignment horizontal="center" vertical="center" wrapText="1"/>
      <protection hidden="1"/>
    </xf>
    <xf numFmtId="0" fontId="90" fillId="3" borderId="0" xfId="0" applyFont="1" applyFill="1" applyAlignment="1">
      <alignment horizontal="center" vertical="center" wrapText="1"/>
    </xf>
    <xf numFmtId="0" fontId="1" fillId="0" borderId="21" xfId="0" applyFont="1" applyBorder="1" applyAlignment="1">
      <alignment horizontal="center" vertical="center"/>
    </xf>
    <xf numFmtId="0" fontId="65" fillId="0" borderId="74" xfId="0" applyFont="1" applyBorder="1" applyAlignment="1" applyProtection="1">
      <alignment horizontal="left" vertical="center" wrapText="1"/>
      <protection locked="0"/>
    </xf>
    <xf numFmtId="0" fontId="55" fillId="11" borderId="12" xfId="0" applyFont="1" applyFill="1" applyBorder="1" applyAlignment="1" applyProtection="1">
      <alignment horizontal="center" vertical="center" wrapText="1" readingOrder="1"/>
      <protection hidden="1"/>
    </xf>
    <xf numFmtId="0" fontId="77" fillId="13" borderId="12" xfId="0" applyFont="1" applyFill="1" applyBorder="1" applyAlignment="1" applyProtection="1">
      <alignment horizontal="center" wrapText="1" readingOrder="1"/>
      <protection hidden="1"/>
    </xf>
    <xf numFmtId="0" fontId="54" fillId="0" borderId="94" xfId="0" applyFont="1" applyBorder="1" applyAlignment="1">
      <alignment vertical="center"/>
    </xf>
    <xf numFmtId="0" fontId="54" fillId="0" borderId="90" xfId="0" applyFont="1" applyBorder="1" applyAlignment="1">
      <alignment vertical="center"/>
    </xf>
    <xf numFmtId="0" fontId="54" fillId="0" borderId="93" xfId="0" applyFont="1" applyBorder="1" applyAlignment="1">
      <alignment vertical="center"/>
    </xf>
    <xf numFmtId="0" fontId="59" fillId="0" borderId="68" xfId="0" applyFont="1" applyBorder="1" applyAlignment="1">
      <alignment horizontal="center" vertical="center" wrapText="1"/>
    </xf>
    <xf numFmtId="0" fontId="33" fillId="15" borderId="33" xfId="0" applyFont="1" applyFill="1" applyBorder="1" applyAlignment="1">
      <alignment horizontal="center" vertical="center" wrapText="1" readingOrder="1"/>
    </xf>
    <xf numFmtId="0" fontId="33" fillId="3" borderId="22" xfId="0" applyFont="1" applyFill="1" applyBorder="1" applyAlignment="1">
      <alignment horizontal="center" vertical="center" wrapText="1" readingOrder="1"/>
    </xf>
    <xf numFmtId="0" fontId="33" fillId="3" borderId="21" xfId="0" applyFont="1" applyFill="1" applyBorder="1" applyAlignment="1">
      <alignment horizontal="center" vertical="center" wrapText="1" readingOrder="1"/>
    </xf>
    <xf numFmtId="0" fontId="33" fillId="3" borderId="28" xfId="0" applyFont="1" applyFill="1" applyBorder="1" applyAlignment="1">
      <alignment horizontal="center" vertical="center" wrapText="1" readingOrder="1"/>
    </xf>
    <xf numFmtId="14" fontId="96" fillId="3" borderId="0" xfId="5" applyNumberFormat="1" applyFill="1" applyAlignment="1">
      <alignment horizontal="center" vertical="center" wrapText="1"/>
    </xf>
    <xf numFmtId="0" fontId="96" fillId="3" borderId="0" xfId="5" applyFill="1" applyAlignment="1">
      <alignment horizontal="center" vertical="center" wrapText="1"/>
    </xf>
    <xf numFmtId="0" fontId="54" fillId="0" borderId="66" xfId="0" applyFont="1" applyBorder="1" applyAlignment="1">
      <alignment horizontal="left" vertical="center"/>
    </xf>
    <xf numFmtId="0" fontId="54" fillId="0" borderId="21" xfId="0" applyFont="1" applyBorder="1" applyAlignment="1">
      <alignment horizontal="left" vertical="center"/>
    </xf>
    <xf numFmtId="0" fontId="83" fillId="3" borderId="0" xfId="0" applyFont="1" applyFill="1" applyAlignment="1">
      <alignment horizontal="center" vertical="center"/>
    </xf>
    <xf numFmtId="0" fontId="84" fillId="16" borderId="63" xfId="0" applyFont="1" applyFill="1" applyBorder="1" applyAlignment="1">
      <alignment horizontal="center" vertical="center"/>
    </xf>
    <xf numFmtId="0" fontId="96" fillId="17" borderId="21" xfId="5" applyFill="1" applyBorder="1" applyAlignment="1">
      <alignment horizontal="center" vertical="center" wrapText="1"/>
    </xf>
    <xf numFmtId="0" fontId="99" fillId="0" borderId="21" xfId="0" applyFont="1" applyBorder="1" applyAlignment="1">
      <alignment horizontal="left" vertical="center"/>
    </xf>
    <xf numFmtId="0" fontId="84" fillId="16" borderId="101" xfId="0" applyFont="1" applyFill="1" applyBorder="1" applyAlignment="1">
      <alignment horizontal="center" vertical="center" textRotation="90"/>
    </xf>
    <xf numFmtId="14" fontId="90" fillId="27" borderId="21" xfId="0" applyNumberFormat="1" applyFont="1" applyFill="1" applyBorder="1" applyAlignment="1" applyProtection="1">
      <alignment horizontal="center" vertical="center" wrapText="1"/>
      <protection locked="0"/>
    </xf>
    <xf numFmtId="14" fontId="90" fillId="29" borderId="21" xfId="0" applyNumberFormat="1" applyFont="1" applyFill="1" applyBorder="1" applyAlignment="1" applyProtection="1">
      <alignment horizontal="center" vertical="center" wrapText="1"/>
      <protection locked="0"/>
    </xf>
    <xf numFmtId="0" fontId="93" fillId="16" borderId="101" xfId="0" applyFont="1" applyFill="1" applyBorder="1" applyAlignment="1">
      <alignment horizontal="center" vertical="center" wrapText="1"/>
    </xf>
    <xf numFmtId="0" fontId="101" fillId="0" borderId="100" xfId="0" applyFont="1" applyBorder="1" applyAlignment="1" applyProtection="1">
      <alignment horizontal="left" vertical="center" wrapText="1"/>
      <protection locked="0"/>
    </xf>
    <xf numFmtId="0" fontId="1" fillId="0" borderId="28" xfId="0" applyFont="1" applyBorder="1" applyAlignment="1">
      <alignment horizontal="center" vertical="center"/>
    </xf>
    <xf numFmtId="0" fontId="90" fillId="0" borderId="28" xfId="0" applyFont="1" applyBorder="1" applyAlignment="1" applyProtection="1">
      <alignment horizontal="center" vertical="center" wrapText="1"/>
      <protection hidden="1"/>
    </xf>
    <xf numFmtId="0" fontId="43" fillId="0" borderId="28" xfId="0" applyFont="1" applyBorder="1" applyAlignment="1" applyProtection="1">
      <alignment horizontal="center" vertical="center" wrapText="1"/>
      <protection locked="0"/>
    </xf>
    <xf numFmtId="0" fontId="102" fillId="0" borderId="0" xfId="0" applyFont="1"/>
    <xf numFmtId="0" fontId="103" fillId="0" borderId="0" xfId="0" applyFont="1"/>
    <xf numFmtId="0" fontId="104" fillId="0" borderId="0" xfId="0" applyFont="1"/>
    <xf numFmtId="0" fontId="43" fillId="0" borderId="21" xfId="0" applyFont="1" applyBorder="1" applyAlignment="1" applyProtection="1">
      <alignment horizontal="center" vertical="center" wrapText="1"/>
      <protection locked="0"/>
    </xf>
    <xf numFmtId="0" fontId="43" fillId="0" borderId="100" xfId="0" applyFont="1" applyBorder="1" applyAlignment="1" applyProtection="1">
      <alignment horizontal="center" vertical="center" wrapText="1"/>
      <protection locked="0"/>
    </xf>
    <xf numFmtId="14" fontId="90" fillId="27" borderId="100" xfId="0" applyNumberFormat="1" applyFont="1" applyFill="1" applyBorder="1" applyAlignment="1" applyProtection="1">
      <alignment horizontal="center" vertical="center" wrapText="1"/>
      <protection locked="0"/>
    </xf>
    <xf numFmtId="14" fontId="90" fillId="29" borderId="100" xfId="0" applyNumberFormat="1" applyFont="1" applyFill="1" applyBorder="1" applyAlignment="1" applyProtection="1">
      <alignment horizontal="center" vertical="center" wrapText="1"/>
      <protection locked="0"/>
    </xf>
    <xf numFmtId="14" fontId="96" fillId="17" borderId="100" xfId="5" applyNumberFormat="1" applyFill="1" applyBorder="1" applyAlignment="1">
      <alignment horizontal="center" vertical="center" wrapText="1"/>
    </xf>
    <xf numFmtId="0" fontId="90" fillId="25" borderId="114" xfId="0" applyFont="1" applyFill="1" applyBorder="1" applyAlignment="1" applyProtection="1">
      <alignment horizontal="center" vertical="center" wrapText="1"/>
      <protection locked="0"/>
    </xf>
    <xf numFmtId="0" fontId="90" fillId="25" borderId="26" xfId="0" applyFont="1" applyFill="1" applyBorder="1" applyAlignment="1" applyProtection="1">
      <alignment horizontal="center" vertical="center" wrapText="1"/>
      <protection locked="0"/>
    </xf>
    <xf numFmtId="14" fontId="90" fillId="27" borderId="28" xfId="0" applyNumberFormat="1" applyFont="1" applyFill="1" applyBorder="1" applyAlignment="1" applyProtection="1">
      <alignment horizontal="center" vertical="center" wrapText="1"/>
      <protection locked="0"/>
    </xf>
    <xf numFmtId="14" fontId="90" fillId="29" borderId="28" xfId="0" applyNumberFormat="1" applyFont="1" applyFill="1" applyBorder="1" applyAlignment="1" applyProtection="1">
      <alignment horizontal="center" vertical="center" wrapText="1"/>
      <protection locked="0"/>
    </xf>
    <xf numFmtId="0" fontId="96" fillId="17" borderId="28" xfId="5" applyFill="1" applyBorder="1" applyAlignment="1">
      <alignment horizontal="center" vertical="center" wrapText="1"/>
    </xf>
    <xf numFmtId="0" fontId="90" fillId="25" borderId="29" xfId="0" applyFont="1" applyFill="1" applyBorder="1" applyAlignment="1" applyProtection="1">
      <alignment horizontal="center" vertical="center" wrapText="1"/>
      <protection locked="0"/>
    </xf>
    <xf numFmtId="14" fontId="90" fillId="27" borderId="100" xfId="0" applyNumberFormat="1" applyFont="1" applyFill="1" applyBorder="1" applyAlignment="1" applyProtection="1">
      <alignment vertical="center" wrapText="1"/>
      <protection locked="0"/>
    </xf>
    <xf numFmtId="14" fontId="90" fillId="27" borderId="21" xfId="0" applyNumberFormat="1" applyFont="1" applyFill="1" applyBorder="1" applyAlignment="1" applyProtection="1">
      <alignment vertical="center" wrapText="1"/>
      <protection locked="0"/>
    </xf>
    <xf numFmtId="14" fontId="90" fillId="25" borderId="100" xfId="0" applyNumberFormat="1" applyFont="1" applyFill="1" applyBorder="1" applyAlignment="1" applyProtection="1">
      <alignment vertical="center" wrapText="1"/>
      <protection locked="0"/>
    </xf>
    <xf numFmtId="14" fontId="90" fillId="25" borderId="21" xfId="0" applyNumberFormat="1" applyFont="1" applyFill="1" applyBorder="1" applyAlignment="1" applyProtection="1">
      <alignment vertical="center" wrapText="1"/>
      <protection locked="0"/>
    </xf>
    <xf numFmtId="14" fontId="90" fillId="25" borderId="28" xfId="0" applyNumberFormat="1" applyFont="1" applyFill="1" applyBorder="1" applyAlignment="1" applyProtection="1">
      <alignment vertical="center" wrapText="1"/>
      <protection locked="0"/>
    </xf>
    <xf numFmtId="0" fontId="45" fillId="0" borderId="100" xfId="0" applyFont="1" applyBorder="1" applyAlignment="1" applyProtection="1">
      <alignment horizontal="justify" vertical="center" wrapText="1"/>
      <protection locked="0"/>
    </xf>
    <xf numFmtId="0" fontId="90" fillId="0" borderId="100" xfId="0" applyFont="1" applyBorder="1" applyAlignment="1" applyProtection="1">
      <alignment horizontal="center" vertical="center" wrapText="1"/>
      <protection hidden="1"/>
    </xf>
    <xf numFmtId="9" fontId="90" fillId="0" borderId="21" xfId="0" applyNumberFormat="1" applyFont="1" applyBorder="1" applyAlignment="1" applyProtection="1">
      <alignment horizontal="center" vertical="center" wrapText="1"/>
      <protection hidden="1"/>
    </xf>
    <xf numFmtId="0" fontId="90" fillId="17" borderId="21" xfId="0" applyFont="1" applyFill="1" applyBorder="1" applyAlignment="1">
      <alignment horizontal="center" vertical="center" wrapText="1"/>
    </xf>
    <xf numFmtId="9" fontId="90" fillId="0" borderId="100" xfId="0" applyNumberFormat="1" applyFont="1" applyBorder="1" applyAlignment="1" applyProtection="1">
      <alignment horizontal="center" vertical="center" wrapText="1"/>
      <protection hidden="1"/>
    </xf>
    <xf numFmtId="0" fontId="90" fillId="0" borderId="100" xfId="0" applyFont="1" applyBorder="1" applyAlignment="1">
      <alignment horizontal="center" vertical="center" wrapText="1"/>
    </xf>
    <xf numFmtId="9" fontId="90" fillId="0" borderId="28" xfId="0" applyNumberFormat="1" applyFont="1" applyBorder="1" applyAlignment="1" applyProtection="1">
      <alignment horizontal="center" vertical="center" wrapText="1"/>
      <protection hidden="1"/>
    </xf>
    <xf numFmtId="0" fontId="90" fillId="0" borderId="21" xfId="0" applyFont="1" applyBorder="1" applyAlignment="1" applyProtection="1">
      <alignment horizontal="center" vertical="center" textRotation="90" wrapText="1"/>
      <protection locked="0"/>
    </xf>
    <xf numFmtId="0" fontId="90" fillId="0" borderId="28" xfId="0" applyFont="1" applyBorder="1" applyAlignment="1" applyProtection="1">
      <alignment horizontal="center" vertical="center" textRotation="90" wrapText="1"/>
      <protection locked="0"/>
    </xf>
    <xf numFmtId="0" fontId="90" fillId="17" borderId="100" xfId="0" applyFont="1" applyFill="1" applyBorder="1" applyAlignment="1">
      <alignment horizontal="center" vertical="center" wrapText="1"/>
    </xf>
    <xf numFmtId="0" fontId="90" fillId="0" borderId="100" xfId="0" applyFont="1" applyBorder="1" applyAlignment="1" applyProtection="1">
      <alignment horizontal="center" vertical="center" textRotation="90" wrapText="1"/>
      <protection locked="0"/>
    </xf>
    <xf numFmtId="0" fontId="90" fillId="17" borderId="28" xfId="0" applyFont="1" applyFill="1" applyBorder="1" applyAlignment="1">
      <alignment horizontal="center" vertical="center" wrapText="1"/>
    </xf>
    <xf numFmtId="0" fontId="61" fillId="0" borderId="0" xfId="0" applyFont="1" applyAlignment="1">
      <alignment horizontal="center" wrapText="1"/>
    </xf>
    <xf numFmtId="0" fontId="64" fillId="0" borderId="88" xfId="0" applyFont="1" applyBorder="1" applyAlignment="1">
      <alignment horizontal="center" vertical="center" wrapText="1"/>
    </xf>
    <xf numFmtId="0" fontId="64" fillId="0" borderId="12" xfId="0" applyFont="1" applyBorder="1" applyAlignment="1">
      <alignment horizontal="center" vertical="center" wrapText="1"/>
    </xf>
    <xf numFmtId="0" fontId="64" fillId="0" borderId="75" xfId="0" applyFont="1" applyBorder="1" applyAlignment="1">
      <alignment horizontal="center" vertical="center" wrapText="1"/>
    </xf>
    <xf numFmtId="0" fontId="64" fillId="0" borderId="71" xfId="0" applyFont="1" applyBorder="1" applyAlignment="1">
      <alignment horizontal="center" vertical="center" wrapText="1"/>
    </xf>
    <xf numFmtId="0" fontId="64" fillId="0" borderId="0" xfId="0" applyFont="1" applyAlignment="1">
      <alignment horizontal="center" vertical="center" wrapText="1"/>
    </xf>
    <xf numFmtId="0" fontId="64" fillId="0" borderId="72" xfId="0" applyFont="1" applyBorder="1" applyAlignment="1">
      <alignment horizontal="center" vertical="center" wrapText="1"/>
    </xf>
    <xf numFmtId="0" fontId="64" fillId="0" borderId="89" xfId="0" applyFont="1" applyBorder="1" applyAlignment="1">
      <alignment horizontal="center" vertical="center" wrapText="1"/>
    </xf>
    <xf numFmtId="0" fontId="64" fillId="0" borderId="11" xfId="0" applyFont="1" applyBorder="1" applyAlignment="1">
      <alignment horizontal="center" vertical="center" wrapText="1"/>
    </xf>
    <xf numFmtId="0" fontId="64" fillId="0" borderId="78" xfId="0" applyFont="1" applyBorder="1" applyAlignment="1">
      <alignment horizontal="center" vertical="center" wrapText="1"/>
    </xf>
    <xf numFmtId="0" fontId="62" fillId="0" borderId="5" xfId="0" applyFont="1" applyBorder="1" applyAlignment="1">
      <alignment horizontal="center" wrapText="1"/>
    </xf>
    <xf numFmtId="0" fontId="62" fillId="0" borderId="6" xfId="0" applyFont="1" applyBorder="1" applyAlignment="1">
      <alignment horizontal="center" wrapText="1"/>
    </xf>
    <xf numFmtId="0" fontId="62" fillId="0" borderId="7" xfId="0" applyFont="1" applyBorder="1" applyAlignment="1">
      <alignment horizontal="center" wrapText="1"/>
    </xf>
    <xf numFmtId="0" fontId="62" fillId="0" borderId="8" xfId="0" applyFont="1" applyBorder="1" applyAlignment="1">
      <alignment horizontal="center" wrapText="1"/>
    </xf>
    <xf numFmtId="0" fontId="62" fillId="0" borderId="9" xfId="0" applyFont="1" applyBorder="1" applyAlignment="1">
      <alignment horizontal="center" wrapText="1"/>
    </xf>
    <xf numFmtId="0" fontId="62" fillId="0" borderId="10" xfId="0" applyFont="1" applyBorder="1" applyAlignment="1">
      <alignment horizontal="center" wrapText="1"/>
    </xf>
    <xf numFmtId="0" fontId="54" fillId="0" borderId="76" xfId="0" applyFont="1" applyBorder="1" applyAlignment="1">
      <alignment horizontal="left" vertical="center"/>
    </xf>
    <xf numFmtId="0" fontId="54" fillId="0" borderId="6" xfId="0" applyFont="1" applyBorder="1" applyAlignment="1">
      <alignment horizontal="left" vertical="center"/>
    </xf>
    <xf numFmtId="0" fontId="54" fillId="0" borderId="77" xfId="0" applyFont="1" applyBorder="1" applyAlignment="1">
      <alignment horizontal="left" vertical="center"/>
    </xf>
    <xf numFmtId="0" fontId="54" fillId="0" borderId="8" xfId="0" applyFont="1" applyBorder="1" applyAlignment="1">
      <alignment horizontal="left" vertical="center"/>
    </xf>
    <xf numFmtId="0" fontId="54" fillId="0" borderId="79" xfId="0" applyFont="1" applyBorder="1" applyAlignment="1">
      <alignment horizontal="left" vertical="center"/>
    </xf>
    <xf numFmtId="0" fontId="54" fillId="0" borderId="10" xfId="0" applyFont="1" applyBorder="1" applyAlignment="1">
      <alignment horizontal="left" vertical="center"/>
    </xf>
    <xf numFmtId="0" fontId="65" fillId="0" borderId="23" xfId="0" applyFont="1" applyBorder="1" applyAlignment="1">
      <alignment horizontal="left" vertical="center" wrapText="1"/>
    </xf>
    <xf numFmtId="0" fontId="65" fillId="0" borderId="35" xfId="0" applyFont="1" applyBorder="1" applyAlignment="1">
      <alignment horizontal="left" vertical="center" wrapText="1"/>
    </xf>
    <xf numFmtId="0" fontId="97" fillId="0" borderId="111" xfId="0" applyFont="1" applyBorder="1" applyAlignment="1">
      <alignment horizontal="center" wrapText="1"/>
    </xf>
    <xf numFmtId="0" fontId="97" fillId="0" borderId="112" xfId="0" applyFont="1" applyBorder="1" applyAlignment="1">
      <alignment horizontal="center" wrapText="1"/>
    </xf>
    <xf numFmtId="0" fontId="97" fillId="0" borderId="113" xfId="0" applyFont="1" applyBorder="1" applyAlignment="1">
      <alignment horizontal="center" wrapText="1"/>
    </xf>
    <xf numFmtId="0" fontId="64" fillId="0" borderId="94" xfId="0" applyFont="1" applyBorder="1" applyAlignment="1">
      <alignment horizontal="center" vertical="center" wrapText="1"/>
    </xf>
    <xf numFmtId="0" fontId="64" fillId="0" borderId="90" xfId="0" applyFont="1" applyBorder="1" applyAlignment="1">
      <alignment horizontal="center" vertical="center" wrapText="1"/>
    </xf>
    <xf numFmtId="0" fontId="64" fillId="0" borderId="93" xfId="0" applyFont="1" applyBorder="1" applyAlignment="1">
      <alignment horizontal="center" vertical="center" wrapText="1"/>
    </xf>
    <xf numFmtId="0" fontId="60" fillId="18" borderId="94" xfId="0" applyFont="1" applyFill="1" applyBorder="1" applyAlignment="1">
      <alignment horizontal="center" vertical="center"/>
    </xf>
    <xf numFmtId="0" fontId="60" fillId="18" borderId="90" xfId="0" applyFont="1" applyFill="1" applyBorder="1" applyAlignment="1">
      <alignment horizontal="center" vertical="center"/>
    </xf>
    <xf numFmtId="0" fontId="60" fillId="18" borderId="93" xfId="0" applyFont="1" applyFill="1" applyBorder="1" applyAlignment="1">
      <alignment horizontal="center" vertical="center"/>
    </xf>
    <xf numFmtId="0" fontId="70" fillId="18" borderId="5" xfId="0" applyFont="1" applyFill="1" applyBorder="1" applyAlignment="1">
      <alignment horizontal="center" vertical="center"/>
    </xf>
    <xf numFmtId="0" fontId="70" fillId="18" borderId="6" xfId="0" applyFont="1" applyFill="1" applyBorder="1" applyAlignment="1">
      <alignment horizontal="center" vertical="center"/>
    </xf>
    <xf numFmtId="0" fontId="70" fillId="18" borderId="9" xfId="0" applyFont="1" applyFill="1" applyBorder="1" applyAlignment="1">
      <alignment horizontal="center" vertical="center"/>
    </xf>
    <xf numFmtId="0" fontId="70" fillId="18" borderId="10" xfId="0" applyFont="1" applyFill="1" applyBorder="1" applyAlignment="1">
      <alignment horizontal="center" vertical="center"/>
    </xf>
    <xf numFmtId="0" fontId="70" fillId="19" borderId="9" xfId="0" applyFont="1" applyFill="1" applyBorder="1" applyAlignment="1">
      <alignment horizontal="center" vertical="center"/>
    </xf>
    <xf numFmtId="0" fontId="70" fillId="19" borderId="10" xfId="0" applyFont="1" applyFill="1" applyBorder="1" applyAlignment="1">
      <alignment horizontal="center" vertical="center"/>
    </xf>
    <xf numFmtId="0" fontId="70" fillId="18" borderId="5" xfId="0" applyFont="1" applyFill="1" applyBorder="1" applyAlignment="1">
      <alignment horizontal="center" vertical="center" wrapText="1"/>
    </xf>
    <xf numFmtId="0" fontId="70" fillId="18" borderId="6" xfId="0" applyFont="1" applyFill="1" applyBorder="1" applyAlignment="1">
      <alignment horizontal="center" vertical="center" wrapText="1"/>
    </xf>
    <xf numFmtId="0" fontId="70" fillId="18" borderId="9" xfId="0" applyFont="1" applyFill="1" applyBorder="1" applyAlignment="1">
      <alignment horizontal="center" vertical="center" wrapText="1"/>
    </xf>
    <xf numFmtId="0" fontId="70" fillId="18" borderId="10" xfId="0" applyFont="1" applyFill="1" applyBorder="1" applyAlignment="1">
      <alignment horizontal="center" vertical="center" wrapText="1"/>
    </xf>
    <xf numFmtId="0" fontId="54" fillId="0" borderId="5" xfId="0" applyFont="1" applyBorder="1" applyAlignment="1">
      <alignment horizontal="left" vertical="center"/>
    </xf>
    <xf numFmtId="0" fontId="54" fillId="0" borderId="7" xfId="0" applyFont="1" applyBorder="1" applyAlignment="1">
      <alignment horizontal="left" vertical="center"/>
    </xf>
    <xf numFmtId="0" fontId="54" fillId="0" borderId="9" xfId="0" applyFont="1" applyBorder="1" applyAlignment="1">
      <alignment horizontal="left" vertical="center"/>
    </xf>
    <xf numFmtId="0" fontId="95" fillId="0" borderId="21" xfId="0" applyFont="1" applyBorder="1" applyAlignment="1" applyProtection="1">
      <alignment horizontal="center" vertical="center" wrapText="1"/>
      <protection hidden="1"/>
    </xf>
    <xf numFmtId="0" fontId="95" fillId="0" borderId="28" xfId="0" applyFont="1" applyBorder="1" applyAlignment="1" applyProtection="1">
      <alignment horizontal="center" vertical="center" wrapText="1"/>
      <protection hidden="1"/>
    </xf>
    <xf numFmtId="9" fontId="90" fillId="0" borderId="21" xfId="1" applyFont="1" applyBorder="1" applyAlignment="1">
      <alignment horizontal="center" vertical="center" wrapText="1"/>
    </xf>
    <xf numFmtId="9" fontId="90" fillId="0" borderId="28" xfId="1" applyFont="1" applyBorder="1" applyAlignment="1">
      <alignment horizontal="center" vertical="center" wrapText="1"/>
    </xf>
    <xf numFmtId="0" fontId="95" fillId="0" borderId="21" xfId="0" applyFont="1" applyBorder="1" applyAlignment="1" applyProtection="1">
      <alignment horizontal="center" vertical="center" textRotation="90" wrapText="1"/>
      <protection hidden="1"/>
    </xf>
    <xf numFmtId="0" fontId="95" fillId="0" borderId="28" xfId="0" applyFont="1" applyBorder="1" applyAlignment="1" applyProtection="1">
      <alignment horizontal="center" vertical="center" textRotation="90" wrapText="1"/>
      <protection hidden="1"/>
    </xf>
    <xf numFmtId="0" fontId="95" fillId="0" borderId="25" xfId="0" applyFont="1" applyBorder="1" applyAlignment="1">
      <alignment horizontal="center" vertical="center" wrapText="1"/>
    </xf>
    <xf numFmtId="0" fontId="95" fillId="0" borderId="27" xfId="0" applyFont="1" applyBorder="1" applyAlignment="1">
      <alignment horizontal="center" vertical="center" wrapText="1"/>
    </xf>
    <xf numFmtId="0" fontId="90" fillId="0" borderId="21" xfId="0" applyFont="1" applyBorder="1" applyAlignment="1">
      <alignment horizontal="center" vertical="center" wrapText="1"/>
    </xf>
    <xf numFmtId="0" fontId="90" fillId="0" borderId="28" xfId="0" applyFont="1" applyBorder="1" applyAlignment="1">
      <alignment horizontal="center" vertical="center" wrapText="1"/>
    </xf>
    <xf numFmtId="0" fontId="90" fillId="17" borderId="21" xfId="0" applyFont="1" applyFill="1" applyBorder="1" applyAlignment="1">
      <alignment horizontal="center" vertical="center" wrapText="1"/>
    </xf>
    <xf numFmtId="0" fontId="90" fillId="17" borderId="28" xfId="0" applyFont="1" applyFill="1" applyBorder="1" applyAlignment="1">
      <alignment horizontal="center" vertical="center" wrapText="1"/>
    </xf>
    <xf numFmtId="0" fontId="1" fillId="0" borderId="21"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90" fillId="0" borderId="21" xfId="0" applyFont="1" applyBorder="1" applyAlignment="1" applyProtection="1">
      <alignment horizontal="center" vertical="center" wrapText="1"/>
      <protection locked="0"/>
    </xf>
    <xf numFmtId="0" fontId="90" fillId="0" borderId="28" xfId="0" applyFont="1" applyBorder="1" applyAlignment="1" applyProtection="1">
      <alignment horizontal="center" vertical="center" wrapText="1"/>
      <protection locked="0"/>
    </xf>
    <xf numFmtId="0" fontId="0" fillId="0" borderId="103" xfId="0" applyBorder="1" applyAlignment="1">
      <alignment horizontal="left" wrapText="1"/>
    </xf>
    <xf numFmtId="0" fontId="0" fillId="0" borderId="103" xfId="0" applyBorder="1" applyAlignment="1">
      <alignment horizontal="left"/>
    </xf>
    <xf numFmtId="0" fontId="93" fillId="16" borderId="66" xfId="0" applyFont="1" applyFill="1" applyBorder="1" applyAlignment="1">
      <alignment horizontal="center" vertical="center" wrapText="1"/>
    </xf>
    <xf numFmtId="0" fontId="93" fillId="16" borderId="67" xfId="0" applyFont="1" applyFill="1" applyBorder="1" applyAlignment="1">
      <alignment horizontal="center" vertical="center" wrapText="1"/>
    </xf>
    <xf numFmtId="0" fontId="84" fillId="16" borderId="101" xfId="0" applyFont="1" applyFill="1" applyBorder="1" applyAlignment="1">
      <alignment horizontal="center" vertical="center" textRotation="90"/>
    </xf>
    <xf numFmtId="0" fontId="84" fillId="16" borderId="102" xfId="0" applyFont="1" applyFill="1" applyBorder="1" applyAlignment="1">
      <alignment horizontal="center" vertical="center" textRotation="90"/>
    </xf>
    <xf numFmtId="0" fontId="76" fillId="0" borderId="0" xfId="0" applyFont="1" applyAlignment="1">
      <alignment horizontal="center"/>
    </xf>
    <xf numFmtId="0" fontId="76" fillId="0" borderId="72" xfId="0" applyFont="1" applyBorder="1" applyAlignment="1">
      <alignment horizontal="center"/>
    </xf>
    <xf numFmtId="0" fontId="84" fillId="16" borderId="101" xfId="0" applyFont="1" applyFill="1" applyBorder="1" applyAlignment="1">
      <alignment horizontal="center" vertical="center"/>
    </xf>
    <xf numFmtId="0" fontId="84" fillId="16" borderId="102" xfId="0" applyFont="1" applyFill="1" applyBorder="1" applyAlignment="1">
      <alignment horizontal="center" vertical="center"/>
    </xf>
    <xf numFmtId="0" fontId="84" fillId="16" borderId="101" xfId="0" applyFont="1" applyFill="1" applyBorder="1" applyAlignment="1">
      <alignment horizontal="center" vertical="center" wrapText="1"/>
    </xf>
    <xf numFmtId="0" fontId="84" fillId="16" borderId="102" xfId="0" applyFont="1" applyFill="1" applyBorder="1" applyAlignment="1">
      <alignment horizontal="center" vertical="center" wrapText="1"/>
    </xf>
    <xf numFmtId="0" fontId="84" fillId="16" borderId="21" xfId="0" applyFont="1" applyFill="1" applyBorder="1" applyAlignment="1">
      <alignment horizontal="center" vertical="center" textRotation="90" wrapText="1"/>
    </xf>
    <xf numFmtId="0" fontId="84" fillId="16" borderId="101" xfId="0" applyFont="1" applyFill="1" applyBorder="1" applyAlignment="1">
      <alignment horizontal="center" vertical="center" textRotation="90" wrapText="1"/>
    </xf>
    <xf numFmtId="0" fontId="84" fillId="16" borderId="21" xfId="0" applyFont="1" applyFill="1" applyBorder="1" applyAlignment="1">
      <alignment horizontal="center" vertical="center" wrapText="1"/>
    </xf>
    <xf numFmtId="0" fontId="84" fillId="16" borderId="21" xfId="0" applyFont="1" applyFill="1" applyBorder="1" applyAlignment="1">
      <alignment horizontal="center" vertical="center"/>
    </xf>
    <xf numFmtId="0" fontId="90" fillId="0" borderId="100" xfId="0" applyFont="1" applyBorder="1" applyAlignment="1" applyProtection="1">
      <alignment horizontal="center" vertical="center" wrapText="1"/>
      <protection locked="0"/>
    </xf>
    <xf numFmtId="0" fontId="90" fillId="17" borderId="100" xfId="0" applyFont="1" applyFill="1" applyBorder="1" applyAlignment="1" applyProtection="1">
      <alignment horizontal="center" vertical="center" wrapText="1"/>
      <protection locked="0"/>
    </xf>
    <xf numFmtId="0" fontId="90" fillId="17" borderId="21" xfId="0" applyFont="1" applyFill="1" applyBorder="1" applyAlignment="1" applyProtection="1">
      <alignment horizontal="center" vertical="center" wrapText="1"/>
      <protection locked="0"/>
    </xf>
    <xf numFmtId="0" fontId="95" fillId="0" borderId="91" xfId="0" applyFont="1" applyBorder="1" applyAlignment="1">
      <alignment horizontal="center" vertical="center" wrapText="1"/>
    </xf>
    <xf numFmtId="0" fontId="90" fillId="0" borderId="100" xfId="0" applyFont="1" applyBorder="1" applyAlignment="1">
      <alignment horizontal="center" vertical="center" wrapText="1"/>
    </xf>
    <xf numFmtId="0" fontId="95" fillId="0" borderId="100" xfId="0" applyFont="1" applyBorder="1" applyAlignment="1" applyProtection="1">
      <alignment horizontal="center" vertical="center" wrapText="1"/>
      <protection hidden="1"/>
    </xf>
    <xf numFmtId="9" fontId="90" fillId="0" borderId="100" xfId="1" applyFont="1" applyBorder="1" applyAlignment="1">
      <alignment horizontal="center" vertical="center" wrapText="1"/>
    </xf>
    <xf numFmtId="0" fontId="95" fillId="0" borderId="100" xfId="0" applyFont="1" applyBorder="1" applyAlignment="1" applyProtection="1">
      <alignment horizontal="center" vertical="center" textRotation="90" wrapText="1"/>
      <protection hidden="1"/>
    </xf>
    <xf numFmtId="0" fontId="58" fillId="0" borderId="68" xfId="0" applyFont="1" applyBorder="1" applyAlignment="1">
      <alignment horizontal="center" vertical="center" wrapText="1"/>
    </xf>
    <xf numFmtId="0" fontId="92" fillId="0" borderId="66" xfId="0" applyFont="1" applyBorder="1" applyAlignment="1">
      <alignment horizontal="left" vertical="center" wrapText="1"/>
    </xf>
    <xf numFmtId="0" fontId="92" fillId="0" borderId="65" xfId="0" applyFont="1" applyBorder="1" applyAlignment="1">
      <alignment horizontal="left" vertical="center" wrapText="1"/>
    </xf>
    <xf numFmtId="0" fontId="92" fillId="0" borderId="67" xfId="0" applyFont="1" applyBorder="1" applyAlignment="1">
      <alignment horizontal="left" vertical="center" wrapText="1"/>
    </xf>
    <xf numFmtId="0" fontId="59" fillId="0" borderId="68" xfId="0" applyFont="1" applyBorder="1" applyAlignment="1">
      <alignment horizontal="center" vertical="center" wrapText="1"/>
    </xf>
    <xf numFmtId="0" fontId="91" fillId="0" borderId="21" xfId="0" applyFont="1" applyBorder="1" applyAlignment="1">
      <alignment horizontal="left" vertical="center" wrapText="1"/>
    </xf>
    <xf numFmtId="0" fontId="84" fillId="16" borderId="104" xfId="0" applyFont="1" applyFill="1" applyBorder="1" applyAlignment="1">
      <alignment horizontal="center" vertical="center" wrapText="1"/>
    </xf>
    <xf numFmtId="0" fontId="65" fillId="0" borderId="64" xfId="0" applyFont="1" applyBorder="1" applyAlignment="1">
      <alignment horizontal="left" vertical="center" wrapText="1"/>
    </xf>
    <xf numFmtId="0" fontId="90" fillId="0" borderId="100" xfId="0" applyFont="1" applyBorder="1" applyAlignment="1" applyProtection="1">
      <alignment horizontal="center" vertical="center" textRotation="90" wrapText="1"/>
      <protection locked="0"/>
    </xf>
    <xf numFmtId="0" fontId="90" fillId="0" borderId="21" xfId="0" applyFont="1" applyBorder="1" applyAlignment="1" applyProtection="1">
      <alignment horizontal="center" vertical="center" textRotation="90" wrapText="1"/>
      <protection locked="0"/>
    </xf>
    <xf numFmtId="9" fontId="90" fillId="0" borderId="100" xfId="0" applyNumberFormat="1" applyFont="1" applyBorder="1" applyAlignment="1" applyProtection="1">
      <alignment horizontal="center" vertical="center" wrapText="1"/>
      <protection hidden="1"/>
    </xf>
    <xf numFmtId="9" fontId="90" fillId="0" borderId="21" xfId="0" applyNumberFormat="1" applyFont="1" applyBorder="1" applyAlignment="1" applyProtection="1">
      <alignment horizontal="center" vertical="center" wrapText="1"/>
      <protection hidden="1"/>
    </xf>
    <xf numFmtId="0" fontId="84" fillId="16" borderId="102" xfId="0" applyFont="1" applyFill="1" applyBorder="1" applyAlignment="1">
      <alignment horizontal="center" vertical="center" textRotation="90" wrapText="1"/>
    </xf>
    <xf numFmtId="0" fontId="98" fillId="0" borderId="100" xfId="0" applyFont="1" applyBorder="1" applyAlignment="1" applyProtection="1">
      <alignment horizontal="center" vertical="center" wrapText="1"/>
      <protection hidden="1"/>
    </xf>
    <xf numFmtId="0" fontId="98" fillId="0" borderId="21" xfId="0" applyFont="1" applyBorder="1" applyAlignment="1" applyProtection="1">
      <alignment horizontal="center" vertical="center" wrapText="1"/>
      <protection hidden="1"/>
    </xf>
    <xf numFmtId="0" fontId="84" fillId="16" borderId="66" xfId="0" applyFont="1" applyFill="1" applyBorder="1" applyAlignment="1">
      <alignment horizontal="center" vertical="center"/>
    </xf>
    <xf numFmtId="0" fontId="84" fillId="16" borderId="65" xfId="0" applyFont="1" applyFill="1" applyBorder="1" applyAlignment="1">
      <alignment horizontal="center" vertical="center"/>
    </xf>
    <xf numFmtId="0" fontId="90" fillId="17" borderId="28" xfId="0" applyFont="1" applyFill="1" applyBorder="1" applyAlignment="1" applyProtection="1">
      <alignment horizontal="center" vertical="center" wrapText="1"/>
      <protection locked="0"/>
    </xf>
    <xf numFmtId="0" fontId="98" fillId="0" borderId="28" xfId="0" applyFont="1" applyBorder="1" applyAlignment="1" applyProtection="1">
      <alignment horizontal="center" vertical="center" wrapText="1"/>
      <protection hidden="1"/>
    </xf>
    <xf numFmtId="9" fontId="90" fillId="0" borderId="28" xfId="0" applyNumberFormat="1" applyFont="1" applyBorder="1" applyAlignment="1" applyProtection="1">
      <alignment horizontal="center" vertical="center" wrapText="1"/>
      <protection hidden="1"/>
    </xf>
    <xf numFmtId="0" fontId="84" fillId="16" borderId="21" xfId="0" applyFont="1" applyFill="1" applyBorder="1" applyAlignment="1">
      <alignment horizontal="center" vertical="center" textRotation="90"/>
    </xf>
    <xf numFmtId="0" fontId="84" fillId="18" borderId="67" xfId="0" applyFont="1" applyFill="1" applyBorder="1" applyAlignment="1">
      <alignment horizontal="center" vertical="center" wrapText="1"/>
    </xf>
    <xf numFmtId="0" fontId="84" fillId="18" borderId="21" xfId="0" applyFont="1" applyFill="1" applyBorder="1" applyAlignment="1">
      <alignment horizontal="center" vertical="center" wrapText="1"/>
    </xf>
    <xf numFmtId="0" fontId="84" fillId="16" borderId="99" xfId="0" applyFont="1" applyFill="1" applyBorder="1" applyAlignment="1">
      <alignment horizontal="center" vertical="center" wrapText="1"/>
    </xf>
    <xf numFmtId="0" fontId="84" fillId="16" borderId="105" xfId="0" applyFont="1" applyFill="1" applyBorder="1" applyAlignment="1">
      <alignment horizontal="center" vertical="center" wrapText="1"/>
    </xf>
    <xf numFmtId="0" fontId="84" fillId="16" borderId="63" xfId="0" applyFont="1" applyFill="1" applyBorder="1" applyAlignment="1">
      <alignment horizontal="center" vertical="center" wrapText="1"/>
    </xf>
    <xf numFmtId="0" fontId="84" fillId="16" borderId="106" xfId="0" applyFont="1" applyFill="1" applyBorder="1" applyAlignment="1">
      <alignment horizontal="center" vertical="center" wrapText="1"/>
    </xf>
    <xf numFmtId="14" fontId="90" fillId="26" borderId="108" xfId="0" applyNumberFormat="1" applyFont="1" applyFill="1" applyBorder="1" applyAlignment="1">
      <alignment horizontal="center" vertical="center" wrapText="1"/>
    </xf>
    <xf numFmtId="14" fontId="90" fillId="26" borderId="102" xfId="0" applyNumberFormat="1" applyFont="1" applyFill="1" applyBorder="1" applyAlignment="1">
      <alignment horizontal="center" vertical="center" wrapText="1"/>
    </xf>
    <xf numFmtId="0" fontId="84" fillId="16" borderId="107" xfId="0" applyFont="1" applyFill="1" applyBorder="1" applyAlignment="1">
      <alignment horizontal="center" vertical="center"/>
    </xf>
    <xf numFmtId="14" fontId="89" fillId="28" borderId="108" xfId="0" applyNumberFormat="1" applyFont="1" applyFill="1" applyBorder="1" applyAlignment="1">
      <alignment horizontal="center" vertical="center" wrapText="1"/>
    </xf>
    <xf numFmtId="14" fontId="89" fillId="28" borderId="102" xfId="0" applyNumberFormat="1" applyFont="1" applyFill="1" applyBorder="1" applyAlignment="1">
      <alignment horizontal="center" vertical="center" wrapText="1"/>
    </xf>
    <xf numFmtId="0" fontId="62" fillId="0" borderId="95" xfId="0" applyFont="1" applyBorder="1" applyAlignment="1">
      <alignment horizontal="center" vertical="center" wrapText="1"/>
    </xf>
    <xf numFmtId="0" fontId="62" fillId="0" borderId="96" xfId="0" applyFont="1" applyBorder="1" applyAlignment="1">
      <alignment horizontal="center" vertical="center" wrapText="1"/>
    </xf>
    <xf numFmtId="0" fontId="62" fillId="0" borderId="109" xfId="0" applyFont="1" applyBorder="1" applyAlignment="1">
      <alignment horizontal="center" vertical="center" wrapText="1"/>
    </xf>
    <xf numFmtId="0" fontId="62" fillId="0" borderId="86" xfId="0" applyFont="1" applyBorder="1" applyAlignment="1">
      <alignment horizontal="center" vertical="center" wrapText="1"/>
    </xf>
    <xf numFmtId="0" fontId="62" fillId="0" borderId="0" xfId="0" applyFont="1" applyAlignment="1">
      <alignment horizontal="center" vertical="center" wrapText="1"/>
    </xf>
    <xf numFmtId="0" fontId="62" fillId="0" borderId="72" xfId="0" applyFont="1" applyBorder="1" applyAlignment="1">
      <alignment horizontal="center" vertical="center" wrapText="1"/>
    </xf>
    <xf numFmtId="0" fontId="62" fillId="0" borderId="97" xfId="0" applyFont="1" applyBorder="1" applyAlignment="1">
      <alignment horizontal="center" vertical="center" wrapText="1"/>
    </xf>
    <xf numFmtId="0" fontId="62" fillId="0" borderId="98" xfId="0" applyFont="1" applyBorder="1" applyAlignment="1">
      <alignment horizontal="center" vertical="center" wrapText="1"/>
    </xf>
    <xf numFmtId="0" fontId="62" fillId="0" borderId="110" xfId="0" applyFont="1" applyBorder="1" applyAlignment="1">
      <alignment horizontal="center" vertical="center" wrapText="1"/>
    </xf>
    <xf numFmtId="0" fontId="87" fillId="0" borderId="21" xfId="0" applyFont="1" applyBorder="1" applyAlignment="1" applyProtection="1">
      <alignment horizontal="center" vertical="center"/>
      <protection locked="0"/>
    </xf>
    <xf numFmtId="0" fontId="88" fillId="0" borderId="66" xfId="0" applyFont="1" applyBorder="1" applyAlignment="1">
      <alignment horizontal="left" vertical="center"/>
    </xf>
    <xf numFmtId="0" fontId="88" fillId="0" borderId="65" xfId="0" applyFont="1" applyBorder="1" applyAlignment="1">
      <alignment horizontal="left" vertical="center"/>
    </xf>
    <xf numFmtId="0" fontId="84" fillId="16" borderId="22" xfId="0" applyFont="1" applyFill="1" applyBorder="1" applyAlignment="1">
      <alignment horizontal="center" vertical="center"/>
    </xf>
    <xf numFmtId="0" fontId="83" fillId="16" borderId="66" xfId="0" applyFont="1" applyFill="1" applyBorder="1" applyAlignment="1">
      <alignment horizontal="left" vertical="center"/>
    </xf>
    <xf numFmtId="0" fontId="83" fillId="16" borderId="65" xfId="0" applyFont="1" applyFill="1" applyBorder="1" applyAlignment="1">
      <alignment horizontal="left" vertical="center"/>
    </xf>
    <xf numFmtId="0" fontId="83" fillId="16" borderId="67" xfId="0" applyFont="1" applyFill="1" applyBorder="1" applyAlignment="1">
      <alignment horizontal="left" vertical="center"/>
    </xf>
    <xf numFmtId="0" fontId="1" fillId="0" borderId="100" xfId="0" applyFont="1" applyBorder="1" applyAlignment="1" applyProtection="1">
      <alignment horizontal="center" vertical="center" wrapText="1"/>
      <protection locked="0"/>
    </xf>
    <xf numFmtId="0" fontId="90" fillId="0" borderId="28" xfId="0" applyFont="1" applyBorder="1" applyAlignment="1" applyProtection="1">
      <alignment horizontal="center" vertical="center" textRotation="90" wrapText="1"/>
      <protection locked="0"/>
    </xf>
    <xf numFmtId="0" fontId="90" fillId="17" borderId="100" xfId="0" applyFont="1" applyFill="1" applyBorder="1" applyAlignment="1">
      <alignment horizontal="center" vertical="center" wrapText="1"/>
    </xf>
    <xf numFmtId="0" fontId="0" fillId="5" borderId="0" xfId="0" applyFill="1" applyAlignment="1">
      <alignment horizontal="center"/>
    </xf>
    <xf numFmtId="0" fontId="76" fillId="20" borderId="91" xfId="0" applyFont="1" applyFill="1" applyBorder="1" applyAlignment="1">
      <alignment horizontal="center" vertical="center" wrapText="1"/>
    </xf>
    <xf numFmtId="0" fontId="76" fillId="20" borderId="100" xfId="0" applyFont="1" applyFill="1" applyBorder="1" applyAlignment="1">
      <alignment horizontal="center" vertical="center" wrapText="1"/>
    </xf>
    <xf numFmtId="0" fontId="76" fillId="20" borderId="25" xfId="0" applyFont="1" applyFill="1" applyBorder="1" applyAlignment="1">
      <alignment horizontal="center" vertical="center" wrapText="1"/>
    </xf>
    <xf numFmtId="0" fontId="76" fillId="20" borderId="21" xfId="0" applyFont="1" applyFill="1" applyBorder="1" applyAlignment="1">
      <alignment horizontal="center" vertical="center" wrapText="1"/>
    </xf>
    <xf numFmtId="0" fontId="22" fillId="0" borderId="0" xfId="0" applyFont="1" applyAlignment="1">
      <alignment horizontal="center" vertical="center" wrapText="1"/>
    </xf>
    <xf numFmtId="0" fontId="18" fillId="5" borderId="7" xfId="0" applyFont="1" applyFill="1" applyBorder="1" applyAlignment="1" applyProtection="1">
      <alignment horizontal="center" wrapText="1" readingOrder="1"/>
      <protection hidden="1"/>
    </xf>
    <xf numFmtId="0" fontId="18" fillId="5" borderId="0" xfId="0" applyFont="1" applyFill="1" applyAlignment="1" applyProtection="1">
      <alignment horizontal="center" wrapText="1" readingOrder="1"/>
      <protection hidden="1"/>
    </xf>
    <xf numFmtId="0" fontId="18" fillId="5" borderId="8" xfId="0" applyFont="1" applyFill="1" applyBorder="1" applyAlignment="1" applyProtection="1">
      <alignment horizontal="center" wrapText="1" readingOrder="1"/>
      <protection hidden="1"/>
    </xf>
    <xf numFmtId="0" fontId="18" fillId="5" borderId="11" xfId="0" applyFont="1" applyFill="1" applyBorder="1" applyAlignment="1" applyProtection="1">
      <alignment horizontal="center" wrapText="1" readingOrder="1"/>
      <protection hidden="1"/>
    </xf>
    <xf numFmtId="0" fontId="18" fillId="5" borderId="10" xfId="0" applyFont="1" applyFill="1" applyBorder="1" applyAlignment="1" applyProtection="1">
      <alignment horizontal="center" wrapText="1" readingOrder="1"/>
      <protection hidden="1"/>
    </xf>
    <xf numFmtId="0" fontId="18" fillId="5" borderId="5" xfId="0" applyFont="1" applyFill="1" applyBorder="1" applyAlignment="1" applyProtection="1">
      <alignment horizontal="center" wrapText="1" readingOrder="1"/>
      <protection hidden="1"/>
    </xf>
    <xf numFmtId="0" fontId="18" fillId="5" borderId="12" xfId="0" applyFont="1" applyFill="1" applyBorder="1" applyAlignment="1" applyProtection="1">
      <alignment horizontal="center" wrapText="1" readingOrder="1"/>
      <protection hidden="1"/>
    </xf>
    <xf numFmtId="0" fontId="18" fillId="5" borderId="6" xfId="0" applyFont="1" applyFill="1" applyBorder="1" applyAlignment="1" applyProtection="1">
      <alignment horizontal="center" wrapText="1" readingOrder="1"/>
      <protection hidden="1"/>
    </xf>
    <xf numFmtId="0" fontId="18" fillId="5" borderId="9" xfId="0" applyFont="1" applyFill="1" applyBorder="1" applyAlignment="1" applyProtection="1">
      <alignment horizontal="center" wrapText="1" readingOrder="1"/>
      <protection hidden="1"/>
    </xf>
    <xf numFmtId="0" fontId="18" fillId="13" borderId="7" xfId="0" applyFont="1" applyFill="1" applyBorder="1" applyAlignment="1" applyProtection="1">
      <alignment horizontal="center" wrapText="1" readingOrder="1"/>
      <protection hidden="1"/>
    </xf>
    <xf numFmtId="0" fontId="18" fillId="13" borderId="0" xfId="0" applyFont="1" applyFill="1" applyAlignment="1" applyProtection="1">
      <alignment horizontal="center" wrapText="1" readingOrder="1"/>
      <protection hidden="1"/>
    </xf>
    <xf numFmtId="0" fontId="18" fillId="13" borderId="8" xfId="0" applyFont="1" applyFill="1" applyBorder="1" applyAlignment="1" applyProtection="1">
      <alignment horizontal="center" wrapText="1" readingOrder="1"/>
      <protection hidden="1"/>
    </xf>
    <xf numFmtId="0" fontId="18" fillId="13" borderId="9" xfId="0" applyFont="1" applyFill="1" applyBorder="1" applyAlignment="1" applyProtection="1">
      <alignment horizontal="center" wrapText="1" readingOrder="1"/>
      <protection hidden="1"/>
    </xf>
    <xf numFmtId="0" fontId="18" fillId="13" borderId="11" xfId="0" applyFont="1" applyFill="1" applyBorder="1" applyAlignment="1" applyProtection="1">
      <alignment horizontal="center" wrapText="1" readingOrder="1"/>
      <protection hidden="1"/>
    </xf>
    <xf numFmtId="0" fontId="18" fillId="13" borderId="10" xfId="0" applyFont="1" applyFill="1" applyBorder="1" applyAlignment="1" applyProtection="1">
      <alignment horizontal="center" wrapText="1" readingOrder="1"/>
      <protection hidden="1"/>
    </xf>
    <xf numFmtId="0" fontId="18" fillId="13" borderId="5" xfId="0" applyFont="1" applyFill="1" applyBorder="1" applyAlignment="1" applyProtection="1">
      <alignment horizontal="center" wrapText="1" readingOrder="1"/>
      <protection hidden="1"/>
    </xf>
    <xf numFmtId="0" fontId="18" fillId="13" borderId="12" xfId="0" applyFont="1" applyFill="1" applyBorder="1" applyAlignment="1" applyProtection="1">
      <alignment horizontal="center" wrapText="1" readingOrder="1"/>
      <protection hidden="1"/>
    </xf>
    <xf numFmtId="0" fontId="18" fillId="13" borderId="6" xfId="0" applyFont="1" applyFill="1" applyBorder="1" applyAlignment="1" applyProtection="1">
      <alignment horizontal="center" wrapText="1" readingOrder="1"/>
      <protection hidden="1"/>
    </xf>
    <xf numFmtId="0" fontId="18" fillId="12" borderId="7" xfId="0" applyFont="1" applyFill="1" applyBorder="1" applyAlignment="1" applyProtection="1">
      <alignment horizontal="center" wrapText="1" readingOrder="1"/>
      <protection hidden="1"/>
    </xf>
    <xf numFmtId="0" fontId="18" fillId="12" borderId="0" xfId="0" applyFont="1" applyFill="1" applyAlignment="1" applyProtection="1">
      <alignment horizontal="center" wrapText="1" readingOrder="1"/>
      <protection hidden="1"/>
    </xf>
    <xf numFmtId="0" fontId="18" fillId="12" borderId="8" xfId="0" applyFont="1" applyFill="1" applyBorder="1" applyAlignment="1" applyProtection="1">
      <alignment horizontal="center" wrapText="1" readingOrder="1"/>
      <protection hidden="1"/>
    </xf>
    <xf numFmtId="0" fontId="18" fillId="12" borderId="9" xfId="0" applyFont="1" applyFill="1" applyBorder="1" applyAlignment="1" applyProtection="1">
      <alignment horizontal="center" wrapText="1" readingOrder="1"/>
      <protection hidden="1"/>
    </xf>
    <xf numFmtId="0" fontId="18" fillId="12" borderId="11" xfId="0" applyFont="1" applyFill="1" applyBorder="1" applyAlignment="1" applyProtection="1">
      <alignment horizontal="center" wrapText="1" readingOrder="1"/>
      <protection hidden="1"/>
    </xf>
    <xf numFmtId="0" fontId="18" fillId="12" borderId="10" xfId="0" applyFont="1" applyFill="1" applyBorder="1" applyAlignment="1" applyProtection="1">
      <alignment horizontal="center" wrapText="1" readingOrder="1"/>
      <protection hidden="1"/>
    </xf>
    <xf numFmtId="0" fontId="18" fillId="12" borderId="5" xfId="0" applyFont="1" applyFill="1" applyBorder="1" applyAlignment="1" applyProtection="1">
      <alignment horizontal="center" wrapText="1" readingOrder="1"/>
      <protection hidden="1"/>
    </xf>
    <xf numFmtId="0" fontId="18" fillId="12" borderId="12" xfId="0" applyFont="1" applyFill="1" applyBorder="1" applyAlignment="1" applyProtection="1">
      <alignment horizontal="center" wrapText="1" readingOrder="1"/>
      <protection hidden="1"/>
    </xf>
    <xf numFmtId="0" fontId="18" fillId="12" borderId="6" xfId="0" applyFont="1" applyFill="1" applyBorder="1" applyAlignment="1" applyProtection="1">
      <alignment horizontal="center" wrapText="1" readingOrder="1"/>
      <protection hidden="1"/>
    </xf>
    <xf numFmtId="0" fontId="18" fillId="11" borderId="7" xfId="0" applyFont="1" applyFill="1" applyBorder="1" applyAlignment="1" applyProtection="1">
      <alignment horizontal="center" vertical="center" wrapText="1" readingOrder="1"/>
      <protection hidden="1"/>
    </xf>
    <xf numFmtId="0" fontId="18" fillId="11" borderId="0" xfId="0" applyFont="1" applyFill="1" applyAlignment="1" applyProtection="1">
      <alignment horizontal="center" vertical="center" wrapText="1" readingOrder="1"/>
      <protection hidden="1"/>
    </xf>
    <xf numFmtId="0" fontId="18" fillId="11" borderId="8" xfId="0" applyFont="1" applyFill="1" applyBorder="1" applyAlignment="1" applyProtection="1">
      <alignment horizontal="center" vertical="center" wrapText="1" readingOrder="1"/>
      <protection hidden="1"/>
    </xf>
    <xf numFmtId="0" fontId="18" fillId="11" borderId="9" xfId="0" applyFont="1" applyFill="1" applyBorder="1" applyAlignment="1" applyProtection="1">
      <alignment horizontal="center" vertical="center" wrapText="1" readingOrder="1"/>
      <protection hidden="1"/>
    </xf>
    <xf numFmtId="0" fontId="18" fillId="11" borderId="11" xfId="0" applyFont="1" applyFill="1" applyBorder="1" applyAlignment="1" applyProtection="1">
      <alignment horizontal="center" vertical="center" wrapText="1" readingOrder="1"/>
      <protection hidden="1"/>
    </xf>
    <xf numFmtId="0" fontId="18" fillId="11" borderId="10" xfId="0" applyFont="1" applyFill="1" applyBorder="1" applyAlignment="1" applyProtection="1">
      <alignment horizontal="center" vertical="center" wrapText="1" readingOrder="1"/>
      <protection hidden="1"/>
    </xf>
    <xf numFmtId="0" fontId="18" fillId="11" borderId="5" xfId="0" applyFont="1" applyFill="1" applyBorder="1" applyAlignment="1" applyProtection="1">
      <alignment horizontal="center" vertical="center" wrapText="1" readingOrder="1"/>
      <protection hidden="1"/>
    </xf>
    <xf numFmtId="0" fontId="18" fillId="11" borderId="12" xfId="0" applyFont="1" applyFill="1" applyBorder="1" applyAlignment="1" applyProtection="1">
      <alignment horizontal="center" vertical="center" wrapText="1" readingOrder="1"/>
      <protection hidden="1"/>
    </xf>
    <xf numFmtId="0" fontId="18" fillId="11" borderId="6" xfId="0" applyFont="1" applyFill="1" applyBorder="1" applyAlignment="1" applyProtection="1">
      <alignment horizontal="center" vertical="center" wrapText="1" readingOrder="1"/>
      <protection hidden="1"/>
    </xf>
    <xf numFmtId="0" fontId="15" fillId="0" borderId="5"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2"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0" xfId="0" applyFont="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15" fillId="0" borderId="7" xfId="0" applyFont="1" applyBorder="1" applyAlignment="1">
      <alignment horizontal="center" vertical="center" wrapText="1"/>
    </xf>
    <xf numFmtId="0" fontId="54" fillId="0" borderId="12" xfId="0" applyFont="1" applyBorder="1" applyAlignment="1">
      <alignment horizontal="left" vertical="center"/>
    </xf>
    <xf numFmtId="0" fontId="54" fillId="0" borderId="0" xfId="0" applyFont="1" applyAlignment="1">
      <alignment horizontal="left" vertical="center"/>
    </xf>
    <xf numFmtId="0" fontId="54" fillId="0" borderId="11" xfId="0" applyFont="1" applyBorder="1" applyAlignment="1">
      <alignment horizontal="left" vertical="center"/>
    </xf>
    <xf numFmtId="0" fontId="54" fillId="0" borderId="5" xfId="0" applyFont="1" applyBorder="1" applyAlignment="1">
      <alignment horizontal="center" vertical="center"/>
    </xf>
    <xf numFmtId="0" fontId="54" fillId="0" borderId="12" xfId="0" applyFont="1" applyBorder="1" applyAlignment="1">
      <alignment horizontal="center" vertical="center"/>
    </xf>
    <xf numFmtId="0" fontId="54" fillId="0" borderId="6" xfId="0" applyFont="1" applyBorder="1" applyAlignment="1">
      <alignment horizontal="center" vertical="center"/>
    </xf>
    <xf numFmtId="0" fontId="54" fillId="0" borderId="7" xfId="0" applyFont="1" applyBorder="1" applyAlignment="1">
      <alignment horizontal="center" vertical="center"/>
    </xf>
    <xf numFmtId="0" fontId="54" fillId="0" borderId="0" xfId="0" applyFont="1" applyAlignment="1">
      <alignment horizontal="center" vertical="center"/>
    </xf>
    <xf numFmtId="0" fontId="54" fillId="0" borderId="8" xfId="0" applyFont="1" applyBorder="1" applyAlignment="1">
      <alignment horizontal="center" vertical="center"/>
    </xf>
    <xf numFmtId="0" fontId="54" fillId="0" borderId="9" xfId="0" applyFont="1" applyBorder="1" applyAlignment="1">
      <alignment horizontal="center" vertical="center"/>
    </xf>
    <xf numFmtId="0" fontId="54" fillId="0" borderId="11" xfId="0" applyFont="1" applyBorder="1" applyAlignment="1">
      <alignment horizontal="center" vertical="center"/>
    </xf>
    <xf numFmtId="0" fontId="54" fillId="0" borderId="10" xfId="0" applyFont="1" applyBorder="1" applyAlignment="1">
      <alignment horizontal="center" vertical="center"/>
    </xf>
    <xf numFmtId="0" fontId="67" fillId="0" borderId="5" xfId="0" applyFont="1" applyBorder="1" applyAlignment="1">
      <alignment horizontal="center" wrapText="1"/>
    </xf>
    <xf numFmtId="0" fontId="67" fillId="0" borderId="12" xfId="0" applyFont="1" applyBorder="1" applyAlignment="1">
      <alignment horizontal="center" wrapText="1"/>
    </xf>
    <xf numFmtId="0" fontId="67" fillId="0" borderId="6" xfId="0" applyFont="1" applyBorder="1" applyAlignment="1">
      <alignment horizontal="center" wrapText="1"/>
    </xf>
    <xf numFmtId="0" fontId="67" fillId="0" borderId="7" xfId="0" applyFont="1" applyBorder="1" applyAlignment="1">
      <alignment horizontal="center" wrapText="1"/>
    </xf>
    <xf numFmtId="0" fontId="67" fillId="0" borderId="0" xfId="0" applyFont="1" applyAlignment="1">
      <alignment horizontal="center" wrapText="1"/>
    </xf>
    <xf numFmtId="0" fontId="67" fillId="0" borderId="8" xfId="0" applyFont="1" applyBorder="1" applyAlignment="1">
      <alignment horizontal="center" wrapText="1"/>
    </xf>
    <xf numFmtId="0" fontId="67" fillId="0" borderId="9" xfId="0" applyFont="1" applyBorder="1" applyAlignment="1">
      <alignment horizontal="center" wrapText="1"/>
    </xf>
    <xf numFmtId="0" fontId="67" fillId="0" borderId="11" xfId="0" applyFont="1" applyBorder="1" applyAlignment="1">
      <alignment horizontal="center" wrapText="1"/>
    </xf>
    <xf numFmtId="0" fontId="67" fillId="0" borderId="10" xfId="0" applyFont="1" applyBorder="1" applyAlignment="1">
      <alignment horizontal="center" wrapText="1"/>
    </xf>
    <xf numFmtId="0" fontId="16" fillId="10" borderId="0" xfId="0" applyFont="1" applyFill="1" applyAlignment="1">
      <alignment horizontal="center" vertical="center" textRotation="90" wrapText="1" readingOrder="1"/>
    </xf>
    <xf numFmtId="0" fontId="16" fillId="10" borderId="8" xfId="0" applyFont="1" applyFill="1" applyBorder="1" applyAlignment="1">
      <alignment horizontal="center" vertical="center" textRotation="90" wrapText="1" readingOrder="1"/>
    </xf>
    <xf numFmtId="0" fontId="19" fillId="12" borderId="13" xfId="0" applyFont="1" applyFill="1" applyBorder="1" applyAlignment="1">
      <alignment horizontal="center" vertical="center" wrapText="1" readingOrder="1"/>
    </xf>
    <xf numFmtId="0" fontId="19" fillId="12" borderId="14" xfId="0" applyFont="1" applyFill="1" applyBorder="1" applyAlignment="1">
      <alignment horizontal="center" vertical="center" wrapText="1" readingOrder="1"/>
    </xf>
    <xf numFmtId="0" fontId="19" fillId="12" borderId="15" xfId="0" applyFont="1" applyFill="1" applyBorder="1" applyAlignment="1">
      <alignment horizontal="center" vertical="center" wrapText="1" readingOrder="1"/>
    </xf>
    <xf numFmtId="0" fontId="19" fillId="12" borderId="16" xfId="0" applyFont="1" applyFill="1" applyBorder="1" applyAlignment="1">
      <alignment horizontal="center" vertical="center" wrapText="1" readingOrder="1"/>
    </xf>
    <xf numFmtId="0" fontId="19" fillId="12" borderId="0" xfId="0" applyFont="1" applyFill="1" applyAlignment="1">
      <alignment horizontal="center" vertical="center" wrapText="1" readingOrder="1"/>
    </xf>
    <xf numFmtId="0" fontId="19" fillId="12" borderId="17" xfId="0" applyFont="1" applyFill="1" applyBorder="1" applyAlignment="1">
      <alignment horizontal="center" vertical="center" wrapText="1" readingOrder="1"/>
    </xf>
    <xf numFmtId="0" fontId="19" fillId="12" borderId="18" xfId="0" applyFont="1" applyFill="1" applyBorder="1" applyAlignment="1">
      <alignment horizontal="center" vertical="center" wrapText="1" readingOrder="1"/>
    </xf>
    <xf numFmtId="0" fontId="19" fillId="12" borderId="19" xfId="0" applyFont="1" applyFill="1" applyBorder="1" applyAlignment="1">
      <alignment horizontal="center" vertical="center" wrapText="1" readingOrder="1"/>
    </xf>
    <xf numFmtId="0" fontId="19" fillId="12" borderId="20" xfId="0" applyFont="1" applyFill="1" applyBorder="1" applyAlignment="1">
      <alignment horizontal="center" vertical="center" wrapText="1" readingOrder="1"/>
    </xf>
    <xf numFmtId="0" fontId="19" fillId="11" borderId="13" xfId="0" applyFont="1" applyFill="1" applyBorder="1" applyAlignment="1">
      <alignment horizontal="center" vertical="center" wrapText="1" readingOrder="1"/>
    </xf>
    <xf numFmtId="0" fontId="19" fillId="11" borderId="14" xfId="0" applyFont="1" applyFill="1" applyBorder="1" applyAlignment="1">
      <alignment horizontal="center" vertical="center" wrapText="1" readingOrder="1"/>
    </xf>
    <xf numFmtId="0" fontId="19" fillId="11" borderId="15" xfId="0" applyFont="1" applyFill="1" applyBorder="1" applyAlignment="1">
      <alignment horizontal="center" vertical="center" wrapText="1" readingOrder="1"/>
    </xf>
    <xf numFmtId="0" fontId="19" fillId="11" borderId="16" xfId="0" applyFont="1" applyFill="1" applyBorder="1" applyAlignment="1">
      <alignment horizontal="center" vertical="center" wrapText="1" readingOrder="1"/>
    </xf>
    <xf numFmtId="0" fontId="19" fillId="11" borderId="0" xfId="0" applyFont="1" applyFill="1" applyAlignment="1">
      <alignment horizontal="center" vertical="center" wrapText="1" readingOrder="1"/>
    </xf>
    <xf numFmtId="0" fontId="19" fillId="11" borderId="17" xfId="0" applyFont="1" applyFill="1" applyBorder="1" applyAlignment="1">
      <alignment horizontal="center" vertical="center" wrapText="1" readingOrder="1"/>
    </xf>
    <xf numFmtId="0" fontId="19" fillId="11" borderId="18" xfId="0" applyFont="1" applyFill="1" applyBorder="1" applyAlignment="1">
      <alignment horizontal="center" vertical="center" wrapText="1" readingOrder="1"/>
    </xf>
    <xf numFmtId="0" fontId="19" fillId="11" borderId="19" xfId="0" applyFont="1" applyFill="1" applyBorder="1" applyAlignment="1">
      <alignment horizontal="center" vertical="center" wrapText="1" readingOrder="1"/>
    </xf>
    <xf numFmtId="0" fontId="19" fillId="11" borderId="20" xfId="0" applyFont="1" applyFill="1" applyBorder="1" applyAlignment="1">
      <alignment horizontal="center" vertical="center" wrapText="1" readingOrder="1"/>
    </xf>
    <xf numFmtId="0" fontId="19" fillId="13" borderId="13" xfId="0" applyFont="1" applyFill="1" applyBorder="1" applyAlignment="1">
      <alignment horizontal="center" vertical="center" wrapText="1" readingOrder="1"/>
    </xf>
    <xf numFmtId="0" fontId="19" fillId="13" borderId="14" xfId="0" applyFont="1" applyFill="1" applyBorder="1" applyAlignment="1">
      <alignment horizontal="center" vertical="center" wrapText="1" readingOrder="1"/>
    </xf>
    <xf numFmtId="0" fontId="19" fillId="13" borderId="15" xfId="0" applyFont="1" applyFill="1" applyBorder="1" applyAlignment="1">
      <alignment horizontal="center" vertical="center" wrapText="1" readingOrder="1"/>
    </xf>
    <xf numFmtId="0" fontId="19" fillId="13" borderId="16" xfId="0" applyFont="1" applyFill="1" applyBorder="1" applyAlignment="1">
      <alignment horizontal="center" vertical="center" wrapText="1" readingOrder="1"/>
    </xf>
    <xf numFmtId="0" fontId="19" fillId="13" borderId="0" xfId="0" applyFont="1" applyFill="1" applyAlignment="1">
      <alignment horizontal="center" vertical="center" wrapText="1" readingOrder="1"/>
    </xf>
    <xf numFmtId="0" fontId="19" fillId="13" borderId="17" xfId="0" applyFont="1" applyFill="1" applyBorder="1" applyAlignment="1">
      <alignment horizontal="center" vertical="center" wrapText="1" readingOrder="1"/>
    </xf>
    <xf numFmtId="0" fontId="19" fillId="13" borderId="18" xfId="0" applyFont="1" applyFill="1" applyBorder="1" applyAlignment="1">
      <alignment horizontal="center" vertical="center" wrapText="1" readingOrder="1"/>
    </xf>
    <xf numFmtId="0" fontId="19" fillId="13" borderId="19" xfId="0" applyFont="1" applyFill="1" applyBorder="1" applyAlignment="1">
      <alignment horizontal="center" vertical="center" wrapText="1" readingOrder="1"/>
    </xf>
    <xf numFmtId="0" fontId="19" fillId="13" borderId="20" xfId="0" applyFont="1" applyFill="1" applyBorder="1" applyAlignment="1">
      <alignment horizontal="center" vertical="center" wrapText="1" readingOrder="1"/>
    </xf>
    <xf numFmtId="0" fontId="19" fillId="5" borderId="13" xfId="0" applyFont="1" applyFill="1" applyBorder="1" applyAlignment="1">
      <alignment horizontal="center" vertical="center" wrapText="1" readingOrder="1"/>
    </xf>
    <xf numFmtId="0" fontId="19" fillId="5" borderId="14" xfId="0" applyFont="1" applyFill="1" applyBorder="1" applyAlignment="1">
      <alignment horizontal="center" vertical="center" wrapText="1" readingOrder="1"/>
    </xf>
    <xf numFmtId="0" fontId="19" fillId="5" borderId="15" xfId="0" applyFont="1" applyFill="1" applyBorder="1" applyAlignment="1">
      <alignment horizontal="center" vertical="center" wrapText="1" readingOrder="1"/>
    </xf>
    <xf numFmtId="0" fontId="19" fillId="5" borderId="16" xfId="0" applyFont="1" applyFill="1" applyBorder="1" applyAlignment="1">
      <alignment horizontal="center" vertical="center" wrapText="1" readingOrder="1"/>
    </xf>
    <xf numFmtId="0" fontId="19" fillId="5" borderId="0" xfId="0" applyFont="1" applyFill="1" applyAlignment="1">
      <alignment horizontal="center" vertical="center" wrapText="1" readingOrder="1"/>
    </xf>
    <xf numFmtId="0" fontId="19" fillId="5" borderId="17" xfId="0" applyFont="1" applyFill="1" applyBorder="1" applyAlignment="1">
      <alignment horizontal="center" vertical="center" wrapText="1" readingOrder="1"/>
    </xf>
    <xf numFmtId="0" fontId="19" fillId="5" borderId="18" xfId="0" applyFont="1" applyFill="1" applyBorder="1" applyAlignment="1">
      <alignment horizontal="center" vertical="center" wrapText="1" readingOrder="1"/>
    </xf>
    <xf numFmtId="0" fontId="19" fillId="5" borderId="19" xfId="0" applyFont="1" applyFill="1" applyBorder="1" applyAlignment="1">
      <alignment horizontal="center" vertical="center" wrapText="1" readingOrder="1"/>
    </xf>
    <xf numFmtId="0" fontId="19" fillId="5" borderId="20" xfId="0" applyFont="1" applyFill="1" applyBorder="1" applyAlignment="1">
      <alignment horizontal="center" vertical="center" wrapText="1" readingOrder="1"/>
    </xf>
    <xf numFmtId="0" fontId="16" fillId="25" borderId="0" xfId="0" applyFont="1" applyFill="1" applyAlignment="1">
      <alignment horizontal="center" vertical="center" wrapText="1" readingOrder="1"/>
    </xf>
    <xf numFmtId="0" fontId="61" fillId="0" borderId="0" xfId="0" applyFont="1" applyAlignment="1">
      <alignment horizontal="center"/>
    </xf>
    <xf numFmtId="0" fontId="39" fillId="0" borderId="5" xfId="0" applyFont="1" applyBorder="1" applyAlignment="1">
      <alignment horizontal="center" vertical="center" wrapText="1"/>
    </xf>
    <xf numFmtId="0" fontId="39" fillId="0" borderId="12" xfId="0" applyFont="1" applyBorder="1" applyAlignment="1">
      <alignment horizontal="center" vertical="center"/>
    </xf>
    <xf numFmtId="0" fontId="39" fillId="0" borderId="6" xfId="0" applyFont="1" applyBorder="1" applyAlignment="1">
      <alignment horizontal="center" vertical="center"/>
    </xf>
    <xf numFmtId="0" fontId="39" fillId="0" borderId="7" xfId="0" applyFont="1" applyBorder="1" applyAlignment="1">
      <alignment horizontal="center" vertical="center"/>
    </xf>
    <xf numFmtId="0" fontId="39" fillId="0" borderId="0" xfId="0" applyFont="1" applyAlignment="1">
      <alignment horizontal="center" vertical="center"/>
    </xf>
    <xf numFmtId="0" fontId="39" fillId="0" borderId="8" xfId="0" applyFont="1" applyBorder="1" applyAlignment="1">
      <alignment horizontal="center" vertical="center"/>
    </xf>
    <xf numFmtId="0" fontId="39" fillId="0" borderId="9" xfId="0" applyFont="1" applyBorder="1" applyAlignment="1">
      <alignment horizontal="center" vertical="center"/>
    </xf>
    <xf numFmtId="0" fontId="39" fillId="0" borderId="11" xfId="0" applyFont="1" applyBorder="1" applyAlignment="1">
      <alignment horizontal="center" vertical="center"/>
    </xf>
    <xf numFmtId="0" fontId="39" fillId="0" borderId="10" xfId="0" applyFont="1" applyBorder="1" applyAlignment="1">
      <alignment horizontal="center" vertical="center"/>
    </xf>
    <xf numFmtId="0" fontId="39" fillId="0" borderId="12" xfId="0" applyFont="1" applyBorder="1" applyAlignment="1">
      <alignment horizontal="center" vertical="center" wrapText="1"/>
    </xf>
    <xf numFmtId="0" fontId="38" fillId="11" borderId="13" xfId="0" applyFont="1" applyFill="1" applyBorder="1" applyAlignment="1">
      <alignment horizontal="center" vertical="center" wrapText="1" readingOrder="1"/>
    </xf>
    <xf numFmtId="0" fontId="38" fillId="11" borderId="14" xfId="0" applyFont="1" applyFill="1" applyBorder="1" applyAlignment="1">
      <alignment horizontal="center" vertical="center" wrapText="1" readingOrder="1"/>
    </xf>
    <xf numFmtId="0" fontId="38" fillId="11" borderId="15" xfId="0" applyFont="1" applyFill="1" applyBorder="1" applyAlignment="1">
      <alignment horizontal="center" vertical="center" wrapText="1" readingOrder="1"/>
    </xf>
    <xf numFmtId="0" fontId="38" fillId="11" borderId="16" xfId="0" applyFont="1" applyFill="1" applyBorder="1" applyAlignment="1">
      <alignment horizontal="center" vertical="center" wrapText="1" readingOrder="1"/>
    </xf>
    <xf numFmtId="0" fontId="38" fillId="11" borderId="0" xfId="0" applyFont="1" applyFill="1" applyAlignment="1">
      <alignment horizontal="center" vertical="center" wrapText="1" readingOrder="1"/>
    </xf>
    <xf numFmtId="0" fontId="38" fillId="11" borderId="17" xfId="0" applyFont="1" applyFill="1" applyBorder="1" applyAlignment="1">
      <alignment horizontal="center" vertical="center" wrapText="1" readingOrder="1"/>
    </xf>
    <xf numFmtId="0" fontId="38" fillId="11" borderId="18" xfId="0" applyFont="1" applyFill="1" applyBorder="1" applyAlignment="1">
      <alignment horizontal="center" vertical="center" wrapText="1" readingOrder="1"/>
    </xf>
    <xf numFmtId="0" fontId="38" fillId="11" borderId="19" xfId="0" applyFont="1" applyFill="1" applyBorder="1" applyAlignment="1">
      <alignment horizontal="center" vertical="center" wrapText="1" readingOrder="1"/>
    </xf>
    <xf numFmtId="0" fontId="38" fillId="11" borderId="20" xfId="0" applyFont="1" applyFill="1" applyBorder="1" applyAlignment="1">
      <alignment horizontal="center" vertical="center" wrapText="1" readingOrder="1"/>
    </xf>
    <xf numFmtId="0" fontId="39" fillId="0" borderId="7" xfId="0" applyFont="1" applyBorder="1" applyAlignment="1">
      <alignment horizontal="center" vertical="center" wrapText="1"/>
    </xf>
    <xf numFmtId="0" fontId="38" fillId="12" borderId="13" xfId="0" applyFont="1" applyFill="1" applyBorder="1" applyAlignment="1">
      <alignment horizontal="center" vertical="center" wrapText="1" readingOrder="1"/>
    </xf>
    <xf numFmtId="0" fontId="38" fillId="12" borderId="14" xfId="0" applyFont="1" applyFill="1" applyBorder="1" applyAlignment="1">
      <alignment horizontal="center" vertical="center" wrapText="1" readingOrder="1"/>
    </xf>
    <xf numFmtId="0" fontId="38" fillId="12" borderId="15" xfId="0" applyFont="1" applyFill="1" applyBorder="1" applyAlignment="1">
      <alignment horizontal="center" vertical="center" wrapText="1" readingOrder="1"/>
    </xf>
    <xf numFmtId="0" fontId="38" fillId="12" borderId="16" xfId="0" applyFont="1" applyFill="1" applyBorder="1" applyAlignment="1">
      <alignment horizontal="center" vertical="center" wrapText="1" readingOrder="1"/>
    </xf>
    <xf numFmtId="0" fontId="38" fillId="12" borderId="0" xfId="0" applyFont="1" applyFill="1" applyAlignment="1">
      <alignment horizontal="center" vertical="center" wrapText="1" readingOrder="1"/>
    </xf>
    <xf numFmtId="0" fontId="38" fillId="12" borderId="17" xfId="0" applyFont="1" applyFill="1" applyBorder="1" applyAlignment="1">
      <alignment horizontal="center" vertical="center" wrapText="1" readingOrder="1"/>
    </xf>
    <xf numFmtId="0" fontId="38" fillId="12" borderId="18" xfId="0" applyFont="1" applyFill="1" applyBorder="1" applyAlignment="1">
      <alignment horizontal="center" vertical="center" wrapText="1" readingOrder="1"/>
    </xf>
    <xf numFmtId="0" fontId="38" fillId="12" borderId="19" xfId="0" applyFont="1" applyFill="1" applyBorder="1" applyAlignment="1">
      <alignment horizontal="center" vertical="center" wrapText="1" readingOrder="1"/>
    </xf>
    <xf numFmtId="0" fontId="38" fillId="12" borderId="20" xfId="0" applyFont="1" applyFill="1" applyBorder="1" applyAlignment="1">
      <alignment horizontal="center" vertical="center" wrapText="1" readingOrder="1"/>
    </xf>
    <xf numFmtId="0" fontId="37" fillId="0" borderId="0" xfId="0" applyFont="1" applyAlignment="1">
      <alignment horizontal="center" vertical="center" wrapText="1"/>
    </xf>
    <xf numFmtId="0" fontId="20" fillId="0" borderId="0" xfId="0" applyFont="1" applyAlignment="1">
      <alignment horizontal="center" vertical="center" wrapText="1"/>
    </xf>
    <xf numFmtId="0" fontId="16" fillId="10" borderId="0" xfId="0" applyFont="1" applyFill="1" applyAlignment="1">
      <alignment horizontal="center" vertical="center" wrapText="1" readingOrder="1"/>
    </xf>
    <xf numFmtId="0" fontId="38" fillId="5" borderId="13" xfId="0" applyFont="1" applyFill="1" applyBorder="1" applyAlignment="1">
      <alignment horizontal="center" vertical="center" wrapText="1" readingOrder="1"/>
    </xf>
    <xf numFmtId="0" fontId="38" fillId="5" borderId="14" xfId="0" applyFont="1" applyFill="1" applyBorder="1" applyAlignment="1">
      <alignment horizontal="center" vertical="center" wrapText="1" readingOrder="1"/>
    </xf>
    <xf numFmtId="0" fontId="38" fillId="5" borderId="15" xfId="0" applyFont="1" applyFill="1" applyBorder="1" applyAlignment="1">
      <alignment horizontal="center" vertical="center" wrapText="1" readingOrder="1"/>
    </xf>
    <xf numFmtId="0" fontId="38" fillId="5" borderId="16" xfId="0" applyFont="1" applyFill="1" applyBorder="1" applyAlignment="1">
      <alignment horizontal="center" vertical="center" wrapText="1" readingOrder="1"/>
    </xf>
    <xf numFmtId="0" fontId="38" fillId="5" borderId="0" xfId="0" applyFont="1" applyFill="1" applyAlignment="1">
      <alignment horizontal="center" vertical="center" wrapText="1" readingOrder="1"/>
    </xf>
    <xf numFmtId="0" fontId="38" fillId="5" borderId="17" xfId="0" applyFont="1" applyFill="1" applyBorder="1" applyAlignment="1">
      <alignment horizontal="center" vertical="center" wrapText="1" readingOrder="1"/>
    </xf>
    <xf numFmtId="0" fontId="38" fillId="5" borderId="18" xfId="0" applyFont="1" applyFill="1" applyBorder="1" applyAlignment="1">
      <alignment horizontal="center" vertical="center" wrapText="1" readingOrder="1"/>
    </xf>
    <xf numFmtId="0" fontId="38" fillId="5" borderId="19" xfId="0" applyFont="1" applyFill="1" applyBorder="1" applyAlignment="1">
      <alignment horizontal="center" vertical="center" wrapText="1" readingOrder="1"/>
    </xf>
    <xf numFmtId="0" fontId="38" fillId="5" borderId="20" xfId="0" applyFont="1" applyFill="1" applyBorder="1" applyAlignment="1">
      <alignment horizontal="center" vertical="center" wrapText="1" readingOrder="1"/>
    </xf>
    <xf numFmtId="0" fontId="38" fillId="13" borderId="13" xfId="0" applyFont="1" applyFill="1" applyBorder="1" applyAlignment="1">
      <alignment horizontal="center" vertical="center" wrapText="1" readingOrder="1"/>
    </xf>
    <xf numFmtId="0" fontId="38" fillId="13" borderId="14" xfId="0" applyFont="1" applyFill="1" applyBorder="1" applyAlignment="1">
      <alignment horizontal="center" vertical="center" wrapText="1" readingOrder="1"/>
    </xf>
    <xf numFmtId="0" fontId="38" fillId="13" borderId="15" xfId="0" applyFont="1" applyFill="1" applyBorder="1" applyAlignment="1">
      <alignment horizontal="center" vertical="center" wrapText="1" readingOrder="1"/>
    </xf>
    <xf numFmtId="0" fontId="38" fillId="13" borderId="16" xfId="0" applyFont="1" applyFill="1" applyBorder="1" applyAlignment="1">
      <alignment horizontal="center" vertical="center" wrapText="1" readingOrder="1"/>
    </xf>
    <xf numFmtId="0" fontId="38" fillId="13" borderId="0" xfId="0" applyFont="1" applyFill="1" applyAlignment="1">
      <alignment horizontal="center" vertical="center" wrapText="1" readingOrder="1"/>
    </xf>
    <xf numFmtId="0" fontId="38" fillId="13" borderId="17" xfId="0" applyFont="1" applyFill="1" applyBorder="1" applyAlignment="1">
      <alignment horizontal="center" vertical="center" wrapText="1" readingOrder="1"/>
    </xf>
    <xf numFmtId="0" fontId="38" fillId="13" borderId="18" xfId="0" applyFont="1" applyFill="1" applyBorder="1" applyAlignment="1">
      <alignment horizontal="center" vertical="center" wrapText="1" readingOrder="1"/>
    </xf>
    <xf numFmtId="0" fontId="38" fillId="13" borderId="19" xfId="0" applyFont="1" applyFill="1" applyBorder="1" applyAlignment="1">
      <alignment horizontal="center" vertical="center" wrapText="1" readingOrder="1"/>
    </xf>
    <xf numFmtId="0" fontId="38" fillId="13" borderId="20" xfId="0" applyFont="1" applyFill="1" applyBorder="1" applyAlignment="1">
      <alignment horizontal="center" vertical="center" wrapText="1" readingOrder="1"/>
    </xf>
    <xf numFmtId="0" fontId="62" fillId="0" borderId="95" xfId="0" applyFont="1" applyBorder="1" applyAlignment="1">
      <alignment horizontal="center" wrapText="1"/>
    </xf>
    <xf numFmtId="0" fontId="66" fillId="0" borderId="86" xfId="0" applyFont="1" applyBorder="1" applyAlignment="1">
      <alignment horizontal="center" wrapText="1"/>
    </xf>
    <xf numFmtId="0" fontId="66" fillId="0" borderId="97" xfId="0" applyFont="1" applyBorder="1" applyAlignment="1">
      <alignment horizontal="center" wrapText="1"/>
    </xf>
    <xf numFmtId="0" fontId="64" fillId="0" borderId="5" xfId="0" applyFont="1" applyBorder="1" applyAlignment="1">
      <alignment horizontal="center" vertical="center" wrapText="1"/>
    </xf>
    <xf numFmtId="0" fontId="64" fillId="0" borderId="7" xfId="0" applyFont="1" applyBorder="1" applyAlignment="1">
      <alignment horizontal="center" vertical="center" wrapText="1"/>
    </xf>
    <xf numFmtId="0" fontId="64" fillId="0" borderId="9" xfId="0" applyFont="1" applyBorder="1" applyAlignment="1">
      <alignment horizontal="center" vertical="center" wrapText="1"/>
    </xf>
    <xf numFmtId="0" fontId="76" fillId="17" borderId="87" xfId="0" applyFont="1" applyFill="1" applyBorder="1" applyAlignment="1">
      <alignment horizontal="center" vertical="center" textRotation="90"/>
    </xf>
    <xf numFmtId="0" fontId="46" fillId="14" borderId="36" xfId="2" applyFont="1" applyFill="1" applyBorder="1" applyAlignment="1">
      <alignment horizontal="center" vertical="center" wrapText="1"/>
    </xf>
    <xf numFmtId="0" fontId="46" fillId="14" borderId="37" xfId="2" applyFont="1" applyFill="1" applyBorder="1" applyAlignment="1">
      <alignment horizontal="center" vertical="center" wrapText="1"/>
    </xf>
    <xf numFmtId="0" fontId="46" fillId="14" borderId="38" xfId="2" applyFont="1" applyFill="1" applyBorder="1" applyAlignment="1">
      <alignment horizontal="center" vertical="center" wrapText="1"/>
    </xf>
    <xf numFmtId="0" fontId="45" fillId="0" borderId="7" xfId="2" quotePrefix="1" applyFont="1" applyBorder="1" applyAlignment="1">
      <alignment horizontal="left" vertical="center" wrapText="1"/>
    </xf>
    <xf numFmtId="0" fontId="45" fillId="0" borderId="0" xfId="2" quotePrefix="1" applyFont="1" applyAlignment="1">
      <alignment horizontal="left" vertical="center" wrapText="1"/>
    </xf>
    <xf numFmtId="0" fontId="45" fillId="0" borderId="8" xfId="2" quotePrefix="1" applyFont="1" applyBorder="1" applyAlignment="1">
      <alignment horizontal="left" vertical="center" wrapText="1"/>
    </xf>
    <xf numFmtId="0" fontId="45" fillId="0" borderId="56" xfId="2" quotePrefix="1" applyFont="1" applyBorder="1" applyAlignment="1">
      <alignment horizontal="left" vertical="center" wrapText="1"/>
    </xf>
    <xf numFmtId="0" fontId="45" fillId="0" borderId="57" xfId="2" quotePrefix="1" applyFont="1" applyBorder="1" applyAlignment="1">
      <alignment horizontal="left" vertical="center" wrapText="1"/>
    </xf>
    <xf numFmtId="0" fontId="45" fillId="0" borderId="58" xfId="2" quotePrefix="1" applyFont="1" applyBorder="1" applyAlignment="1">
      <alignment horizontal="left" vertical="center" wrapText="1"/>
    </xf>
    <xf numFmtId="0" fontId="47" fillId="3" borderId="39" xfId="2" quotePrefix="1" applyFont="1" applyFill="1" applyBorder="1" applyAlignment="1">
      <alignment horizontal="left" vertical="top" wrapText="1"/>
    </xf>
    <xf numFmtId="0" fontId="48" fillId="3" borderId="40" xfId="2" quotePrefix="1" applyFont="1" applyFill="1" applyBorder="1" applyAlignment="1">
      <alignment horizontal="left" vertical="top" wrapText="1"/>
    </xf>
    <xf numFmtId="0" fontId="48" fillId="3" borderId="41" xfId="2" quotePrefix="1" applyFont="1" applyFill="1" applyBorder="1" applyAlignment="1">
      <alignment horizontal="left" vertical="top" wrapText="1"/>
    </xf>
    <xf numFmtId="0" fontId="45" fillId="0" borderId="7" xfId="2" quotePrefix="1" applyFont="1" applyBorder="1" applyAlignment="1">
      <alignment horizontal="left" vertical="top" wrapText="1"/>
    </xf>
    <xf numFmtId="0" fontId="45" fillId="0" borderId="0" xfId="2" quotePrefix="1" applyFont="1" applyAlignment="1">
      <alignment horizontal="left" vertical="top" wrapText="1"/>
    </xf>
    <xf numFmtId="0" fontId="45" fillId="0" borderId="8" xfId="2" quotePrefix="1" applyFont="1" applyBorder="1" applyAlignment="1">
      <alignment horizontal="left" vertical="top" wrapText="1"/>
    </xf>
    <xf numFmtId="0" fontId="50" fillId="14" borderId="42" xfId="3" applyFont="1" applyFill="1" applyBorder="1" applyAlignment="1">
      <alignment horizontal="center" vertical="center" wrapText="1"/>
    </xf>
    <xf numFmtId="0" fontId="50" fillId="14" borderId="43" xfId="3" applyFont="1" applyFill="1" applyBorder="1" applyAlignment="1">
      <alignment horizontal="center" vertical="center" wrapText="1"/>
    </xf>
    <xf numFmtId="0" fontId="50" fillId="14" borderId="44" xfId="2" applyFont="1" applyFill="1" applyBorder="1" applyAlignment="1">
      <alignment horizontal="center" vertical="center"/>
    </xf>
    <xf numFmtId="0" fontId="50" fillId="14" borderId="45" xfId="2" applyFont="1" applyFill="1" applyBorder="1" applyAlignment="1">
      <alignment horizontal="center" vertical="center"/>
    </xf>
    <xf numFmtId="0" fontId="1" fillId="3" borderId="56" xfId="2" quotePrefix="1" applyFont="1" applyFill="1" applyBorder="1" applyAlignment="1">
      <alignment horizontal="justify" vertical="center" wrapText="1"/>
    </xf>
    <xf numFmtId="0" fontId="1" fillId="3" borderId="57" xfId="2" quotePrefix="1" applyFont="1" applyFill="1" applyBorder="1" applyAlignment="1">
      <alignment horizontal="justify" vertical="center" wrapText="1"/>
    </xf>
    <xf numFmtId="0" fontId="1" fillId="3" borderId="58" xfId="2" quotePrefix="1" applyFont="1" applyFill="1" applyBorder="1" applyAlignment="1">
      <alignment horizontal="justify" vertical="center" wrapText="1"/>
    </xf>
    <xf numFmtId="0" fontId="50" fillId="3" borderId="46" xfId="3" applyFont="1" applyFill="1" applyBorder="1" applyAlignment="1">
      <alignment horizontal="left" vertical="top" wrapText="1" readingOrder="1"/>
    </xf>
    <xf numFmtId="0" fontId="50" fillId="3" borderId="47" xfId="3" applyFont="1" applyFill="1" applyBorder="1" applyAlignment="1">
      <alignment horizontal="left" vertical="top" wrapText="1" readingOrder="1"/>
    </xf>
    <xf numFmtId="0" fontId="51" fillId="3" borderId="48" xfId="2" applyFont="1" applyFill="1" applyBorder="1" applyAlignment="1">
      <alignment horizontal="justify" vertical="center" wrapText="1"/>
    </xf>
    <xf numFmtId="0" fontId="51" fillId="3" borderId="49" xfId="2" applyFont="1" applyFill="1" applyBorder="1" applyAlignment="1">
      <alignment horizontal="justify" vertical="center" wrapText="1"/>
    </xf>
    <xf numFmtId="0" fontId="50" fillId="3" borderId="50" xfId="0" applyFont="1" applyFill="1" applyBorder="1" applyAlignment="1">
      <alignment horizontal="left" vertical="center" wrapText="1"/>
    </xf>
    <xf numFmtId="0" fontId="50" fillId="3" borderId="51" xfId="0" applyFont="1" applyFill="1" applyBorder="1" applyAlignment="1">
      <alignment horizontal="left" vertical="center" wrapText="1"/>
    </xf>
    <xf numFmtId="0" fontId="51" fillId="3" borderId="52" xfId="2" applyFont="1" applyFill="1" applyBorder="1" applyAlignment="1">
      <alignment horizontal="justify" vertical="center" wrapText="1"/>
    </xf>
    <xf numFmtId="0" fontId="51" fillId="3" borderId="53" xfId="2" applyFont="1" applyFill="1" applyBorder="1" applyAlignment="1">
      <alignment horizontal="justify" vertical="center" wrapText="1"/>
    </xf>
    <xf numFmtId="0" fontId="45" fillId="3" borderId="7" xfId="2" applyFont="1" applyFill="1" applyBorder="1" applyAlignment="1">
      <alignment horizontal="left" vertical="top" wrapText="1"/>
    </xf>
    <xf numFmtId="0" fontId="45" fillId="3" borderId="0" xfId="2" applyFont="1" applyFill="1" applyAlignment="1">
      <alignment horizontal="left" vertical="top" wrapText="1"/>
    </xf>
    <xf numFmtId="0" fontId="45" fillId="3" borderId="8" xfId="2" applyFont="1" applyFill="1" applyBorder="1" applyAlignment="1">
      <alignment horizontal="left" vertical="top" wrapText="1"/>
    </xf>
    <xf numFmtId="0" fontId="50" fillId="3" borderId="59" xfId="0" applyFont="1" applyFill="1" applyBorder="1" applyAlignment="1">
      <alignment horizontal="left" vertical="center" wrapText="1"/>
    </xf>
    <xf numFmtId="0" fontId="50" fillId="3" borderId="60" xfId="0" applyFont="1" applyFill="1" applyBorder="1" applyAlignment="1">
      <alignment horizontal="left" vertical="center" wrapText="1"/>
    </xf>
    <xf numFmtId="0" fontId="50" fillId="3" borderId="61" xfId="0" applyFont="1" applyFill="1" applyBorder="1" applyAlignment="1">
      <alignment horizontal="left" vertical="center" wrapText="1"/>
    </xf>
    <xf numFmtId="0" fontId="50" fillId="3" borderId="62" xfId="0" applyFont="1" applyFill="1" applyBorder="1" applyAlignment="1">
      <alignment horizontal="left" vertical="center" wrapText="1"/>
    </xf>
    <xf numFmtId="0" fontId="51" fillId="3" borderId="54" xfId="0" applyFont="1" applyFill="1" applyBorder="1" applyAlignment="1">
      <alignment horizontal="justify" vertical="center" wrapText="1"/>
    </xf>
    <xf numFmtId="0" fontId="51" fillId="3" borderId="55" xfId="0" applyFont="1" applyFill="1" applyBorder="1" applyAlignment="1">
      <alignment horizontal="justify" vertical="center" wrapText="1"/>
    </xf>
    <xf numFmtId="0" fontId="67" fillId="0" borderId="69" xfId="0" applyFont="1" applyBorder="1" applyAlignment="1">
      <alignment horizontal="center" wrapText="1"/>
    </xf>
    <xf numFmtId="0" fontId="66" fillId="0" borderId="70" xfId="0" applyFont="1" applyBorder="1" applyAlignment="1">
      <alignment horizontal="center" wrapText="1"/>
    </xf>
    <xf numFmtId="0" fontId="66" fillId="0" borderId="73" xfId="0" applyFont="1" applyBorder="1" applyAlignment="1">
      <alignment horizontal="center" wrapText="1"/>
    </xf>
    <xf numFmtId="0" fontId="69" fillId="0" borderId="5" xfId="0" applyFont="1" applyBorder="1" applyAlignment="1">
      <alignment horizontal="center" vertical="center" wrapText="1"/>
    </xf>
    <xf numFmtId="0" fontId="69" fillId="0" borderId="12" xfId="0" applyFont="1" applyBorder="1" applyAlignment="1">
      <alignment horizontal="center" vertical="center" wrapText="1"/>
    </xf>
    <xf numFmtId="0" fontId="69" fillId="0" borderId="7" xfId="0" applyFont="1" applyBorder="1" applyAlignment="1">
      <alignment horizontal="center" vertical="center" wrapText="1"/>
    </xf>
    <xf numFmtId="0" fontId="69" fillId="0" borderId="0" xfId="0" applyFont="1" applyAlignment="1">
      <alignment horizontal="center" vertical="center" wrapText="1"/>
    </xf>
    <xf numFmtId="0" fontId="69" fillId="0" borderId="9" xfId="0" applyFont="1" applyBorder="1" applyAlignment="1">
      <alignment horizontal="center" vertical="center" wrapText="1"/>
    </xf>
    <xf numFmtId="0" fontId="69" fillId="0" borderId="11" xfId="0" applyFont="1" applyBorder="1" applyAlignment="1">
      <alignment horizontal="center" vertical="center" wrapText="1"/>
    </xf>
    <xf numFmtId="0" fontId="70" fillId="16" borderId="32" xfId="0" applyFont="1" applyFill="1" applyBorder="1" applyAlignment="1">
      <alignment horizontal="center" vertical="center" wrapText="1"/>
    </xf>
    <xf numFmtId="0" fontId="70" fillId="16" borderId="33" xfId="0" applyFont="1" applyFill="1" applyBorder="1" applyAlignment="1">
      <alignment horizontal="center" vertical="center" wrapText="1"/>
    </xf>
    <xf numFmtId="0" fontId="70" fillId="16" borderId="80" xfId="0" applyFont="1" applyFill="1" applyBorder="1" applyAlignment="1">
      <alignment horizontal="center" vertical="center" wrapText="1"/>
    </xf>
    <xf numFmtId="0" fontId="70" fillId="16" borderId="81" xfId="0" applyFont="1" applyFill="1" applyBorder="1" applyAlignment="1">
      <alignment horizontal="center" vertical="center" wrapText="1"/>
    </xf>
    <xf numFmtId="0" fontId="70" fillId="16" borderId="24" xfId="0" applyFont="1" applyFill="1" applyBorder="1" applyAlignment="1">
      <alignment horizontal="center" vertical="center" wrapText="1"/>
    </xf>
    <xf numFmtId="0" fontId="70" fillId="16" borderId="35" xfId="0" applyFont="1" applyFill="1" applyBorder="1" applyAlignment="1">
      <alignment horizontal="center" vertical="center" wrapText="1"/>
    </xf>
    <xf numFmtId="164" fontId="65" fillId="0" borderId="23" xfId="0" applyNumberFormat="1" applyFont="1" applyBorder="1" applyAlignment="1">
      <alignment horizontal="center" vertical="center"/>
    </xf>
    <xf numFmtId="164" fontId="65" fillId="0" borderId="35" xfId="0" applyNumberFormat="1" applyFont="1" applyBorder="1" applyAlignment="1">
      <alignment horizontal="center" vertical="center"/>
    </xf>
    <xf numFmtId="0" fontId="65" fillId="0" borderId="81" xfId="0" applyFont="1" applyBorder="1" applyAlignment="1">
      <alignment horizontal="center" vertical="center" wrapText="1"/>
    </xf>
    <xf numFmtId="0" fontId="65" fillId="0" borderId="33" xfId="0" applyFont="1" applyBorder="1" applyAlignment="1">
      <alignment horizontal="center" vertical="center" wrapText="1"/>
    </xf>
    <xf numFmtId="0" fontId="65" fillId="0" borderId="33" xfId="0" applyFont="1" applyBorder="1" applyAlignment="1">
      <alignment horizontal="left" vertical="center" wrapText="1"/>
    </xf>
    <xf numFmtId="0" fontId="65" fillId="0" borderId="34" xfId="0" applyFont="1" applyBorder="1" applyAlignment="1">
      <alignment horizontal="left" vertical="center" wrapText="1"/>
    </xf>
    <xf numFmtId="0" fontId="71" fillId="0" borderId="0" xfId="0" applyFont="1" applyAlignment="1">
      <alignment horizontal="center" vertical="center"/>
    </xf>
    <xf numFmtId="0" fontId="72" fillId="16" borderId="82" xfId="0" applyFont="1" applyFill="1" applyBorder="1" applyAlignment="1">
      <alignment horizontal="center" vertical="center" wrapText="1"/>
    </xf>
    <xf numFmtId="0" fontId="72" fillId="16" borderId="83" xfId="0" applyFont="1" applyFill="1" applyBorder="1" applyAlignment="1">
      <alignment horizontal="center" vertical="center" wrapText="1"/>
    </xf>
    <xf numFmtId="0" fontId="72" fillId="16" borderId="84" xfId="0" applyFont="1" applyFill="1" applyBorder="1" applyAlignment="1">
      <alignment horizontal="center" vertical="center" wrapText="1"/>
    </xf>
    <xf numFmtId="0" fontId="72" fillId="16" borderId="5" xfId="0" applyFont="1" applyFill="1" applyBorder="1" applyAlignment="1">
      <alignment horizontal="center" vertical="center" wrapText="1"/>
    </xf>
    <xf numFmtId="0" fontId="72" fillId="16" borderId="12" xfId="0" applyFont="1" applyFill="1" applyBorder="1" applyAlignment="1">
      <alignment horizontal="center" vertical="center" wrapText="1"/>
    </xf>
    <xf numFmtId="0" fontId="72" fillId="16" borderId="6" xfId="0" applyFont="1" applyFill="1" applyBorder="1" applyAlignment="1">
      <alignment horizontal="center" vertical="center" wrapText="1"/>
    </xf>
    <xf numFmtId="0" fontId="72" fillId="16" borderId="75" xfId="0" applyFont="1" applyFill="1" applyBorder="1" applyAlignment="1">
      <alignment horizontal="center" vertical="center" wrapText="1"/>
    </xf>
    <xf numFmtId="0" fontId="72" fillId="16" borderId="76" xfId="0" applyFont="1" applyFill="1" applyBorder="1" applyAlignment="1">
      <alignment horizontal="center" vertical="center" wrapText="1"/>
    </xf>
    <xf numFmtId="0" fontId="73" fillId="0" borderId="5" xfId="0" applyFont="1" applyBorder="1" applyAlignment="1">
      <alignment horizontal="center" vertical="center" wrapText="1"/>
    </xf>
    <xf numFmtId="0" fontId="73" fillId="0" borderId="12" xfId="0" applyFont="1" applyBorder="1" applyAlignment="1">
      <alignment horizontal="center" vertical="center" wrapText="1"/>
    </xf>
    <xf numFmtId="0" fontId="65" fillId="0" borderId="12" xfId="0" applyFont="1" applyBorder="1" applyAlignment="1">
      <alignment horizontal="center"/>
    </xf>
    <xf numFmtId="0" fontId="65" fillId="0" borderId="6" xfId="0" applyFont="1" applyBorder="1" applyAlignment="1">
      <alignment horizontal="center"/>
    </xf>
    <xf numFmtId="0" fontId="75" fillId="0" borderId="0" xfId="0" applyFont="1" applyAlignment="1">
      <alignment horizontal="left" wrapText="1"/>
    </xf>
    <xf numFmtId="0" fontId="73" fillId="0" borderId="7" xfId="0" applyFont="1" applyBorder="1" applyAlignment="1">
      <alignment horizontal="center" vertical="center" wrapText="1"/>
    </xf>
    <xf numFmtId="0" fontId="74" fillId="0" borderId="0" xfId="0" applyFont="1" applyAlignment="1">
      <alignment horizontal="center" vertical="center" wrapText="1"/>
    </xf>
    <xf numFmtId="0" fontId="73" fillId="0" borderId="0" xfId="0" applyFont="1" applyAlignment="1">
      <alignment horizontal="center" vertical="center" wrapText="1"/>
    </xf>
    <xf numFmtId="0" fontId="73" fillId="0" borderId="8" xfId="0" applyFont="1" applyBorder="1" applyAlignment="1">
      <alignment horizontal="center" vertical="center" wrapText="1"/>
    </xf>
    <xf numFmtId="0" fontId="65" fillId="0" borderId="9" xfId="0" applyFont="1" applyBorder="1" applyAlignment="1">
      <alignment horizontal="center" vertical="center" wrapText="1"/>
    </xf>
    <xf numFmtId="0" fontId="65" fillId="0" borderId="11" xfId="0" applyFont="1" applyBorder="1" applyAlignment="1">
      <alignment horizontal="center" vertical="center" wrapText="1"/>
    </xf>
    <xf numFmtId="0" fontId="65" fillId="0" borderId="10" xfId="0" applyFont="1" applyBorder="1" applyAlignment="1">
      <alignment horizontal="center" vertical="center" wrapText="1"/>
    </xf>
    <xf numFmtId="0" fontId="65" fillId="0" borderId="11" xfId="0" applyFont="1" applyBorder="1" applyAlignment="1">
      <alignment horizontal="center"/>
    </xf>
    <xf numFmtId="0" fontId="66" fillId="0" borderId="23" xfId="0" applyFont="1" applyBorder="1" applyAlignment="1">
      <alignment horizontal="center" vertical="center" wrapText="1"/>
    </xf>
    <xf numFmtId="0" fontId="66" fillId="0" borderId="24" xfId="0" applyFont="1" applyBorder="1" applyAlignment="1">
      <alignment horizontal="center" vertical="center" wrapText="1"/>
    </xf>
    <xf numFmtId="0" fontId="66" fillId="0" borderId="35" xfId="0" applyFont="1" applyBorder="1" applyAlignment="1">
      <alignment horizontal="center" vertical="center" wrapText="1"/>
    </xf>
    <xf numFmtId="0" fontId="21" fillId="0" borderId="0" xfId="0" applyFont="1" applyAlignment="1">
      <alignment horizontal="center" vertical="center"/>
    </xf>
    <xf numFmtId="0" fontId="41" fillId="0" borderId="0" xfId="0" applyFont="1" applyAlignment="1">
      <alignment horizontal="center" vertical="center"/>
    </xf>
    <xf numFmtId="0" fontId="36" fillId="15" borderId="23" xfId="0" applyFont="1" applyFill="1" applyBorder="1" applyAlignment="1">
      <alignment horizontal="center" vertical="center" wrapText="1" readingOrder="1"/>
    </xf>
    <xf numFmtId="0" fontId="36" fillId="15" borderId="24" xfId="0" applyFont="1" applyFill="1" applyBorder="1" applyAlignment="1">
      <alignment horizontal="center" vertical="center" wrapText="1" readingOrder="1"/>
    </xf>
    <xf numFmtId="0" fontId="36" fillId="15" borderId="35" xfId="0" applyFont="1" applyFill="1" applyBorder="1" applyAlignment="1">
      <alignment horizontal="center" vertical="center" wrapText="1" readingOrder="1"/>
    </xf>
    <xf numFmtId="0" fontId="31" fillId="3" borderId="0" xfId="0" applyFont="1" applyFill="1" applyAlignment="1">
      <alignment horizontal="justify" vertical="center" wrapText="1"/>
    </xf>
    <xf numFmtId="0" fontId="33" fillId="15" borderId="32" xfId="0" applyFont="1" applyFill="1" applyBorder="1" applyAlignment="1">
      <alignment horizontal="center" vertical="center" wrapText="1" readingOrder="1"/>
    </xf>
    <xf numFmtId="0" fontId="33" fillId="15" borderId="33" xfId="0" applyFont="1" applyFill="1" applyBorder="1" applyAlignment="1">
      <alignment horizontal="center" vertical="center" wrapText="1" readingOrder="1"/>
    </xf>
    <xf numFmtId="0" fontId="33" fillId="3" borderId="30" xfId="0" applyFont="1" applyFill="1" applyBorder="1" applyAlignment="1">
      <alignment horizontal="center" vertical="center" wrapText="1" readingOrder="1"/>
    </xf>
    <xf numFmtId="0" fontId="33" fillId="3" borderId="25" xfId="0" applyFont="1" applyFill="1" applyBorder="1" applyAlignment="1">
      <alignment horizontal="center" vertical="center" wrapText="1" readingOrder="1"/>
    </xf>
    <xf numFmtId="0" fontId="33" fillId="3" borderId="22" xfId="0" applyFont="1" applyFill="1" applyBorder="1" applyAlignment="1">
      <alignment horizontal="center" vertical="center" wrapText="1" readingOrder="1"/>
    </xf>
    <xf numFmtId="0" fontId="33" fillId="3" borderId="21" xfId="0" applyFont="1" applyFill="1" applyBorder="1" applyAlignment="1">
      <alignment horizontal="center" vertical="center" wrapText="1" readingOrder="1"/>
    </xf>
    <xf numFmtId="0" fontId="33" fillId="3" borderId="27" xfId="0" applyFont="1" applyFill="1" applyBorder="1" applyAlignment="1">
      <alignment horizontal="center" vertical="center" wrapText="1" readingOrder="1"/>
    </xf>
    <xf numFmtId="0" fontId="33" fillId="3" borderId="28" xfId="0" applyFont="1" applyFill="1" applyBorder="1" applyAlignment="1">
      <alignment horizontal="center" vertical="center" wrapText="1" readingOrder="1"/>
    </xf>
    <xf numFmtId="0" fontId="101" fillId="0" borderId="21" xfId="0" applyFont="1" applyFill="1" applyBorder="1" applyAlignment="1" applyProtection="1">
      <alignment horizontal="justify" vertical="center" wrapText="1"/>
      <protection locked="0"/>
    </xf>
    <xf numFmtId="0" fontId="45" fillId="0" borderId="21" xfId="0" applyFont="1" applyFill="1" applyBorder="1" applyAlignment="1" applyProtection="1">
      <alignment horizontal="left" vertical="center" wrapText="1"/>
      <protection locked="0"/>
    </xf>
    <xf numFmtId="0" fontId="101" fillId="0" borderId="28" xfId="0" applyFont="1" applyFill="1" applyBorder="1" applyAlignment="1" applyProtection="1">
      <alignment horizontal="justify" vertical="center" wrapText="1"/>
      <protection locked="0"/>
    </xf>
    <xf numFmtId="0" fontId="45" fillId="0" borderId="28" xfId="0" applyFont="1" applyFill="1" applyBorder="1" applyAlignment="1" applyProtection="1">
      <alignment horizontal="left" vertical="center" wrapText="1"/>
      <protection locked="0"/>
    </xf>
    <xf numFmtId="0" fontId="90" fillId="0" borderId="100" xfId="0" applyFont="1" applyFill="1" applyBorder="1" applyAlignment="1" applyProtection="1">
      <alignment horizontal="center" vertical="center" wrapText="1"/>
      <protection locked="0"/>
    </xf>
    <xf numFmtId="0" fontId="90" fillId="0" borderId="21" xfId="0" applyFont="1" applyFill="1" applyBorder="1" applyAlignment="1" applyProtection="1">
      <alignment horizontal="center" vertical="center" wrapText="1"/>
      <protection locked="0"/>
    </xf>
    <xf numFmtId="0" fontId="90" fillId="0" borderId="28" xfId="0" applyFont="1" applyFill="1" applyBorder="1" applyAlignment="1" applyProtection="1">
      <alignment horizontal="center" vertical="center" wrapText="1"/>
      <protection locked="0"/>
    </xf>
    <xf numFmtId="9" fontId="90" fillId="0" borderId="100" xfId="0" applyNumberFormat="1" applyFont="1" applyFill="1" applyBorder="1" applyAlignment="1" applyProtection="1">
      <alignment horizontal="center" vertical="center" wrapText="1"/>
      <protection locked="0"/>
    </xf>
    <xf numFmtId="9" fontId="90" fillId="0" borderId="21" xfId="0" applyNumberFormat="1" applyFont="1" applyFill="1" applyBorder="1" applyAlignment="1" applyProtection="1">
      <alignment horizontal="center" vertical="center" wrapText="1"/>
      <protection locked="0"/>
    </xf>
    <xf numFmtId="9" fontId="90" fillId="0" borderId="28" xfId="0" applyNumberFormat="1" applyFont="1" applyFill="1" applyBorder="1" applyAlignment="1" applyProtection="1">
      <alignment horizontal="center" vertical="center" wrapText="1"/>
      <protection locked="0"/>
    </xf>
    <xf numFmtId="0" fontId="108" fillId="0" borderId="100" xfId="0" applyFont="1" applyFill="1" applyBorder="1" applyAlignment="1" applyProtection="1">
      <alignment vertical="center" wrapText="1"/>
      <protection locked="0"/>
    </xf>
    <xf numFmtId="14" fontId="1" fillId="0" borderId="100" xfId="0" applyNumberFormat="1" applyFont="1" applyFill="1" applyBorder="1" applyAlignment="1" applyProtection="1">
      <alignment horizontal="center" vertical="center" wrapText="1"/>
      <protection locked="0"/>
    </xf>
    <xf numFmtId="14" fontId="1" fillId="0" borderId="21" xfId="0" applyNumberFormat="1" applyFont="1" applyFill="1" applyBorder="1" applyAlignment="1" applyProtection="1">
      <alignment horizontal="center" vertical="center" wrapText="1"/>
      <protection locked="0"/>
    </xf>
    <xf numFmtId="14" fontId="65" fillId="0" borderId="21" xfId="0" applyNumberFormat="1" applyFont="1" applyFill="1" applyBorder="1" applyAlignment="1" applyProtection="1">
      <alignment vertical="center" wrapText="1"/>
      <protection locked="0"/>
    </xf>
    <xf numFmtId="14" fontId="65" fillId="0" borderId="28" xfId="0" applyNumberFormat="1" applyFont="1" applyFill="1" applyBorder="1" applyAlignment="1" applyProtection="1">
      <alignment vertical="center" wrapText="1"/>
      <protection locked="0"/>
    </xf>
    <xf numFmtId="0" fontId="90" fillId="0" borderId="100" xfId="0" applyFont="1" applyFill="1" applyBorder="1" applyAlignment="1">
      <alignment horizontal="center" vertical="center" wrapText="1"/>
    </xf>
    <xf numFmtId="0" fontId="90" fillId="0" borderId="21" xfId="0" applyFont="1" applyFill="1" applyBorder="1" applyAlignment="1">
      <alignment horizontal="center" vertical="center" wrapText="1"/>
    </xf>
    <xf numFmtId="14" fontId="65" fillId="0" borderId="21" xfId="0" applyNumberFormat="1" applyFont="1" applyBorder="1" applyAlignment="1">
      <alignment horizontal="center" vertical="center"/>
    </xf>
    <xf numFmtId="14" fontId="90" fillId="17" borderId="21" xfId="0" applyNumberFormat="1" applyFont="1" applyFill="1" applyBorder="1" applyAlignment="1">
      <alignment vertical="center" wrapText="1"/>
    </xf>
    <xf numFmtId="14" fontId="65" fillId="0" borderId="100" xfId="0" applyNumberFormat="1" applyFont="1" applyBorder="1" applyAlignment="1">
      <alignment horizontal="center" vertical="center"/>
    </xf>
    <xf numFmtId="0" fontId="0" fillId="0" borderId="100" xfId="0" applyBorder="1" applyAlignment="1">
      <alignment horizontal="center" vertical="center" wrapText="1"/>
    </xf>
    <xf numFmtId="14" fontId="90" fillId="17" borderId="100" xfId="0" applyNumberFormat="1" applyFont="1" applyFill="1" applyBorder="1" applyAlignment="1">
      <alignment vertical="center" wrapText="1"/>
    </xf>
    <xf numFmtId="14" fontId="1" fillId="0" borderId="28" xfId="0" applyNumberFormat="1" applyFont="1" applyFill="1" applyBorder="1" applyAlignment="1" applyProtection="1">
      <alignment horizontal="center" vertical="center" wrapText="1"/>
      <protection locked="0"/>
    </xf>
    <xf numFmtId="14" fontId="65" fillId="0" borderId="28" xfId="0" applyNumberFormat="1" applyFont="1" applyBorder="1" applyAlignment="1">
      <alignment horizontal="center" vertical="center"/>
    </xf>
    <xf numFmtId="14" fontId="90" fillId="17" borderId="28" xfId="0" applyNumberFormat="1" applyFont="1" applyFill="1" applyBorder="1" applyAlignment="1">
      <alignment vertical="center" wrapText="1"/>
    </xf>
    <xf numFmtId="0" fontId="95" fillId="0" borderId="115" xfId="0" applyFont="1" applyBorder="1" applyAlignment="1">
      <alignment horizontal="center" vertical="center" wrapText="1"/>
    </xf>
    <xf numFmtId="0" fontId="90" fillId="0" borderId="101" xfId="0" applyFont="1" applyBorder="1" applyAlignment="1">
      <alignment horizontal="center" vertical="center" wrapText="1"/>
    </xf>
    <xf numFmtId="0" fontId="90" fillId="17" borderId="101" xfId="0" applyFont="1" applyFill="1" applyBorder="1" applyAlignment="1">
      <alignment horizontal="center" vertical="center" wrapText="1"/>
    </xf>
    <xf numFmtId="0" fontId="1" fillId="0" borderId="101" xfId="0" applyFont="1" applyBorder="1" applyAlignment="1" applyProtection="1">
      <alignment horizontal="center" vertical="center" wrapText="1"/>
      <protection locked="0"/>
    </xf>
    <xf numFmtId="0" fontId="90" fillId="0" borderId="101" xfId="0" applyFont="1" applyBorder="1" applyAlignment="1" applyProtection="1">
      <alignment horizontal="center" vertical="center" wrapText="1"/>
      <protection locked="0"/>
    </xf>
    <xf numFmtId="0" fontId="90" fillId="17" borderId="101" xfId="0" applyFont="1" applyFill="1" applyBorder="1" applyAlignment="1" applyProtection="1">
      <alignment horizontal="center" vertical="center" wrapText="1"/>
      <protection locked="0"/>
    </xf>
    <xf numFmtId="0" fontId="90" fillId="0" borderId="101" xfId="0" applyFont="1" applyFill="1" applyBorder="1" applyAlignment="1" applyProtection="1">
      <alignment horizontal="center" vertical="center" wrapText="1"/>
      <protection locked="0"/>
    </xf>
    <xf numFmtId="0" fontId="98" fillId="0" borderId="101" xfId="0" applyFont="1" applyBorder="1" applyAlignment="1" applyProtection="1">
      <alignment horizontal="center" vertical="center" wrapText="1"/>
      <protection hidden="1"/>
    </xf>
    <xf numFmtId="9" fontId="90" fillId="0" borderId="101" xfId="0" applyNumberFormat="1" applyFont="1" applyBorder="1" applyAlignment="1" applyProtection="1">
      <alignment horizontal="center" vertical="center" wrapText="1"/>
      <protection hidden="1"/>
    </xf>
    <xf numFmtId="9" fontId="90" fillId="0" borderId="101" xfId="0" applyNumberFormat="1" applyFont="1" applyFill="1" applyBorder="1" applyAlignment="1" applyProtection="1">
      <alignment horizontal="center" vertical="center" wrapText="1"/>
      <protection locked="0"/>
    </xf>
    <xf numFmtId="0" fontId="95" fillId="0" borderId="101" xfId="0" applyFont="1" applyBorder="1" applyAlignment="1" applyProtection="1">
      <alignment horizontal="center" vertical="center" wrapText="1"/>
      <protection hidden="1"/>
    </xf>
    <xf numFmtId="0" fontId="1" fillId="0" borderId="101" xfId="0" applyFont="1" applyBorder="1" applyAlignment="1">
      <alignment horizontal="center" vertical="center"/>
    </xf>
    <xf numFmtId="0" fontId="45" fillId="0" borderId="101" xfId="0" applyFont="1" applyBorder="1" applyAlignment="1" applyProtection="1">
      <alignment horizontal="justify" vertical="center" wrapText="1"/>
      <protection locked="0"/>
    </xf>
    <xf numFmtId="0" fontId="45" fillId="0" borderId="101" xfId="0" applyFont="1" applyBorder="1" applyAlignment="1" applyProtection="1">
      <alignment horizontal="left" vertical="center" wrapText="1"/>
      <protection locked="0"/>
    </xf>
    <xf numFmtId="0" fontId="90" fillId="0" borderId="101" xfId="0" applyFont="1" applyBorder="1" applyAlignment="1" applyProtection="1">
      <alignment horizontal="center" vertical="center" wrapText="1"/>
      <protection hidden="1"/>
    </xf>
    <xf numFmtId="0" fontId="90" fillId="0" borderId="101" xfId="0" applyFont="1" applyBorder="1" applyAlignment="1" applyProtection="1">
      <alignment horizontal="center" vertical="center" textRotation="90" wrapText="1"/>
      <protection locked="0"/>
    </xf>
    <xf numFmtId="9" fontId="90" fillId="0" borderId="101" xfId="0" applyNumberFormat="1" applyFont="1" applyBorder="1" applyAlignment="1" applyProtection="1">
      <alignment horizontal="center" vertical="center" wrapText="1"/>
      <protection hidden="1"/>
    </xf>
    <xf numFmtId="0" fontId="43" fillId="0" borderId="101" xfId="0" applyFont="1" applyBorder="1" applyAlignment="1" applyProtection="1">
      <alignment horizontal="center" vertical="center" wrapText="1"/>
      <protection locked="0"/>
    </xf>
    <xf numFmtId="9" fontId="90" fillId="0" borderId="101" xfId="1" applyFont="1" applyBorder="1" applyAlignment="1">
      <alignment horizontal="center" vertical="center" wrapText="1"/>
    </xf>
    <xf numFmtId="0" fontId="95" fillId="0" borderId="101" xfId="0" applyFont="1" applyBorder="1" applyAlignment="1" applyProtection="1">
      <alignment horizontal="center" vertical="center" textRotation="90" wrapText="1"/>
      <protection hidden="1"/>
    </xf>
    <xf numFmtId="0" fontId="90" fillId="0" borderId="101" xfId="0" applyFont="1" applyBorder="1" applyAlignment="1" applyProtection="1">
      <alignment horizontal="center" vertical="center" textRotation="90" wrapText="1"/>
      <protection locked="0"/>
    </xf>
    <xf numFmtId="0" fontId="1" fillId="0" borderId="101" xfId="0" applyFont="1" applyFill="1" applyBorder="1" applyAlignment="1">
      <alignment horizontal="center" vertical="center"/>
    </xf>
    <xf numFmtId="0" fontId="108" fillId="0" borderId="101" xfId="0" applyFont="1" applyFill="1" applyBorder="1" applyAlignment="1" applyProtection="1">
      <alignment vertical="center" wrapText="1"/>
      <protection locked="0"/>
    </xf>
    <xf numFmtId="14" fontId="1" fillId="0" borderId="101" xfId="0" applyNumberFormat="1" applyFont="1" applyFill="1" applyBorder="1" applyAlignment="1" applyProtection="1">
      <alignment horizontal="center" vertical="center" wrapText="1"/>
      <protection locked="0"/>
    </xf>
    <xf numFmtId="14" fontId="65" fillId="0" borderId="101" xfId="0" applyNumberFormat="1" applyFont="1" applyBorder="1" applyAlignment="1">
      <alignment horizontal="center" vertical="center"/>
    </xf>
    <xf numFmtId="14" fontId="90" fillId="27" borderId="101" xfId="0" applyNumberFormat="1" applyFont="1" applyFill="1" applyBorder="1" applyAlignment="1" applyProtection="1">
      <alignment vertical="center" wrapText="1"/>
      <protection locked="0"/>
    </xf>
    <xf numFmtId="0" fontId="0" fillId="0" borderId="101" xfId="0" applyBorder="1" applyAlignment="1">
      <alignment horizontal="center" vertical="center" wrapText="1"/>
    </xf>
    <xf numFmtId="14" fontId="90" fillId="27" borderId="101" xfId="0" applyNumberFormat="1" applyFont="1" applyFill="1" applyBorder="1" applyAlignment="1" applyProtection="1">
      <alignment horizontal="center" vertical="center" wrapText="1"/>
      <protection locked="0"/>
    </xf>
    <xf numFmtId="14" fontId="109" fillId="29" borderId="101" xfId="0" applyNumberFormat="1" applyFont="1" applyFill="1" applyBorder="1" applyAlignment="1" applyProtection="1">
      <alignment horizontal="center" vertical="center" wrapText="1"/>
      <protection locked="0"/>
    </xf>
    <xf numFmtId="14" fontId="90" fillId="29" borderId="101" xfId="0" applyNumberFormat="1" applyFont="1" applyFill="1" applyBorder="1" applyAlignment="1" applyProtection="1">
      <alignment horizontal="center" vertical="center" wrapText="1"/>
      <protection locked="0"/>
    </xf>
    <xf numFmtId="14" fontId="90" fillId="17" borderId="101" xfId="0" applyNumberFormat="1" applyFont="1" applyFill="1" applyBorder="1" applyAlignment="1">
      <alignment vertical="center" wrapText="1"/>
    </xf>
    <xf numFmtId="0" fontId="90" fillId="17" borderId="101" xfId="0" applyFont="1" applyFill="1" applyBorder="1" applyAlignment="1">
      <alignment horizontal="center" vertical="center" wrapText="1"/>
    </xf>
    <xf numFmtId="0" fontId="96" fillId="17" borderId="101" xfId="5" applyFill="1" applyBorder="1" applyAlignment="1">
      <alignment horizontal="center" vertical="center" wrapText="1"/>
    </xf>
    <xf numFmtId="14" fontId="90" fillId="25" borderId="101" xfId="0" applyNumberFormat="1" applyFont="1" applyFill="1" applyBorder="1" applyAlignment="1" applyProtection="1">
      <alignment vertical="center" wrapText="1"/>
      <protection locked="0"/>
    </xf>
    <xf numFmtId="0" fontId="90" fillId="25" borderId="116" xfId="0" applyFont="1" applyFill="1" applyBorder="1" applyAlignment="1" applyProtection="1">
      <alignment horizontal="center" vertical="center" wrapText="1"/>
      <protection locked="0"/>
    </xf>
    <xf numFmtId="0" fontId="43" fillId="0" borderId="21" xfId="0" applyFont="1" applyBorder="1" applyAlignment="1">
      <alignment vertical="center" wrapText="1"/>
    </xf>
    <xf numFmtId="0" fontId="95" fillId="0" borderId="82" xfId="0" applyFont="1" applyBorder="1" applyAlignment="1">
      <alignment horizontal="center" vertical="center" wrapText="1"/>
    </xf>
    <xf numFmtId="0" fontId="90" fillId="0" borderId="83" xfId="0" applyFont="1" applyBorder="1" applyAlignment="1">
      <alignment horizontal="center" vertical="center" wrapText="1"/>
    </xf>
    <xf numFmtId="0" fontId="90" fillId="17" borderId="83" xfId="0" applyFont="1" applyFill="1" applyBorder="1" applyAlignment="1">
      <alignment horizontal="center" vertical="center" wrapText="1"/>
    </xf>
    <xf numFmtId="0" fontId="1" fillId="0" borderId="83" xfId="0" applyFont="1" applyBorder="1" applyAlignment="1" applyProtection="1">
      <alignment horizontal="center" vertical="center" wrapText="1"/>
      <protection locked="0"/>
    </xf>
    <xf numFmtId="0" fontId="90" fillId="0" borderId="83" xfId="0" applyFont="1" applyBorder="1" applyAlignment="1" applyProtection="1">
      <alignment horizontal="center" vertical="center" wrapText="1"/>
      <protection locked="0"/>
    </xf>
    <xf numFmtId="0" fontId="90" fillId="17" borderId="83" xfId="0" applyFont="1" applyFill="1" applyBorder="1" applyAlignment="1" applyProtection="1">
      <alignment horizontal="center" vertical="center" wrapText="1"/>
      <protection locked="0"/>
    </xf>
    <xf numFmtId="0" fontId="90" fillId="0" borderId="83" xfId="0" applyFont="1" applyFill="1" applyBorder="1" applyAlignment="1" applyProtection="1">
      <alignment horizontal="center" vertical="center" wrapText="1"/>
      <protection locked="0"/>
    </xf>
    <xf numFmtId="0" fontId="98" fillId="0" borderId="83" xfId="0" applyFont="1" applyBorder="1" applyAlignment="1" applyProtection="1">
      <alignment horizontal="center" vertical="center" wrapText="1"/>
      <protection hidden="1"/>
    </xf>
    <xf numFmtId="9" fontId="90" fillId="0" borderId="83" xfId="0" applyNumberFormat="1" applyFont="1" applyBorder="1" applyAlignment="1" applyProtection="1">
      <alignment horizontal="center" vertical="center" wrapText="1"/>
      <protection hidden="1"/>
    </xf>
    <xf numFmtId="9" fontId="90" fillId="0" borderId="83" xfId="0" applyNumberFormat="1" applyFont="1" applyFill="1" applyBorder="1" applyAlignment="1" applyProtection="1">
      <alignment horizontal="center" vertical="center" wrapText="1"/>
      <protection locked="0"/>
    </xf>
    <xf numFmtId="0" fontId="95" fillId="0" borderId="83" xfId="0" applyFont="1" applyBorder="1" applyAlignment="1" applyProtection="1">
      <alignment horizontal="center" vertical="center" wrapText="1"/>
      <protection hidden="1"/>
    </xf>
    <xf numFmtId="0" fontId="45" fillId="0" borderId="83" xfId="0" applyFont="1" applyBorder="1" applyAlignment="1" applyProtection="1">
      <alignment horizontal="justify" vertical="center" wrapText="1"/>
      <protection locked="0"/>
    </xf>
    <xf numFmtId="0" fontId="45" fillId="0" borderId="83" xfId="0" applyFont="1" applyBorder="1" applyAlignment="1" applyProtection="1">
      <alignment horizontal="left" vertical="center" wrapText="1"/>
      <protection locked="0"/>
    </xf>
    <xf numFmtId="0" fontId="90" fillId="0" borderId="83" xfId="0" applyFont="1" applyBorder="1" applyAlignment="1" applyProtection="1">
      <alignment horizontal="center" vertical="center" wrapText="1"/>
      <protection hidden="1"/>
    </xf>
    <xf numFmtId="0" fontId="90" fillId="0" borderId="83" xfId="0" applyFont="1" applyBorder="1" applyAlignment="1" applyProtection="1">
      <alignment horizontal="center" vertical="center" textRotation="90" wrapText="1"/>
      <protection locked="0"/>
    </xf>
    <xf numFmtId="0" fontId="43" fillId="0" borderId="83" xfId="0" applyFont="1" applyBorder="1" applyAlignment="1" applyProtection="1">
      <alignment horizontal="center" vertical="center" wrapText="1"/>
      <protection locked="0"/>
    </xf>
    <xf numFmtId="9" fontId="90" fillId="0" borderId="83" xfId="1" applyFont="1" applyBorder="1" applyAlignment="1">
      <alignment horizontal="center" vertical="center" wrapText="1"/>
    </xf>
    <xf numFmtId="0" fontId="95" fillId="0" borderId="83" xfId="0" applyFont="1" applyBorder="1" applyAlignment="1" applyProtection="1">
      <alignment horizontal="center" vertical="center" textRotation="90" wrapText="1"/>
      <protection hidden="1"/>
    </xf>
    <xf numFmtId="0" fontId="90" fillId="0" borderId="83" xfId="0" applyFont="1" applyFill="1" applyBorder="1" applyAlignment="1">
      <alignment horizontal="center" vertical="center" wrapText="1"/>
    </xf>
    <xf numFmtId="14" fontId="65" fillId="0" borderId="83" xfId="0" applyNumberFormat="1" applyFont="1" applyFill="1" applyBorder="1" applyAlignment="1" applyProtection="1">
      <alignment vertical="center" wrapText="1"/>
      <protection locked="0"/>
    </xf>
    <xf numFmtId="14" fontId="1" fillId="0" borderId="83" xfId="0" applyNumberFormat="1" applyFont="1" applyFill="1" applyBorder="1" applyAlignment="1" applyProtection="1">
      <alignment horizontal="center" vertical="center" wrapText="1"/>
      <protection locked="0"/>
    </xf>
    <xf numFmtId="0" fontId="43" fillId="0" borderId="83" xfId="0" applyFont="1" applyBorder="1" applyAlignment="1">
      <alignment vertical="center" wrapText="1"/>
    </xf>
    <xf numFmtId="14" fontId="65" fillId="0" borderId="83" xfId="0" applyNumberFormat="1" applyFont="1" applyBorder="1" applyAlignment="1">
      <alignment horizontal="center" vertical="center"/>
    </xf>
    <xf numFmtId="14" fontId="90" fillId="27" borderId="83" xfId="0" applyNumberFormat="1" applyFont="1" applyFill="1" applyBorder="1" applyAlignment="1" applyProtection="1">
      <alignment vertical="center" wrapText="1"/>
      <protection locked="0"/>
    </xf>
    <xf numFmtId="14" fontId="90" fillId="27" borderId="83" xfId="0" applyNumberFormat="1" applyFont="1" applyFill="1" applyBorder="1" applyAlignment="1" applyProtection="1">
      <alignment horizontal="center" vertical="center" wrapText="1"/>
      <protection locked="0"/>
    </xf>
    <xf numFmtId="14" fontId="90" fillId="29" borderId="83" xfId="0" applyNumberFormat="1" applyFont="1" applyFill="1" applyBorder="1" applyAlignment="1" applyProtection="1">
      <alignment horizontal="center" vertical="center" wrapText="1"/>
      <protection locked="0"/>
    </xf>
    <xf numFmtId="14" fontId="90" fillId="17" borderId="83" xfId="0" applyNumberFormat="1" applyFont="1" applyFill="1" applyBorder="1" applyAlignment="1">
      <alignment vertical="center" wrapText="1"/>
    </xf>
    <xf numFmtId="0" fontId="96" fillId="17" borderId="83" xfId="5" applyFill="1" applyBorder="1" applyAlignment="1">
      <alignment horizontal="center" vertical="center" wrapText="1"/>
    </xf>
    <xf numFmtId="14" fontId="90" fillId="25" borderId="83" xfId="0" applyNumberFormat="1" applyFont="1" applyFill="1" applyBorder="1" applyAlignment="1" applyProtection="1">
      <alignment vertical="center" wrapText="1"/>
      <protection locked="0"/>
    </xf>
    <xf numFmtId="0" fontId="90" fillId="25" borderId="84" xfId="0" applyFont="1" applyFill="1" applyBorder="1" applyAlignment="1" applyProtection="1">
      <alignment horizontal="center" vertical="center" wrapText="1"/>
      <protection locked="0"/>
    </xf>
    <xf numFmtId="0" fontId="101" fillId="0" borderId="100" xfId="0" applyFont="1" applyFill="1" applyBorder="1" applyAlignment="1" applyProtection="1">
      <alignment horizontal="justify" vertical="center" wrapText="1"/>
      <protection locked="0"/>
    </xf>
    <xf numFmtId="0" fontId="45" fillId="0" borderId="100" xfId="0" applyFont="1" applyFill="1" applyBorder="1" applyAlignment="1" applyProtection="1">
      <alignment horizontal="left" vertical="center" wrapText="1"/>
      <protection locked="0"/>
    </xf>
    <xf numFmtId="14" fontId="65" fillId="0" borderId="100" xfId="0" applyNumberFormat="1" applyFont="1" applyFill="1" applyBorder="1" applyAlignment="1" applyProtection="1">
      <alignment vertical="center" wrapText="1"/>
      <protection locked="0"/>
    </xf>
    <xf numFmtId="0" fontId="43" fillId="0" borderId="100" xfId="0" applyFont="1" applyBorder="1" applyAlignment="1">
      <alignment vertical="center" wrapText="1"/>
    </xf>
    <xf numFmtId="0" fontId="96" fillId="17" borderId="100" xfId="5" applyFill="1" applyBorder="1" applyAlignment="1">
      <alignment horizontal="center" vertical="center" wrapText="1"/>
    </xf>
    <xf numFmtId="0" fontId="90" fillId="0" borderId="28" xfId="0" applyFont="1" applyFill="1" applyBorder="1" applyAlignment="1">
      <alignment horizontal="center" vertical="center" wrapText="1"/>
    </xf>
    <xf numFmtId="0" fontId="43" fillId="0" borderId="28" xfId="0" applyFont="1" applyBorder="1" applyAlignment="1">
      <alignment vertical="center" wrapText="1"/>
    </xf>
    <xf numFmtId="14" fontId="109" fillId="27" borderId="28" xfId="0" applyNumberFormat="1" applyFont="1" applyFill="1" applyBorder="1" applyAlignment="1" applyProtection="1">
      <alignment vertical="center" wrapText="1"/>
      <protection locked="0"/>
    </xf>
  </cellXfs>
  <cellStyles count="6">
    <cellStyle name="Hipervínculo" xfId="5" builtinId="8"/>
    <cellStyle name="Normal" xfId="0" builtinId="0"/>
    <cellStyle name="Normal - Style1 2" xfId="2" xr:uid="{00000000-0005-0000-0000-000002000000}"/>
    <cellStyle name="Normal 2" xfId="4" xr:uid="{00000000-0005-0000-0000-000003000000}"/>
    <cellStyle name="Normal 2 2" xfId="3" xr:uid="{00000000-0005-0000-0000-000004000000}"/>
    <cellStyle name="Porcentaje" xfId="1" builtinId="5"/>
  </cellStyles>
  <dxfs count="40">
    <dxf>
      <font>
        <color theme="1"/>
      </font>
      <fill>
        <patternFill>
          <bgColor rgb="FF92D050"/>
        </patternFill>
      </fill>
    </dxf>
    <dxf>
      <font>
        <color auto="1"/>
      </font>
      <fill>
        <patternFill>
          <bgColor rgb="FFFFFF00"/>
        </patternFill>
      </fill>
    </dxf>
    <dxf>
      <font>
        <color auto="1"/>
      </font>
      <fill>
        <patternFill>
          <bgColor rgb="FFC00000"/>
        </patternFill>
      </fill>
    </dxf>
    <dxf>
      <font>
        <color auto="1"/>
      </font>
      <fill>
        <patternFill>
          <bgColor rgb="FF92D050"/>
        </patternFill>
      </fill>
    </dxf>
    <dxf>
      <font>
        <color auto="1"/>
      </font>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FF000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00CC66"/>
      <color rgb="FFB4B3B6"/>
      <color rgb="FF287840"/>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Mapa final'!A1"/><Relationship Id="rId7" Type="http://schemas.openxmlformats.org/officeDocument/2006/relationships/image" Target="../media/image2.svg"/><Relationship Id="rId2" Type="http://schemas.openxmlformats.org/officeDocument/2006/relationships/hyperlink" Target="#'Matriz Calor Residual'!A1"/><Relationship Id="rId1" Type="http://schemas.openxmlformats.org/officeDocument/2006/relationships/hyperlink" Target="#'CAMBIOS REGISTRO'!A1"/><Relationship Id="rId6" Type="http://schemas.openxmlformats.org/officeDocument/2006/relationships/image" Target="../media/image1.png"/><Relationship Id="rId5" Type="http://schemas.openxmlformats.org/officeDocument/2006/relationships/hyperlink" Target="#'CRITERIOS R CORRUPCION'!A1"/><Relationship Id="rId4" Type="http://schemas.openxmlformats.org/officeDocument/2006/relationships/hyperlink" Target="#'Matriz Calor Inherente'!A1"/></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PORTADA '!A1"/><Relationship Id="rId1" Type="http://schemas.openxmlformats.org/officeDocument/2006/relationships/image" Target="../media/image3.png"/><Relationship Id="rId4" Type="http://schemas.openxmlformats.org/officeDocument/2006/relationships/image" Target="../media/image5.svg"/></Relationships>
</file>

<file path=xl/drawings/_rels/drawing3.xml.rels><?xml version="1.0" encoding="UTF-8" standalone="yes"?>
<Relationships xmlns="http://schemas.openxmlformats.org/package/2006/relationships"><Relationship Id="rId3" Type="http://schemas.openxmlformats.org/officeDocument/2006/relationships/image" Target="../media/image5.svg"/><Relationship Id="rId2" Type="http://schemas.openxmlformats.org/officeDocument/2006/relationships/image" Target="../media/image4.png"/><Relationship Id="rId1" Type="http://schemas.openxmlformats.org/officeDocument/2006/relationships/hyperlink" Target="#'PORTADA '!A1"/><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PORTADA '!A1"/><Relationship Id="rId1" Type="http://schemas.openxmlformats.org/officeDocument/2006/relationships/image" Target="../media/image3.png"/><Relationship Id="rId4" Type="http://schemas.openxmlformats.org/officeDocument/2006/relationships/image" Target="../media/image5.sv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PORTADA '!A1"/><Relationship Id="rId1" Type="http://schemas.openxmlformats.org/officeDocument/2006/relationships/image" Target="../media/image3.png"/><Relationship Id="rId4" Type="http://schemas.openxmlformats.org/officeDocument/2006/relationships/image" Target="../media/image5.sv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PORTADA '!A1"/></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12</xdr:col>
      <xdr:colOff>80211</xdr:colOff>
      <xdr:row>31</xdr:row>
      <xdr:rowOff>50132</xdr:rowOff>
    </xdr:from>
    <xdr:to>
      <xdr:col>13</xdr:col>
      <xdr:colOff>604086</xdr:colOff>
      <xdr:row>37</xdr:row>
      <xdr:rowOff>50132</xdr:rowOff>
    </xdr:to>
    <xdr:sp macro="" textlink="">
      <xdr:nvSpPr>
        <xdr:cNvPr id="3" name="Diagrama de flujo: multidocumento 2">
          <a:hlinkClick xmlns:r="http://schemas.openxmlformats.org/officeDocument/2006/relationships" r:id="rId1"/>
          <a:extLst>
            <a:ext uri="{FF2B5EF4-FFF2-40B4-BE49-F238E27FC236}">
              <a16:creationId xmlns:a16="http://schemas.microsoft.com/office/drawing/2014/main" id="{561EEA2B-EE45-474B-B261-C2F77FE53BED}"/>
            </a:ext>
            <a:ext uri="{147F2762-F138-4A5C-976F-8EAC2B608ADB}">
              <a16:predDERef xmlns:a16="http://schemas.microsoft.com/office/drawing/2014/main" pred="{A0CA84D1-D22B-4210-8FA4-F089CFE3202B}"/>
            </a:ext>
          </a:extLst>
        </xdr:cNvPr>
        <xdr:cNvSpPr/>
      </xdr:nvSpPr>
      <xdr:spPr>
        <a:xfrm>
          <a:off x="9314448" y="6035843"/>
          <a:ext cx="1285875" cy="1143000"/>
        </a:xfrm>
        <a:prstGeom prst="flowChartMultidocument">
          <a:avLst/>
        </a:prstGeom>
        <a:solidFill>
          <a:srgbClr val="287840"/>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spcFirstLastPara="0" vertOverflow="clip" horzOverflow="clip" wrap="square" lIns="91440" tIns="45720" rIns="91440" bIns="45720" rtlCol="0" anchor="t">
          <a:noAutofit/>
        </a:bodyPr>
        <a:lstStyle/>
        <a:p>
          <a:pPr marL="0" indent="0" algn="ctr"/>
          <a:r>
            <a:rPr lang="en-US" sz="1100" b="1" i="0" u="none" strike="noStrike">
              <a:solidFill>
                <a:schemeClr val="lt1"/>
              </a:solidFill>
              <a:latin typeface="Calibri" panose="020F0502020204030204" pitchFamily="34" charset="0"/>
              <a:cs typeface="Calibri" panose="020F0502020204030204" pitchFamily="34" charset="0"/>
            </a:rPr>
            <a:t>CONTROL DE CAMBIOS </a:t>
          </a:r>
        </a:p>
      </xdr:txBody>
    </xdr:sp>
    <xdr:clientData/>
  </xdr:twoCellAnchor>
  <xdr:twoCellAnchor>
    <xdr:from>
      <xdr:col>2</xdr:col>
      <xdr:colOff>280736</xdr:colOff>
      <xdr:row>8</xdr:row>
      <xdr:rowOff>130342</xdr:rowOff>
    </xdr:from>
    <xdr:to>
      <xdr:col>12</xdr:col>
      <xdr:colOff>601579</xdr:colOff>
      <xdr:row>28</xdr:row>
      <xdr:rowOff>40105</xdr:rowOff>
    </xdr:to>
    <xdr:grpSp>
      <xdr:nvGrpSpPr>
        <xdr:cNvPr id="4" name="Google Shape;6040;p62">
          <a:extLst>
            <a:ext uri="{FF2B5EF4-FFF2-40B4-BE49-F238E27FC236}">
              <a16:creationId xmlns:a16="http://schemas.microsoft.com/office/drawing/2014/main" id="{B3F5F72E-E959-4301-B587-7E1224BDEF5E}"/>
            </a:ext>
          </a:extLst>
        </xdr:cNvPr>
        <xdr:cNvGrpSpPr/>
      </xdr:nvGrpSpPr>
      <xdr:grpSpPr>
        <a:xfrm>
          <a:off x="1644315" y="1824789"/>
          <a:ext cx="8392027" cy="4010527"/>
          <a:chOff x="238125" y="1188750"/>
          <a:chExt cx="7140450" cy="3335550"/>
        </a:xfrm>
      </xdr:grpSpPr>
      <xdr:sp macro="" textlink="">
        <xdr:nvSpPr>
          <xdr:cNvPr id="5" name="Google Shape;6041;p62">
            <a:extLst>
              <a:ext uri="{FF2B5EF4-FFF2-40B4-BE49-F238E27FC236}">
                <a16:creationId xmlns:a16="http://schemas.microsoft.com/office/drawing/2014/main" id="{18AB30EA-3692-4E95-AC57-A61DDC3B62D6}"/>
              </a:ext>
            </a:extLst>
          </xdr:cNvPr>
          <xdr:cNvSpPr/>
        </xdr:nvSpPr>
        <xdr:spPr>
          <a:xfrm>
            <a:off x="238125" y="1188750"/>
            <a:ext cx="3507025" cy="1584000"/>
          </a:xfrm>
          <a:custGeom>
            <a:avLst/>
            <a:gdLst/>
            <a:ahLst/>
            <a:cxnLst/>
            <a:rect l="l" t="t" r="r" b="b"/>
            <a:pathLst>
              <a:path w="140281" h="63360" extrusionOk="0">
                <a:moveTo>
                  <a:pt x="4021" y="0"/>
                </a:moveTo>
                <a:cubicBezTo>
                  <a:pt x="1801" y="6"/>
                  <a:pt x="6" y="1801"/>
                  <a:pt x="0" y="4021"/>
                </a:cubicBezTo>
                <a:lnTo>
                  <a:pt x="0" y="59338"/>
                </a:lnTo>
                <a:cubicBezTo>
                  <a:pt x="6" y="61552"/>
                  <a:pt x="1801" y="63354"/>
                  <a:pt x="4021" y="63359"/>
                </a:cubicBezTo>
                <a:lnTo>
                  <a:pt x="98272" y="63359"/>
                </a:lnTo>
                <a:cubicBezTo>
                  <a:pt x="99963" y="41512"/>
                  <a:pt x="118098" y="24204"/>
                  <a:pt x="140280" y="23813"/>
                </a:cubicBezTo>
                <a:lnTo>
                  <a:pt x="140280" y="4021"/>
                </a:lnTo>
                <a:cubicBezTo>
                  <a:pt x="140275" y="1801"/>
                  <a:pt x="138474" y="6"/>
                  <a:pt x="136259" y="0"/>
                </a:cubicBezTo>
                <a:close/>
              </a:path>
            </a:pathLst>
          </a:custGeom>
          <a:solidFill>
            <a:srgbClr val="287840"/>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ctr" rtl="0">
              <a:spcBef>
                <a:spcPts val="0"/>
              </a:spcBef>
              <a:spcAft>
                <a:spcPts val="0"/>
              </a:spcAft>
              <a:buNone/>
            </a:pPr>
            <a:r>
              <a:rPr lang="es-MX" b="1">
                <a:solidFill>
                  <a:schemeClr val="bg1"/>
                </a:solidFill>
              </a:rPr>
              <a:t>CONTEXTO -</a:t>
            </a:r>
            <a:r>
              <a:rPr lang="es-MX" b="1" baseline="0">
                <a:solidFill>
                  <a:schemeClr val="bg1"/>
                </a:solidFill>
              </a:rPr>
              <a:t> DOFA</a:t>
            </a:r>
          </a:p>
          <a:p>
            <a:pPr marL="0" lvl="0" indent="0" algn="ctr" rtl="0">
              <a:spcBef>
                <a:spcPts val="0"/>
              </a:spcBef>
              <a:spcAft>
                <a:spcPts val="0"/>
              </a:spcAft>
              <a:buNone/>
            </a:pPr>
            <a:r>
              <a:rPr lang="es-MX" b="1" baseline="0">
                <a:solidFill>
                  <a:schemeClr val="bg1"/>
                </a:solidFill>
              </a:rPr>
              <a:t>(KAWAK)</a:t>
            </a:r>
            <a:endParaRPr b="1">
              <a:solidFill>
                <a:schemeClr val="bg1"/>
              </a:solidFill>
            </a:endParaRPr>
          </a:p>
        </xdr:txBody>
      </xdr:sp>
      <xdr:sp macro="" textlink="">
        <xdr:nvSpPr>
          <xdr:cNvPr id="6" name="Google Shape;6042;p62">
            <a:hlinkClick xmlns:r="http://schemas.openxmlformats.org/officeDocument/2006/relationships" r:id="rId2"/>
            <a:extLst>
              <a:ext uri="{FF2B5EF4-FFF2-40B4-BE49-F238E27FC236}">
                <a16:creationId xmlns:a16="http://schemas.microsoft.com/office/drawing/2014/main" id="{BD507546-1AC8-44E1-93E6-7187A5D8A960}"/>
              </a:ext>
            </a:extLst>
          </xdr:cNvPr>
          <xdr:cNvSpPr/>
        </xdr:nvSpPr>
        <xdr:spPr>
          <a:xfrm>
            <a:off x="238125" y="2940300"/>
            <a:ext cx="3507025" cy="1584000"/>
          </a:xfrm>
          <a:custGeom>
            <a:avLst/>
            <a:gdLst/>
            <a:ahLst/>
            <a:cxnLst/>
            <a:rect l="l" t="t" r="r" b="b"/>
            <a:pathLst>
              <a:path w="140281" h="63360" extrusionOk="0">
                <a:moveTo>
                  <a:pt x="4021" y="1"/>
                </a:moveTo>
                <a:cubicBezTo>
                  <a:pt x="1801" y="6"/>
                  <a:pt x="6" y="1808"/>
                  <a:pt x="0" y="4022"/>
                </a:cubicBezTo>
                <a:lnTo>
                  <a:pt x="0" y="59339"/>
                </a:lnTo>
                <a:cubicBezTo>
                  <a:pt x="6" y="61559"/>
                  <a:pt x="1801" y="63354"/>
                  <a:pt x="4021" y="63360"/>
                </a:cubicBezTo>
                <a:lnTo>
                  <a:pt x="136259" y="63360"/>
                </a:lnTo>
                <a:cubicBezTo>
                  <a:pt x="138474" y="63354"/>
                  <a:pt x="140275" y="61559"/>
                  <a:pt x="140280" y="59339"/>
                </a:cubicBezTo>
                <a:lnTo>
                  <a:pt x="140280" y="39547"/>
                </a:lnTo>
                <a:cubicBezTo>
                  <a:pt x="118098" y="39155"/>
                  <a:pt x="99963" y="21848"/>
                  <a:pt x="98272" y="1"/>
                </a:cubicBezTo>
                <a:close/>
              </a:path>
            </a:pathLst>
          </a:custGeom>
          <a:solidFill>
            <a:srgbClr val="869FB1"/>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algn="ctr"/>
            <a:r>
              <a:rPr lang="es-CO" sz="1400" b="1" i="0" u="none" strike="noStrike" cap="none">
                <a:solidFill>
                  <a:schemeClr val="bg1"/>
                </a:solidFill>
                <a:effectLst/>
                <a:latin typeface="Arial"/>
                <a:ea typeface="Arial"/>
                <a:cs typeface="Arial"/>
                <a:sym typeface="Arial"/>
              </a:rPr>
              <a:t>MATRIZ CALOR</a:t>
            </a:r>
          </a:p>
          <a:p>
            <a:pPr algn="ctr"/>
            <a:r>
              <a:rPr lang="es-CO" sz="1400" b="1" i="0" u="none" strike="noStrike" cap="none">
                <a:solidFill>
                  <a:schemeClr val="bg1"/>
                </a:solidFill>
                <a:effectLst/>
                <a:latin typeface="Arial"/>
                <a:ea typeface="Arial"/>
                <a:cs typeface="Arial"/>
                <a:sym typeface="Arial"/>
              </a:rPr>
              <a:t> RESIDUAL</a:t>
            </a:r>
          </a:p>
          <a:p>
            <a:pPr marL="0" lvl="0" indent="0" algn="ctr" rtl="0">
              <a:spcBef>
                <a:spcPts val="0"/>
              </a:spcBef>
              <a:spcAft>
                <a:spcPts val="0"/>
              </a:spcAft>
              <a:buNone/>
            </a:pPr>
            <a:endParaRPr/>
          </a:p>
        </xdr:txBody>
      </xdr:sp>
      <xdr:sp macro="" textlink="">
        <xdr:nvSpPr>
          <xdr:cNvPr id="7" name="Google Shape;6043;p62">
            <a:hlinkClick xmlns:r="http://schemas.openxmlformats.org/officeDocument/2006/relationships" r:id="rId3"/>
            <a:extLst>
              <a:ext uri="{FF2B5EF4-FFF2-40B4-BE49-F238E27FC236}">
                <a16:creationId xmlns:a16="http://schemas.microsoft.com/office/drawing/2014/main" id="{B42689E8-C2D2-49B1-8850-0208BA377BE1}"/>
              </a:ext>
            </a:extLst>
          </xdr:cNvPr>
          <xdr:cNvSpPr/>
        </xdr:nvSpPr>
        <xdr:spPr>
          <a:xfrm>
            <a:off x="3871550" y="1188750"/>
            <a:ext cx="3507025" cy="1584000"/>
          </a:xfrm>
          <a:custGeom>
            <a:avLst/>
            <a:gdLst/>
            <a:ahLst/>
            <a:cxnLst/>
            <a:rect l="l" t="t" r="r" b="b"/>
            <a:pathLst>
              <a:path w="140281" h="63360" extrusionOk="0">
                <a:moveTo>
                  <a:pt x="4022" y="0"/>
                </a:moveTo>
                <a:cubicBezTo>
                  <a:pt x="1807" y="6"/>
                  <a:pt x="6" y="1801"/>
                  <a:pt x="0" y="4021"/>
                </a:cubicBezTo>
                <a:lnTo>
                  <a:pt x="0" y="24017"/>
                </a:lnTo>
                <a:cubicBezTo>
                  <a:pt x="20553" y="26066"/>
                  <a:pt x="36886" y="42675"/>
                  <a:pt x="38494" y="63359"/>
                </a:cubicBezTo>
                <a:lnTo>
                  <a:pt x="136260" y="63359"/>
                </a:lnTo>
                <a:cubicBezTo>
                  <a:pt x="138480" y="63354"/>
                  <a:pt x="140275" y="61552"/>
                  <a:pt x="140281" y="59338"/>
                </a:cubicBezTo>
                <a:lnTo>
                  <a:pt x="140281" y="4021"/>
                </a:lnTo>
                <a:cubicBezTo>
                  <a:pt x="140275" y="1801"/>
                  <a:pt x="138480" y="6"/>
                  <a:pt x="136260" y="0"/>
                </a:cubicBezTo>
                <a:close/>
              </a:path>
            </a:pathLst>
          </a:custGeom>
          <a:solidFill>
            <a:srgbClr val="869FB1"/>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ctr" rtl="0">
              <a:spcBef>
                <a:spcPts val="0"/>
              </a:spcBef>
              <a:spcAft>
                <a:spcPts val="0"/>
              </a:spcAft>
              <a:buNone/>
            </a:pPr>
            <a:r>
              <a:rPr lang="es-MX" b="1">
                <a:solidFill>
                  <a:schemeClr val="bg1"/>
                </a:solidFill>
              </a:rPr>
              <a:t>MAPA DE</a:t>
            </a:r>
            <a:r>
              <a:rPr lang="es-MX" b="1" baseline="0">
                <a:solidFill>
                  <a:schemeClr val="bg1"/>
                </a:solidFill>
              </a:rPr>
              <a:t> </a:t>
            </a:r>
            <a:r>
              <a:rPr lang="es-MX" b="1">
                <a:solidFill>
                  <a:schemeClr val="bg1"/>
                </a:solidFill>
              </a:rPr>
              <a:t>RIESGOS</a:t>
            </a:r>
            <a:r>
              <a:rPr lang="es-MX" b="1" baseline="0">
                <a:solidFill>
                  <a:schemeClr val="bg1"/>
                </a:solidFill>
              </a:rPr>
              <a:t>  </a:t>
            </a:r>
          </a:p>
          <a:p>
            <a:pPr marL="0" lvl="0" indent="0" algn="ctr" rtl="0">
              <a:spcBef>
                <a:spcPts val="0"/>
              </a:spcBef>
              <a:spcAft>
                <a:spcPts val="0"/>
              </a:spcAft>
              <a:buNone/>
            </a:pPr>
            <a:r>
              <a:rPr lang="es-MX" b="1" baseline="0">
                <a:solidFill>
                  <a:schemeClr val="bg1"/>
                </a:solidFill>
              </a:rPr>
              <a:t>DE PROCESO</a:t>
            </a:r>
            <a:endParaRPr b="1">
              <a:solidFill>
                <a:schemeClr val="bg1"/>
              </a:solidFill>
            </a:endParaRPr>
          </a:p>
        </xdr:txBody>
      </xdr:sp>
      <xdr:sp macro="" textlink="">
        <xdr:nvSpPr>
          <xdr:cNvPr id="8" name="Google Shape;6044;p62">
            <a:hlinkClick xmlns:r="http://schemas.openxmlformats.org/officeDocument/2006/relationships" r:id="rId4"/>
            <a:extLst>
              <a:ext uri="{FF2B5EF4-FFF2-40B4-BE49-F238E27FC236}">
                <a16:creationId xmlns:a16="http://schemas.microsoft.com/office/drawing/2014/main" id="{CDE12DC8-5FFF-4D49-BD61-EB6409C00729}"/>
              </a:ext>
            </a:extLst>
          </xdr:cNvPr>
          <xdr:cNvSpPr/>
        </xdr:nvSpPr>
        <xdr:spPr>
          <a:xfrm>
            <a:off x="3871550" y="2940300"/>
            <a:ext cx="3507025" cy="1584000"/>
          </a:xfrm>
          <a:custGeom>
            <a:avLst/>
            <a:gdLst/>
            <a:ahLst/>
            <a:cxnLst/>
            <a:rect l="l" t="t" r="r" b="b"/>
            <a:pathLst>
              <a:path w="140281" h="63360" extrusionOk="0">
                <a:moveTo>
                  <a:pt x="38494" y="1"/>
                </a:moveTo>
                <a:cubicBezTo>
                  <a:pt x="36886" y="20680"/>
                  <a:pt x="20553" y="37294"/>
                  <a:pt x="0" y="39343"/>
                </a:cubicBezTo>
                <a:lnTo>
                  <a:pt x="0" y="59339"/>
                </a:lnTo>
                <a:cubicBezTo>
                  <a:pt x="6" y="61559"/>
                  <a:pt x="1807" y="63354"/>
                  <a:pt x="4022" y="63360"/>
                </a:cubicBezTo>
                <a:lnTo>
                  <a:pt x="136260" y="63360"/>
                </a:lnTo>
                <a:cubicBezTo>
                  <a:pt x="138480" y="63354"/>
                  <a:pt x="140275" y="61559"/>
                  <a:pt x="140281" y="59339"/>
                </a:cubicBezTo>
                <a:lnTo>
                  <a:pt x="140281" y="4022"/>
                </a:lnTo>
                <a:cubicBezTo>
                  <a:pt x="140275" y="1808"/>
                  <a:pt x="138480" y="6"/>
                  <a:pt x="136260" y="1"/>
                </a:cubicBezTo>
                <a:close/>
              </a:path>
            </a:pathLst>
          </a:custGeom>
          <a:solidFill>
            <a:srgbClr val="287840"/>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algn="ctr"/>
            <a:r>
              <a:rPr lang="es-CO" sz="1400" b="1" i="0" u="none" strike="noStrike" cap="none">
                <a:solidFill>
                  <a:schemeClr val="bg1"/>
                </a:solidFill>
                <a:effectLst/>
                <a:latin typeface="Arial"/>
                <a:ea typeface="Arial"/>
                <a:cs typeface="Arial"/>
                <a:sym typeface="Arial"/>
              </a:rPr>
              <a:t>MATRIZ CALOR </a:t>
            </a:r>
          </a:p>
          <a:p>
            <a:pPr algn="ctr"/>
            <a:r>
              <a:rPr lang="es-CO" sz="1400" b="1" i="0" u="none" strike="noStrike" cap="none">
                <a:solidFill>
                  <a:schemeClr val="bg1"/>
                </a:solidFill>
                <a:effectLst/>
                <a:latin typeface="Arial"/>
                <a:ea typeface="Arial"/>
                <a:cs typeface="Arial"/>
                <a:sym typeface="Arial"/>
              </a:rPr>
              <a:t>INHERENTE</a:t>
            </a:r>
          </a:p>
        </xdr:txBody>
      </xdr:sp>
      <xdr:sp macro="" textlink="">
        <xdr:nvSpPr>
          <xdr:cNvPr id="9" name="Google Shape;6045;p62">
            <a:extLst>
              <a:ext uri="{FF2B5EF4-FFF2-40B4-BE49-F238E27FC236}">
                <a16:creationId xmlns:a16="http://schemas.microsoft.com/office/drawing/2014/main" id="{4F08F53C-068E-4448-BD7A-AC4DC9C52EAA}"/>
              </a:ext>
            </a:extLst>
          </xdr:cNvPr>
          <xdr:cNvSpPr/>
        </xdr:nvSpPr>
        <xdr:spPr>
          <a:xfrm>
            <a:off x="2842425" y="1934600"/>
            <a:ext cx="1843850" cy="1843850"/>
          </a:xfrm>
          <a:custGeom>
            <a:avLst/>
            <a:gdLst/>
            <a:ahLst/>
            <a:cxnLst/>
            <a:rect l="l" t="t" r="r" b="b"/>
            <a:pathLst>
              <a:path w="73754" h="73754" extrusionOk="0">
                <a:moveTo>
                  <a:pt x="36880" y="0"/>
                </a:moveTo>
                <a:cubicBezTo>
                  <a:pt x="36621" y="0"/>
                  <a:pt x="36362" y="6"/>
                  <a:pt x="36108" y="11"/>
                </a:cubicBezTo>
                <a:cubicBezTo>
                  <a:pt x="17253" y="397"/>
                  <a:pt x="1834" y="15011"/>
                  <a:pt x="154" y="33525"/>
                </a:cubicBezTo>
                <a:cubicBezTo>
                  <a:pt x="55" y="34627"/>
                  <a:pt x="0" y="35745"/>
                  <a:pt x="0" y="36874"/>
                </a:cubicBezTo>
                <a:cubicBezTo>
                  <a:pt x="0" y="38009"/>
                  <a:pt x="55" y="39122"/>
                  <a:pt x="154" y="40229"/>
                </a:cubicBezTo>
                <a:cubicBezTo>
                  <a:pt x="1834" y="58749"/>
                  <a:pt x="17253" y="73357"/>
                  <a:pt x="36108" y="73743"/>
                </a:cubicBezTo>
                <a:cubicBezTo>
                  <a:pt x="36362" y="73748"/>
                  <a:pt x="36621" y="73754"/>
                  <a:pt x="36880" y="73754"/>
                </a:cubicBezTo>
                <a:cubicBezTo>
                  <a:pt x="38312" y="73754"/>
                  <a:pt x="39744" y="73666"/>
                  <a:pt x="41165" y="73500"/>
                </a:cubicBezTo>
                <a:cubicBezTo>
                  <a:pt x="58391" y="71495"/>
                  <a:pt x="72030" y="57581"/>
                  <a:pt x="73600" y="40229"/>
                </a:cubicBezTo>
                <a:cubicBezTo>
                  <a:pt x="73699" y="39127"/>
                  <a:pt x="73754" y="38009"/>
                  <a:pt x="73754" y="36874"/>
                </a:cubicBezTo>
                <a:cubicBezTo>
                  <a:pt x="73754" y="35745"/>
                  <a:pt x="73699" y="34632"/>
                  <a:pt x="73600" y="33525"/>
                </a:cubicBezTo>
                <a:cubicBezTo>
                  <a:pt x="72024" y="16173"/>
                  <a:pt x="58391" y="2259"/>
                  <a:pt x="41165" y="254"/>
                </a:cubicBezTo>
                <a:cubicBezTo>
                  <a:pt x="39744" y="88"/>
                  <a:pt x="38312" y="0"/>
                  <a:pt x="36880" y="0"/>
                </a:cubicBezTo>
                <a:close/>
              </a:path>
            </a:pathLst>
          </a:custGeom>
          <a:solidFill>
            <a:srgbClr val="287840"/>
          </a:solidFill>
          <a:ln>
            <a:noFill/>
          </a:ln>
          <a:scene3d>
            <a:camera prst="orthographicFront"/>
            <a:lightRig rig="threePt" dir="t"/>
          </a:scene3d>
          <a:sp3d/>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ctr" rtl="0">
              <a:spcBef>
                <a:spcPts val="0"/>
              </a:spcBef>
              <a:spcAft>
                <a:spcPts val="0"/>
              </a:spcAft>
              <a:buNone/>
            </a:pPr>
            <a:r>
              <a:rPr lang="es-MX" b="1">
                <a:solidFill>
                  <a:schemeClr val="bg1"/>
                </a:solidFill>
              </a:rPr>
              <a:t>SISTEMA DE GESTION INTEGRADO</a:t>
            </a:r>
            <a:r>
              <a:rPr lang="es-MX" b="1" baseline="0">
                <a:solidFill>
                  <a:schemeClr val="bg1"/>
                </a:solidFill>
              </a:rPr>
              <a:t> ETITC</a:t>
            </a:r>
            <a:endParaRPr b="1">
              <a:solidFill>
                <a:schemeClr val="bg1"/>
              </a:solidFill>
            </a:endParaRPr>
          </a:p>
        </xdr:txBody>
      </xdr:sp>
    </xdr:grpSp>
    <xdr:clientData/>
  </xdr:twoCellAnchor>
  <xdr:twoCellAnchor editAs="oneCell">
    <xdr:from>
      <xdr:col>3</xdr:col>
      <xdr:colOff>180473</xdr:colOff>
      <xdr:row>31</xdr:row>
      <xdr:rowOff>82217</xdr:rowOff>
    </xdr:from>
    <xdr:to>
      <xdr:col>5</xdr:col>
      <xdr:colOff>10027</xdr:colOff>
      <xdr:row>38</xdr:row>
      <xdr:rowOff>92244</xdr:rowOff>
    </xdr:to>
    <xdr:pic>
      <xdr:nvPicPr>
        <xdr:cNvPr id="11" name="Gráfico 10" descr="Lista de comprobación">
          <a:hlinkClick xmlns:r="http://schemas.openxmlformats.org/officeDocument/2006/relationships" r:id="rId5"/>
          <a:extLst>
            <a:ext uri="{FF2B5EF4-FFF2-40B4-BE49-F238E27FC236}">
              <a16:creationId xmlns:a16="http://schemas.microsoft.com/office/drawing/2014/main" id="{B2681AEC-BB6E-40BC-9B5F-2C3C98ED353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3168315" y="6458954"/>
          <a:ext cx="1353553" cy="1353553"/>
        </a:xfrm>
        <a:prstGeom prst="rect">
          <a:avLst/>
        </a:prstGeom>
      </xdr:spPr>
    </xdr:pic>
    <xdr:clientData/>
  </xdr:twoCellAnchor>
  <xdr:twoCellAnchor editAs="oneCell">
    <xdr:from>
      <xdr:col>1</xdr:col>
      <xdr:colOff>1112920</xdr:colOff>
      <xdr:row>1</xdr:row>
      <xdr:rowOff>120316</xdr:rowOff>
    </xdr:from>
    <xdr:to>
      <xdr:col>2</xdr:col>
      <xdr:colOff>533399</xdr:colOff>
      <xdr:row>4</xdr:row>
      <xdr:rowOff>391</xdr:rowOff>
    </xdr:to>
    <xdr:pic>
      <xdr:nvPicPr>
        <xdr:cNvPr id="2" name="Imagen 4">
          <a:extLst>
            <a:ext uri="{FF2B5EF4-FFF2-40B4-BE49-F238E27FC236}">
              <a16:creationId xmlns:a16="http://schemas.microsoft.com/office/drawing/2014/main" id="{57AE46B9-8CF0-4183-B042-FA91EA9C8AC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363578" y="280737"/>
          <a:ext cx="533400" cy="55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458788</xdr:colOff>
      <xdr:row>1</xdr:row>
      <xdr:rowOff>38100</xdr:rowOff>
    </xdr:from>
    <xdr:to>
      <xdr:col>2</xdr:col>
      <xdr:colOff>342899</xdr:colOff>
      <xdr:row>3</xdr:row>
      <xdr:rowOff>87829</xdr:rowOff>
    </xdr:to>
    <xdr:pic>
      <xdr:nvPicPr>
        <xdr:cNvPr id="2" name="Imagen 4">
          <a:extLst>
            <a:ext uri="{FF2B5EF4-FFF2-40B4-BE49-F238E27FC236}">
              <a16:creationId xmlns:a16="http://schemas.microsoft.com/office/drawing/2014/main" id="{3C1CD76F-FE75-4CE9-BCB2-B45BD421A5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0788" y="238125"/>
          <a:ext cx="531811" cy="5450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114300</xdr:rowOff>
    </xdr:from>
    <xdr:to>
      <xdr:col>0</xdr:col>
      <xdr:colOff>952500</xdr:colOff>
      <xdr:row>4</xdr:row>
      <xdr:rowOff>85725</xdr:rowOff>
    </xdr:to>
    <xdr:pic>
      <xdr:nvPicPr>
        <xdr:cNvPr id="3" name="Gráfico 2" descr="Escena suburbana">
          <a:hlinkClick xmlns:r="http://schemas.openxmlformats.org/officeDocument/2006/relationships" r:id="rId2"/>
          <a:extLst>
            <a:ext uri="{FF2B5EF4-FFF2-40B4-BE49-F238E27FC236}">
              <a16:creationId xmlns:a16="http://schemas.microsoft.com/office/drawing/2014/main" id="{2EC4FEF1-A890-48AB-8460-EBD7D26D13F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8100" y="114300"/>
          <a:ext cx="914400" cy="914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62593</xdr:colOff>
      <xdr:row>7</xdr:row>
      <xdr:rowOff>21771</xdr:rowOff>
    </xdr:from>
    <xdr:to>
      <xdr:col>3</xdr:col>
      <xdr:colOff>189235</xdr:colOff>
      <xdr:row>9</xdr:row>
      <xdr:rowOff>287110</xdr:rowOff>
    </xdr:to>
    <xdr:pic>
      <xdr:nvPicPr>
        <xdr:cNvPr id="6" name="Gráfico 5" descr="Escena suburbana">
          <a:hlinkClick xmlns:r="http://schemas.openxmlformats.org/officeDocument/2006/relationships" r:id="rId1"/>
          <a:extLst>
            <a:ext uri="{FF2B5EF4-FFF2-40B4-BE49-F238E27FC236}">
              <a16:creationId xmlns:a16="http://schemas.microsoft.com/office/drawing/2014/main" id="{2A21950B-AED9-4C7D-A227-4B209EC561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2593" y="2174421"/>
          <a:ext cx="923925" cy="930728"/>
        </a:xfrm>
        <a:prstGeom prst="rect">
          <a:avLst/>
        </a:prstGeom>
      </xdr:spPr>
    </xdr:pic>
    <xdr:clientData/>
  </xdr:twoCellAnchor>
  <xdr:twoCellAnchor editAs="oneCell">
    <xdr:from>
      <xdr:col>5</xdr:col>
      <xdr:colOff>372071</xdr:colOff>
      <xdr:row>1</xdr:row>
      <xdr:rowOff>193477</xdr:rowOff>
    </xdr:from>
    <xdr:to>
      <xdr:col>5</xdr:col>
      <xdr:colOff>1145977</xdr:colOff>
      <xdr:row>3</xdr:row>
      <xdr:rowOff>286860</xdr:rowOff>
    </xdr:to>
    <xdr:pic>
      <xdr:nvPicPr>
        <xdr:cNvPr id="2" name="Imagen 4">
          <a:extLst>
            <a:ext uri="{FF2B5EF4-FFF2-40B4-BE49-F238E27FC236}">
              <a16:creationId xmlns:a16="http://schemas.microsoft.com/office/drawing/2014/main" id="{982481E6-8388-4A39-BA8D-5F1279B28E7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797969" y="386954"/>
          <a:ext cx="773906" cy="8115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44450</xdr:colOff>
      <xdr:row>0</xdr:row>
      <xdr:rowOff>0</xdr:rowOff>
    </xdr:from>
    <xdr:to>
      <xdr:col>11</xdr:col>
      <xdr:colOff>495300</xdr:colOff>
      <xdr:row>26</xdr:row>
      <xdr:rowOff>155042</xdr:rowOff>
    </xdr:to>
    <xdr:pic>
      <xdr:nvPicPr>
        <xdr:cNvPr id="2" name="Imagen 1">
          <a:extLst>
            <a:ext uri="{FF2B5EF4-FFF2-40B4-BE49-F238E27FC236}">
              <a16:creationId xmlns:a16="http://schemas.microsoft.com/office/drawing/2014/main" id="{05936C09-E2DB-C52B-4972-F52956DF6CB7}"/>
            </a:ext>
          </a:extLst>
        </xdr:cNvPr>
        <xdr:cNvPicPr>
          <a:picLocks noChangeAspect="1"/>
        </xdr:cNvPicPr>
      </xdr:nvPicPr>
      <xdr:blipFill>
        <a:blip xmlns:r="http://schemas.openxmlformats.org/officeDocument/2006/relationships" r:embed="rId1"/>
        <a:stretch>
          <a:fillRect/>
        </a:stretch>
      </xdr:blipFill>
      <xdr:spPr>
        <a:xfrm>
          <a:off x="3092450" y="0"/>
          <a:ext cx="5784850" cy="5108042"/>
        </a:xfrm>
        <a:prstGeom prst="rect">
          <a:avLst/>
        </a:prstGeom>
      </xdr:spPr>
    </xdr:pic>
    <xdr:clientData/>
  </xdr:twoCellAnchor>
  <xdr:twoCellAnchor editAs="oneCell">
    <xdr:from>
      <xdr:col>4</xdr:col>
      <xdr:colOff>76200</xdr:colOff>
      <xdr:row>27</xdr:row>
      <xdr:rowOff>47624</xdr:rowOff>
    </xdr:from>
    <xdr:to>
      <xdr:col>11</xdr:col>
      <xdr:colOff>485775</xdr:colOff>
      <xdr:row>42</xdr:row>
      <xdr:rowOff>180975</xdr:rowOff>
    </xdr:to>
    <xdr:pic>
      <xdr:nvPicPr>
        <xdr:cNvPr id="3" name="Imagen 2">
          <a:extLst>
            <a:ext uri="{FF2B5EF4-FFF2-40B4-BE49-F238E27FC236}">
              <a16:creationId xmlns:a16="http://schemas.microsoft.com/office/drawing/2014/main" id="{C26438EB-DE44-1D10-37E8-2751E58C62E8}"/>
            </a:ext>
          </a:extLst>
        </xdr:cNvPr>
        <xdr:cNvPicPr>
          <a:picLocks noChangeAspect="1"/>
        </xdr:cNvPicPr>
      </xdr:nvPicPr>
      <xdr:blipFill>
        <a:blip xmlns:r="http://schemas.openxmlformats.org/officeDocument/2006/relationships" r:embed="rId2"/>
        <a:stretch>
          <a:fillRect/>
        </a:stretch>
      </xdr:blipFill>
      <xdr:spPr>
        <a:xfrm>
          <a:off x="3124200" y="5191124"/>
          <a:ext cx="5743575" cy="29908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87313</xdr:colOff>
      <xdr:row>1</xdr:row>
      <xdr:rowOff>19050</xdr:rowOff>
    </xdr:from>
    <xdr:to>
      <xdr:col>7</xdr:col>
      <xdr:colOff>239713</xdr:colOff>
      <xdr:row>4</xdr:row>
      <xdr:rowOff>6908</xdr:rowOff>
    </xdr:to>
    <xdr:pic>
      <xdr:nvPicPr>
        <xdr:cNvPr id="2" name="Imagen 4">
          <a:extLst>
            <a:ext uri="{FF2B5EF4-FFF2-40B4-BE49-F238E27FC236}">
              <a16:creationId xmlns:a16="http://schemas.microsoft.com/office/drawing/2014/main" id="{C9EC256A-DB6F-4832-A5C7-920A72533D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16313" y="225425"/>
          <a:ext cx="533400" cy="546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476250</xdr:colOff>
      <xdr:row>2</xdr:row>
      <xdr:rowOff>31750</xdr:rowOff>
    </xdr:from>
    <xdr:to>
      <xdr:col>2</xdr:col>
      <xdr:colOff>330200</xdr:colOff>
      <xdr:row>6</xdr:row>
      <xdr:rowOff>168275</xdr:rowOff>
    </xdr:to>
    <xdr:pic>
      <xdr:nvPicPr>
        <xdr:cNvPr id="3" name="Gráfico 2" descr="Escena suburbana">
          <a:hlinkClick xmlns:r="http://schemas.openxmlformats.org/officeDocument/2006/relationships" r:id="rId2"/>
          <a:extLst>
            <a:ext uri="{FF2B5EF4-FFF2-40B4-BE49-F238E27FC236}">
              <a16:creationId xmlns:a16="http://schemas.microsoft.com/office/drawing/2014/main" id="{AC2E177A-875D-4A57-A129-BCFB879CD9A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476250" y="428625"/>
          <a:ext cx="914400" cy="914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100013</xdr:colOff>
      <xdr:row>1</xdr:row>
      <xdr:rowOff>19050</xdr:rowOff>
    </xdr:from>
    <xdr:to>
      <xdr:col>6</xdr:col>
      <xdr:colOff>252413</xdr:colOff>
      <xdr:row>4</xdr:row>
      <xdr:rowOff>6908</xdr:rowOff>
    </xdr:to>
    <xdr:pic>
      <xdr:nvPicPr>
        <xdr:cNvPr id="2" name="Imagen 4">
          <a:extLst>
            <a:ext uri="{FF2B5EF4-FFF2-40B4-BE49-F238E27FC236}">
              <a16:creationId xmlns:a16="http://schemas.microsoft.com/office/drawing/2014/main" id="{7FBAA5E0-89AF-4E19-B8BD-77A8F16D9C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7013" y="228600"/>
          <a:ext cx="533400" cy="546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269875</xdr:colOff>
      <xdr:row>1</xdr:row>
      <xdr:rowOff>127000</xdr:rowOff>
    </xdr:from>
    <xdr:to>
      <xdr:col>1</xdr:col>
      <xdr:colOff>422275</xdr:colOff>
      <xdr:row>6</xdr:row>
      <xdr:rowOff>66675</xdr:rowOff>
    </xdr:to>
    <xdr:pic>
      <xdr:nvPicPr>
        <xdr:cNvPr id="3" name="Gráfico 2" descr="Escena suburbana">
          <a:hlinkClick xmlns:r="http://schemas.openxmlformats.org/officeDocument/2006/relationships" r:id="rId2"/>
          <a:extLst>
            <a:ext uri="{FF2B5EF4-FFF2-40B4-BE49-F238E27FC236}">
              <a16:creationId xmlns:a16="http://schemas.microsoft.com/office/drawing/2014/main" id="{B215EECA-2602-46E7-BD53-16D06B6CA53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69875" y="333375"/>
          <a:ext cx="914400" cy="9080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95250</xdr:rowOff>
    </xdr:from>
    <xdr:to>
      <xdr:col>0</xdr:col>
      <xdr:colOff>676275</xdr:colOff>
      <xdr:row>5</xdr:row>
      <xdr:rowOff>66675</xdr:rowOff>
    </xdr:to>
    <xdr:grpSp>
      <xdr:nvGrpSpPr>
        <xdr:cNvPr id="3" name="Google Shape;6703;p64">
          <a:hlinkClick xmlns:r="http://schemas.openxmlformats.org/officeDocument/2006/relationships" r:id="rId1"/>
          <a:extLst>
            <a:ext uri="{FF2B5EF4-FFF2-40B4-BE49-F238E27FC236}">
              <a16:creationId xmlns:a16="http://schemas.microsoft.com/office/drawing/2014/main" id="{A9FAA5E6-A202-4E28-876A-E71E3D293F7D}"/>
            </a:ext>
          </a:extLst>
        </xdr:cNvPr>
        <xdr:cNvGrpSpPr/>
      </xdr:nvGrpSpPr>
      <xdr:grpSpPr>
        <a:xfrm>
          <a:off x="0" y="190500"/>
          <a:ext cx="676275" cy="771525"/>
          <a:chOff x="2508373" y="2779889"/>
          <a:chExt cx="337523" cy="337680"/>
        </a:xfrm>
      </xdr:grpSpPr>
      <xdr:sp macro="" textlink="">
        <xdr:nvSpPr>
          <xdr:cNvPr id="4" name="Google Shape;6704;p64">
            <a:extLst>
              <a:ext uri="{FF2B5EF4-FFF2-40B4-BE49-F238E27FC236}">
                <a16:creationId xmlns:a16="http://schemas.microsoft.com/office/drawing/2014/main" id="{38E993DD-8DD4-4BB8-BFD1-6897219496B3}"/>
              </a:ext>
            </a:extLst>
          </xdr:cNvPr>
          <xdr:cNvSpPr/>
        </xdr:nvSpPr>
        <xdr:spPr>
          <a:xfrm>
            <a:off x="2508373" y="2779889"/>
            <a:ext cx="256971" cy="256971"/>
          </a:xfrm>
          <a:custGeom>
            <a:avLst/>
            <a:gdLst/>
            <a:ahLst/>
            <a:cxnLst/>
            <a:rect l="l" t="t" r="r" b="b"/>
            <a:pathLst>
              <a:path w="9781" h="9781" extrusionOk="0">
                <a:moveTo>
                  <a:pt x="4585" y="0"/>
                </a:moveTo>
                <a:cubicBezTo>
                  <a:pt x="4377" y="0"/>
                  <a:pt x="4190" y="153"/>
                  <a:pt x="4155" y="354"/>
                </a:cubicBezTo>
                <a:lnTo>
                  <a:pt x="3933" y="1464"/>
                </a:lnTo>
                <a:cubicBezTo>
                  <a:pt x="3656" y="1540"/>
                  <a:pt x="3392" y="1651"/>
                  <a:pt x="3149" y="1790"/>
                </a:cubicBezTo>
                <a:lnTo>
                  <a:pt x="2213" y="1165"/>
                </a:lnTo>
                <a:cubicBezTo>
                  <a:pt x="2138" y="1116"/>
                  <a:pt x="2053" y="1092"/>
                  <a:pt x="1969" y="1092"/>
                </a:cubicBezTo>
                <a:cubicBezTo>
                  <a:pt x="1852" y="1092"/>
                  <a:pt x="1736" y="1139"/>
                  <a:pt x="1651" y="1228"/>
                </a:cubicBezTo>
                <a:lnTo>
                  <a:pt x="1221" y="1658"/>
                </a:lnTo>
                <a:cubicBezTo>
                  <a:pt x="1068" y="1803"/>
                  <a:pt x="1048" y="2039"/>
                  <a:pt x="1166" y="2220"/>
                </a:cubicBezTo>
                <a:lnTo>
                  <a:pt x="1790" y="3156"/>
                </a:lnTo>
                <a:cubicBezTo>
                  <a:pt x="1651" y="3399"/>
                  <a:pt x="1547" y="3662"/>
                  <a:pt x="1471" y="3940"/>
                </a:cubicBezTo>
                <a:lnTo>
                  <a:pt x="361" y="4162"/>
                </a:lnTo>
                <a:cubicBezTo>
                  <a:pt x="153" y="4196"/>
                  <a:pt x="7" y="4384"/>
                  <a:pt x="0" y="4592"/>
                </a:cubicBezTo>
                <a:lnTo>
                  <a:pt x="0" y="5202"/>
                </a:lnTo>
                <a:cubicBezTo>
                  <a:pt x="7" y="5410"/>
                  <a:pt x="153" y="5591"/>
                  <a:pt x="361" y="5632"/>
                </a:cubicBezTo>
                <a:lnTo>
                  <a:pt x="1471" y="5854"/>
                </a:lnTo>
                <a:cubicBezTo>
                  <a:pt x="1547" y="6125"/>
                  <a:pt x="1651" y="6388"/>
                  <a:pt x="1790" y="6638"/>
                </a:cubicBezTo>
                <a:lnTo>
                  <a:pt x="1166" y="7574"/>
                </a:lnTo>
                <a:cubicBezTo>
                  <a:pt x="1048" y="7748"/>
                  <a:pt x="1068" y="7984"/>
                  <a:pt x="1221" y="8136"/>
                </a:cubicBezTo>
                <a:lnTo>
                  <a:pt x="1651" y="8566"/>
                </a:lnTo>
                <a:cubicBezTo>
                  <a:pt x="1735" y="8650"/>
                  <a:pt x="1848" y="8692"/>
                  <a:pt x="1964" y="8692"/>
                </a:cubicBezTo>
                <a:cubicBezTo>
                  <a:pt x="2049" y="8692"/>
                  <a:pt x="2136" y="8669"/>
                  <a:pt x="2213" y="8622"/>
                </a:cubicBezTo>
                <a:lnTo>
                  <a:pt x="3156" y="7990"/>
                </a:lnTo>
                <a:cubicBezTo>
                  <a:pt x="3399" y="8129"/>
                  <a:pt x="3663" y="8233"/>
                  <a:pt x="3933" y="8310"/>
                </a:cubicBezTo>
                <a:lnTo>
                  <a:pt x="4155" y="9419"/>
                </a:lnTo>
                <a:cubicBezTo>
                  <a:pt x="4197" y="9627"/>
                  <a:pt x="4377" y="9773"/>
                  <a:pt x="4592" y="9780"/>
                </a:cubicBezTo>
                <a:lnTo>
                  <a:pt x="5195" y="9780"/>
                </a:lnTo>
                <a:cubicBezTo>
                  <a:pt x="5404" y="9773"/>
                  <a:pt x="5591" y="9627"/>
                  <a:pt x="5632" y="9419"/>
                </a:cubicBezTo>
                <a:lnTo>
                  <a:pt x="5854" y="8310"/>
                </a:lnTo>
                <a:cubicBezTo>
                  <a:pt x="6125" y="8233"/>
                  <a:pt x="6389" y="8129"/>
                  <a:pt x="6631" y="7990"/>
                </a:cubicBezTo>
                <a:lnTo>
                  <a:pt x="7568" y="8615"/>
                </a:lnTo>
                <a:cubicBezTo>
                  <a:pt x="7644" y="8664"/>
                  <a:pt x="7730" y="8688"/>
                  <a:pt x="7814" y="8688"/>
                </a:cubicBezTo>
                <a:cubicBezTo>
                  <a:pt x="7931" y="8688"/>
                  <a:pt x="8045" y="8643"/>
                  <a:pt x="8129" y="8559"/>
                </a:cubicBezTo>
                <a:lnTo>
                  <a:pt x="8560" y="8129"/>
                </a:lnTo>
                <a:cubicBezTo>
                  <a:pt x="8712" y="7984"/>
                  <a:pt x="8733" y="7748"/>
                  <a:pt x="8615" y="7567"/>
                </a:cubicBezTo>
                <a:lnTo>
                  <a:pt x="7991" y="6631"/>
                </a:lnTo>
                <a:cubicBezTo>
                  <a:pt x="8129" y="6381"/>
                  <a:pt x="8234" y="6118"/>
                  <a:pt x="8310" y="5847"/>
                </a:cubicBezTo>
                <a:lnTo>
                  <a:pt x="9420" y="5625"/>
                </a:lnTo>
                <a:cubicBezTo>
                  <a:pt x="9628" y="5584"/>
                  <a:pt x="9773" y="5403"/>
                  <a:pt x="9780" y="5195"/>
                </a:cubicBezTo>
                <a:lnTo>
                  <a:pt x="9780" y="4585"/>
                </a:lnTo>
                <a:cubicBezTo>
                  <a:pt x="9780" y="4377"/>
                  <a:pt x="9628" y="4189"/>
                  <a:pt x="9420" y="4148"/>
                </a:cubicBezTo>
                <a:lnTo>
                  <a:pt x="8310" y="3926"/>
                </a:lnTo>
                <a:cubicBezTo>
                  <a:pt x="8234" y="3655"/>
                  <a:pt x="8129" y="3392"/>
                  <a:pt x="7991" y="3149"/>
                </a:cubicBezTo>
                <a:lnTo>
                  <a:pt x="8615" y="2206"/>
                </a:lnTo>
                <a:cubicBezTo>
                  <a:pt x="8733" y="2032"/>
                  <a:pt x="8712" y="1796"/>
                  <a:pt x="8560" y="1644"/>
                </a:cubicBezTo>
                <a:lnTo>
                  <a:pt x="8129" y="1221"/>
                </a:lnTo>
                <a:cubicBezTo>
                  <a:pt x="8046" y="1134"/>
                  <a:pt x="7934" y="1090"/>
                  <a:pt x="7821" y="1090"/>
                </a:cubicBezTo>
                <a:cubicBezTo>
                  <a:pt x="7735" y="1090"/>
                  <a:pt x="7649" y="1115"/>
                  <a:pt x="7575" y="1165"/>
                </a:cubicBezTo>
                <a:lnTo>
                  <a:pt x="6631" y="1790"/>
                </a:lnTo>
                <a:cubicBezTo>
                  <a:pt x="6389" y="1651"/>
                  <a:pt x="6125" y="1540"/>
                  <a:pt x="5854" y="1464"/>
                </a:cubicBezTo>
                <a:lnTo>
                  <a:pt x="5626" y="354"/>
                </a:lnTo>
                <a:cubicBezTo>
                  <a:pt x="5584" y="153"/>
                  <a:pt x="5404" y="0"/>
                  <a:pt x="5195" y="0"/>
                </a:cubicBezTo>
                <a:close/>
              </a:path>
            </a:pathLst>
          </a:custGeom>
          <a:solidFill>
            <a:srgbClr val="287840"/>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5" name="Google Shape;6705;p64">
            <a:extLst>
              <a:ext uri="{FF2B5EF4-FFF2-40B4-BE49-F238E27FC236}">
                <a16:creationId xmlns:a16="http://schemas.microsoft.com/office/drawing/2014/main" id="{7CE847CD-5FCA-4405-BB52-E6893161F724}"/>
              </a:ext>
            </a:extLst>
          </xdr:cNvPr>
          <xdr:cNvSpPr/>
        </xdr:nvSpPr>
        <xdr:spPr>
          <a:xfrm>
            <a:off x="2561391" y="2852034"/>
            <a:ext cx="131783" cy="112814"/>
          </a:xfrm>
          <a:custGeom>
            <a:avLst/>
            <a:gdLst/>
            <a:ahLst/>
            <a:cxnLst/>
            <a:rect l="l" t="t" r="r" b="b"/>
            <a:pathLst>
              <a:path w="5016" h="4294" extrusionOk="0">
                <a:moveTo>
                  <a:pt x="2872" y="1"/>
                </a:moveTo>
                <a:cubicBezTo>
                  <a:pt x="958" y="1"/>
                  <a:pt x="1" y="2310"/>
                  <a:pt x="1353" y="3663"/>
                </a:cubicBezTo>
                <a:cubicBezTo>
                  <a:pt x="1791" y="4098"/>
                  <a:pt x="2328" y="4293"/>
                  <a:pt x="2855" y="4293"/>
                </a:cubicBezTo>
                <a:cubicBezTo>
                  <a:pt x="3958" y="4293"/>
                  <a:pt x="5016" y="3439"/>
                  <a:pt x="5016" y="2144"/>
                </a:cubicBezTo>
                <a:cubicBezTo>
                  <a:pt x="5016" y="958"/>
                  <a:pt x="4058" y="1"/>
                  <a:pt x="2872" y="1"/>
                </a:cubicBezTo>
                <a:close/>
              </a:path>
            </a:pathLst>
          </a:custGeom>
          <a:solidFill>
            <a:srgbClr val="DEE5EB"/>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6" name="Google Shape;6706;p64">
            <a:extLst>
              <a:ext uri="{FF2B5EF4-FFF2-40B4-BE49-F238E27FC236}">
                <a16:creationId xmlns:a16="http://schemas.microsoft.com/office/drawing/2014/main" id="{1947E24B-2236-4B10-B0A4-19ABD26BF976}"/>
              </a:ext>
            </a:extLst>
          </xdr:cNvPr>
          <xdr:cNvSpPr/>
        </xdr:nvSpPr>
        <xdr:spPr>
          <a:xfrm>
            <a:off x="2599302" y="2880277"/>
            <a:ext cx="65629" cy="56223"/>
          </a:xfrm>
          <a:custGeom>
            <a:avLst/>
            <a:gdLst/>
            <a:ahLst/>
            <a:cxnLst/>
            <a:rect l="l" t="t" r="r" b="b"/>
            <a:pathLst>
              <a:path w="2498" h="2140" extrusionOk="0">
                <a:moveTo>
                  <a:pt x="1429" y="1"/>
                </a:moveTo>
                <a:cubicBezTo>
                  <a:pt x="479" y="1"/>
                  <a:pt x="0" y="1152"/>
                  <a:pt x="673" y="1825"/>
                </a:cubicBezTo>
                <a:cubicBezTo>
                  <a:pt x="891" y="2042"/>
                  <a:pt x="1158" y="2140"/>
                  <a:pt x="1420" y="2140"/>
                </a:cubicBezTo>
                <a:cubicBezTo>
                  <a:pt x="1970" y="2140"/>
                  <a:pt x="2497" y="1712"/>
                  <a:pt x="2497" y="1069"/>
                </a:cubicBezTo>
                <a:cubicBezTo>
                  <a:pt x="2497" y="479"/>
                  <a:pt x="2019" y="1"/>
                  <a:pt x="1429" y="1"/>
                </a:cubicBezTo>
                <a:close/>
              </a:path>
            </a:pathLst>
          </a:custGeom>
          <a:solidFill>
            <a:srgbClr val="287840"/>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7" name="Google Shape;6707;p64">
            <a:extLst>
              <a:ext uri="{FF2B5EF4-FFF2-40B4-BE49-F238E27FC236}">
                <a16:creationId xmlns:a16="http://schemas.microsoft.com/office/drawing/2014/main" id="{DD835CD5-BE0C-4FE1-976F-DD597D594F0C}"/>
              </a:ext>
            </a:extLst>
          </xdr:cNvPr>
          <xdr:cNvSpPr/>
        </xdr:nvSpPr>
        <xdr:spPr>
          <a:xfrm>
            <a:off x="2677121" y="2948611"/>
            <a:ext cx="168775" cy="168958"/>
          </a:xfrm>
          <a:custGeom>
            <a:avLst/>
            <a:gdLst/>
            <a:ahLst/>
            <a:cxnLst/>
            <a:rect l="l" t="t" r="r" b="b"/>
            <a:pathLst>
              <a:path w="6424" h="6431" extrusionOk="0">
                <a:moveTo>
                  <a:pt x="3017" y="1"/>
                </a:moveTo>
                <a:cubicBezTo>
                  <a:pt x="2879" y="1"/>
                  <a:pt x="2754" y="98"/>
                  <a:pt x="2733" y="237"/>
                </a:cubicBezTo>
                <a:lnTo>
                  <a:pt x="2587" y="965"/>
                </a:lnTo>
                <a:cubicBezTo>
                  <a:pt x="2407" y="1014"/>
                  <a:pt x="2234" y="1090"/>
                  <a:pt x="2067" y="1180"/>
                </a:cubicBezTo>
                <a:lnTo>
                  <a:pt x="1450" y="764"/>
                </a:lnTo>
                <a:cubicBezTo>
                  <a:pt x="1404" y="733"/>
                  <a:pt x="1350" y="718"/>
                  <a:pt x="1296" y="718"/>
                </a:cubicBezTo>
                <a:cubicBezTo>
                  <a:pt x="1218" y="718"/>
                  <a:pt x="1139" y="748"/>
                  <a:pt x="1082" y="805"/>
                </a:cubicBezTo>
                <a:lnTo>
                  <a:pt x="805" y="1083"/>
                </a:lnTo>
                <a:cubicBezTo>
                  <a:pt x="701" y="1180"/>
                  <a:pt x="687" y="1340"/>
                  <a:pt x="763" y="1451"/>
                </a:cubicBezTo>
                <a:lnTo>
                  <a:pt x="1179" y="2068"/>
                </a:lnTo>
                <a:cubicBezTo>
                  <a:pt x="1089" y="2234"/>
                  <a:pt x="1013" y="2408"/>
                  <a:pt x="964" y="2588"/>
                </a:cubicBezTo>
                <a:lnTo>
                  <a:pt x="236" y="2734"/>
                </a:lnTo>
                <a:cubicBezTo>
                  <a:pt x="97" y="2761"/>
                  <a:pt x="0" y="2879"/>
                  <a:pt x="0" y="3018"/>
                </a:cubicBezTo>
                <a:lnTo>
                  <a:pt x="0" y="3413"/>
                </a:lnTo>
                <a:cubicBezTo>
                  <a:pt x="0" y="3552"/>
                  <a:pt x="97" y="3670"/>
                  <a:pt x="236" y="3698"/>
                </a:cubicBezTo>
                <a:lnTo>
                  <a:pt x="964" y="3844"/>
                </a:lnTo>
                <a:cubicBezTo>
                  <a:pt x="1013" y="4024"/>
                  <a:pt x="1089" y="4197"/>
                  <a:pt x="1179" y="4364"/>
                </a:cubicBezTo>
                <a:lnTo>
                  <a:pt x="763" y="4981"/>
                </a:lnTo>
                <a:cubicBezTo>
                  <a:pt x="687" y="5092"/>
                  <a:pt x="701" y="5252"/>
                  <a:pt x="805" y="5349"/>
                </a:cubicBezTo>
                <a:lnTo>
                  <a:pt x="1082" y="5626"/>
                </a:lnTo>
                <a:cubicBezTo>
                  <a:pt x="1139" y="5683"/>
                  <a:pt x="1218" y="5714"/>
                  <a:pt x="1296" y="5714"/>
                </a:cubicBezTo>
                <a:cubicBezTo>
                  <a:pt x="1350" y="5714"/>
                  <a:pt x="1404" y="5699"/>
                  <a:pt x="1450" y="5668"/>
                </a:cubicBezTo>
                <a:lnTo>
                  <a:pt x="2067" y="5252"/>
                </a:lnTo>
                <a:cubicBezTo>
                  <a:pt x="2234" y="5342"/>
                  <a:pt x="2407" y="5418"/>
                  <a:pt x="2587" y="5467"/>
                </a:cubicBezTo>
                <a:lnTo>
                  <a:pt x="2733" y="6195"/>
                </a:lnTo>
                <a:cubicBezTo>
                  <a:pt x="2754" y="6334"/>
                  <a:pt x="2879" y="6431"/>
                  <a:pt x="3017" y="6431"/>
                </a:cubicBezTo>
                <a:lnTo>
                  <a:pt x="3413" y="6431"/>
                </a:lnTo>
                <a:cubicBezTo>
                  <a:pt x="3552" y="6431"/>
                  <a:pt x="3669" y="6334"/>
                  <a:pt x="3697" y="6195"/>
                </a:cubicBezTo>
                <a:lnTo>
                  <a:pt x="3843" y="5467"/>
                </a:lnTo>
                <a:cubicBezTo>
                  <a:pt x="4023" y="5418"/>
                  <a:pt x="4197" y="5342"/>
                  <a:pt x="4356" y="5252"/>
                </a:cubicBezTo>
                <a:lnTo>
                  <a:pt x="4980" y="5668"/>
                </a:lnTo>
                <a:cubicBezTo>
                  <a:pt x="5027" y="5697"/>
                  <a:pt x="5080" y="5711"/>
                  <a:pt x="5134" y="5711"/>
                </a:cubicBezTo>
                <a:cubicBezTo>
                  <a:pt x="5209" y="5711"/>
                  <a:pt x="5284" y="5683"/>
                  <a:pt x="5341" y="5626"/>
                </a:cubicBezTo>
                <a:lnTo>
                  <a:pt x="5625" y="5342"/>
                </a:lnTo>
                <a:cubicBezTo>
                  <a:pt x="5723" y="5245"/>
                  <a:pt x="5736" y="5092"/>
                  <a:pt x="5660" y="4974"/>
                </a:cubicBezTo>
                <a:lnTo>
                  <a:pt x="5251" y="4357"/>
                </a:lnTo>
                <a:cubicBezTo>
                  <a:pt x="5341" y="4190"/>
                  <a:pt x="5410" y="4024"/>
                  <a:pt x="5466" y="3844"/>
                </a:cubicBezTo>
                <a:lnTo>
                  <a:pt x="6194" y="3698"/>
                </a:lnTo>
                <a:cubicBezTo>
                  <a:pt x="6326" y="3670"/>
                  <a:pt x="6423" y="3552"/>
                  <a:pt x="6423" y="3413"/>
                </a:cubicBezTo>
                <a:lnTo>
                  <a:pt x="6423" y="3018"/>
                </a:lnTo>
                <a:cubicBezTo>
                  <a:pt x="6423" y="2879"/>
                  <a:pt x="6333" y="2761"/>
                  <a:pt x="6194" y="2734"/>
                </a:cubicBezTo>
                <a:lnTo>
                  <a:pt x="5466" y="2588"/>
                </a:lnTo>
                <a:cubicBezTo>
                  <a:pt x="5417" y="2408"/>
                  <a:pt x="5348" y="2234"/>
                  <a:pt x="5251" y="2068"/>
                </a:cubicBezTo>
                <a:lnTo>
                  <a:pt x="5667" y="1451"/>
                </a:lnTo>
                <a:cubicBezTo>
                  <a:pt x="5743" y="1340"/>
                  <a:pt x="5729" y="1180"/>
                  <a:pt x="5632" y="1083"/>
                </a:cubicBezTo>
                <a:lnTo>
                  <a:pt x="5348" y="805"/>
                </a:lnTo>
                <a:cubicBezTo>
                  <a:pt x="5291" y="748"/>
                  <a:pt x="5214" y="718"/>
                  <a:pt x="5137" y="718"/>
                </a:cubicBezTo>
                <a:cubicBezTo>
                  <a:pt x="5083" y="718"/>
                  <a:pt x="5029" y="733"/>
                  <a:pt x="4980" y="764"/>
                </a:cubicBezTo>
                <a:lnTo>
                  <a:pt x="4363" y="1180"/>
                </a:lnTo>
                <a:cubicBezTo>
                  <a:pt x="4197" y="1090"/>
                  <a:pt x="4030" y="1014"/>
                  <a:pt x="3850" y="965"/>
                </a:cubicBezTo>
                <a:lnTo>
                  <a:pt x="3704" y="237"/>
                </a:lnTo>
                <a:cubicBezTo>
                  <a:pt x="3676" y="98"/>
                  <a:pt x="3558" y="1"/>
                  <a:pt x="3420" y="1"/>
                </a:cubicBezTo>
                <a:close/>
              </a:path>
            </a:pathLst>
          </a:custGeom>
          <a:solidFill>
            <a:srgbClr val="445D73"/>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8" name="Google Shape;6708;p64">
            <a:extLst>
              <a:ext uri="{FF2B5EF4-FFF2-40B4-BE49-F238E27FC236}">
                <a16:creationId xmlns:a16="http://schemas.microsoft.com/office/drawing/2014/main" id="{E6B00809-D949-41E4-9F22-19E36042DF88}"/>
              </a:ext>
            </a:extLst>
          </xdr:cNvPr>
          <xdr:cNvSpPr/>
        </xdr:nvSpPr>
        <xdr:spPr>
          <a:xfrm>
            <a:off x="2705180" y="2990910"/>
            <a:ext cx="98601" cy="84466"/>
          </a:xfrm>
          <a:custGeom>
            <a:avLst/>
            <a:gdLst/>
            <a:ahLst/>
            <a:cxnLst/>
            <a:rect l="l" t="t" r="r" b="b"/>
            <a:pathLst>
              <a:path w="3753" h="3215" extrusionOk="0">
                <a:moveTo>
                  <a:pt x="2144" y="0"/>
                </a:moveTo>
                <a:cubicBezTo>
                  <a:pt x="715" y="0"/>
                  <a:pt x="0" y="1727"/>
                  <a:pt x="1013" y="2740"/>
                </a:cubicBezTo>
                <a:cubicBezTo>
                  <a:pt x="1341" y="3068"/>
                  <a:pt x="1743" y="3215"/>
                  <a:pt x="2138" y="3215"/>
                </a:cubicBezTo>
                <a:cubicBezTo>
                  <a:pt x="2963" y="3215"/>
                  <a:pt x="3753" y="2573"/>
                  <a:pt x="3753" y="1602"/>
                </a:cubicBezTo>
                <a:cubicBezTo>
                  <a:pt x="3753" y="721"/>
                  <a:pt x="3031" y="0"/>
                  <a:pt x="2144" y="0"/>
                </a:cubicBezTo>
                <a:close/>
              </a:path>
            </a:pathLst>
          </a:custGeom>
          <a:solidFill>
            <a:srgbClr val="BAC2CA"/>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sp macro="" textlink="">
        <xdr:nvSpPr>
          <xdr:cNvPr id="9" name="Google Shape;6709;p64">
            <a:extLst>
              <a:ext uri="{FF2B5EF4-FFF2-40B4-BE49-F238E27FC236}">
                <a16:creationId xmlns:a16="http://schemas.microsoft.com/office/drawing/2014/main" id="{FE1B5E96-0894-4403-A969-355EA50B80B2}"/>
              </a:ext>
            </a:extLst>
          </xdr:cNvPr>
          <xdr:cNvSpPr/>
        </xdr:nvSpPr>
        <xdr:spPr>
          <a:xfrm>
            <a:off x="2727774" y="3007856"/>
            <a:ext cx="59061" cy="50601"/>
          </a:xfrm>
          <a:custGeom>
            <a:avLst/>
            <a:gdLst/>
            <a:ahLst/>
            <a:cxnLst/>
            <a:rect l="l" t="t" r="r" b="b"/>
            <a:pathLst>
              <a:path w="2248" h="1926" extrusionOk="0">
                <a:moveTo>
                  <a:pt x="1284" y="0"/>
                </a:moveTo>
                <a:cubicBezTo>
                  <a:pt x="430" y="0"/>
                  <a:pt x="0" y="1034"/>
                  <a:pt x="604" y="1644"/>
                </a:cubicBezTo>
                <a:cubicBezTo>
                  <a:pt x="801" y="1839"/>
                  <a:pt x="1041" y="1926"/>
                  <a:pt x="1277" y="1926"/>
                </a:cubicBezTo>
                <a:cubicBezTo>
                  <a:pt x="1773" y="1926"/>
                  <a:pt x="2248" y="1540"/>
                  <a:pt x="2248" y="957"/>
                </a:cubicBezTo>
                <a:cubicBezTo>
                  <a:pt x="2248" y="430"/>
                  <a:pt x="1818" y="0"/>
                  <a:pt x="1284" y="0"/>
                </a:cubicBezTo>
                <a:close/>
              </a:path>
            </a:pathLst>
          </a:custGeom>
          <a:solidFill>
            <a:schemeClr val="bg1">
              <a:lumMod val="50000"/>
            </a:schemeClr>
          </a:solidFill>
          <a:ln>
            <a:noFill/>
          </a:ln>
        </xdr:spPr>
        <xdr:txBody>
          <a:bodyPr spcFirstLastPara="1" wrap="square" lIns="91425" tIns="91425" rIns="91425" bIns="91425" anchor="ctr" anchorCtr="0">
            <a:no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lvl="0" indent="0" algn="l" rtl="0">
              <a:spcBef>
                <a:spcPts val="0"/>
              </a:spcBef>
              <a:spcAft>
                <a:spcPts val="0"/>
              </a:spcAft>
              <a:buNone/>
            </a:pPr>
            <a:endParaRPr/>
          </a:p>
        </xdr:txBody>
      </xdr:sp>
    </xdr:grpSp>
    <xdr:clientData/>
  </xdr:twoCellAnchor>
  <xdr:twoCellAnchor editAs="oneCell">
    <xdr:from>
      <xdr:col>1</xdr:col>
      <xdr:colOff>657225</xdr:colOff>
      <xdr:row>1</xdr:row>
      <xdr:rowOff>0</xdr:rowOff>
    </xdr:from>
    <xdr:to>
      <xdr:col>1</xdr:col>
      <xdr:colOff>1190625</xdr:colOff>
      <xdr:row>3</xdr:row>
      <xdr:rowOff>159308</xdr:rowOff>
    </xdr:to>
    <xdr:pic>
      <xdr:nvPicPr>
        <xdr:cNvPr id="2" name="Imagen 4">
          <a:extLst>
            <a:ext uri="{FF2B5EF4-FFF2-40B4-BE49-F238E27FC236}">
              <a16:creationId xmlns:a16="http://schemas.microsoft.com/office/drawing/2014/main" id="{A717D3CA-0607-4F20-B71A-3AE6DB9E2F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43025" y="95250"/>
          <a:ext cx="533400" cy="559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866775</xdr:colOff>
      <xdr:row>0</xdr:row>
      <xdr:rowOff>66675</xdr:rowOff>
    </xdr:from>
    <xdr:to>
      <xdr:col>1</xdr:col>
      <xdr:colOff>1400175</xdr:colOff>
      <xdr:row>3</xdr:row>
      <xdr:rowOff>156133</xdr:rowOff>
    </xdr:to>
    <xdr:pic>
      <xdr:nvPicPr>
        <xdr:cNvPr id="2" name="Imagen 4">
          <a:extLst>
            <a:ext uri="{FF2B5EF4-FFF2-40B4-BE49-F238E27FC236}">
              <a16:creationId xmlns:a16="http://schemas.microsoft.com/office/drawing/2014/main" id="{D0C39065-34D1-428B-8040-82A4986F52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66675"/>
          <a:ext cx="533400" cy="5466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Calidad ETITC" id="{0CC1AFD7-F2B4-4C19-A5FE-A0839748E464}" userId="S::calidad@itc.edu.co::5f6678ce-6f95-4cba-9a3f-7a65f87216f7"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10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2AF4852-25AA-4EC0-BA9A-D8EC1A651492}" name="Criterios" displayName="Criterios" ref="A1:B14" totalsRowShown="0">
  <autoFilter ref="A1:B14" xr:uid="{B2AF4852-25AA-4EC0-BA9A-D8EC1A651492}"/>
  <tableColumns count="2">
    <tableColumn id="1" xr3:uid="{DD89DC2E-2661-45C2-B689-DCF22974CBDC}" name="Criterios_Impacto"/>
    <tableColumn id="2" xr3:uid="{43AE9E82-3F6B-4945-A788-0E0C2F144D59}" name="Calificació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39" dataDxfId="38">
  <autoFilter ref="B209:C219" xr:uid="{00000000-0009-0000-0100-000001000000}"/>
  <tableColumns count="2">
    <tableColumn id="1" xr3:uid="{00000000-0010-0000-0000-000001000000}" name="Criterios" dataDxfId="37"/>
    <tableColumn id="2" xr3:uid="{00000000-0010-0000-0000-000002000000}" name="Subcriterios" dataDxfId="36"/>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3" dT="2026-05-05T18:23:33.08" personId="{0CC1AFD7-F2B4-4C19-A5FE-A0839748E464}" id="{31DE014E-1502-4058-AF14-D12B122223C2}">
    <text>Para el riesgo Fiscal, solo aplica IMPACTO ECONÓMICO</text>
  </threadedComment>
  <threadedComment ref="G13" dT="2026-05-05T16:05:30.86" personId="{0CC1AFD7-F2B4-4C19-A5FE-A0839748E464}" id="{7319F458-F751-4993-B913-0ED035E30CF3}">
    <text>Aplica para Riesgo FISCAL</text>
  </threadedComment>
  <threadedComment ref="AU13" dT="2026-05-04T15:28:03.86" personId="{0CC1AFD7-F2B4-4C19-A5FE-A0839748E464}" id="{1816B48D-01BB-448B-AFCC-2FEDB756BA42}">
    <text xml:space="preserve">Se realiza una descripción breve de lo ejecutado en el periodo. Así como las desviaciones presentadas en la aplicación del control. </text>
  </threadedComment>
  <threadedComment ref="AV13" dT="2026-05-04T15:29:01.83" personId="{0CC1AFD7-F2B4-4C19-A5FE-A0839748E464}" id="{8ADAA9EE-5890-4480-85AE-C33717331CF8}">
    <text>Se debe describir los soportes de la ejecución del control y punto de uso de la información. Ejemplo (enlaces de carpetas)</text>
  </threadedComment>
  <threadedComment ref="AW13" dT="2026-05-04T15:28:03.86" personId="{0CC1AFD7-F2B4-4C19-A5FE-A0839748E464}" id="{975DE72D-945A-4BAE-A64E-E42069A0D1CB}">
    <text>Se realiza una descripción breve de lo ejecutado en el periodo</text>
  </threadedComment>
  <threadedComment ref="AX13" dT="2026-05-04T15:29:01.83" personId="{0CC1AFD7-F2B4-4C19-A5FE-A0839748E464}" id="{837D0758-B511-4B9B-885F-44B15625A2B0}">
    <text>Se debe describir los soportes de la ejecución del control y punto de uso de la información. Ejemplo (enlaces de carpetas)</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F36359B-B2FA-0441-B45E-435D34324B10}">
  <we:reference id="WA200009404" version="1.0.0.8" store="Omex" storeType="OMEX"/>
  <we:alternateReferences>
    <we:reference id="WA200009404" version="1.0.0.8" store="WA200009404" storeType="OMEX"/>
  </we:alternateReferences>
  <we:properties>
    <we:property name="claude.fileId" value="&quot;cc768748-2c64-4e70-b2d4-1fbae9e880db&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N38"/>
  <sheetViews>
    <sheetView showGridLines="0" topLeftCell="A15" zoomScale="95" zoomScaleNormal="95" workbookViewId="0">
      <selection activeCell="P13" sqref="P13"/>
    </sheetView>
  </sheetViews>
  <sheetFormatPr baseColWidth="10" defaultColWidth="11.42578125" defaultRowHeight="15"/>
  <cols>
    <col min="1" max="1" width="3.7109375" style="68" customWidth="1"/>
    <col min="2" max="2" width="16.7109375" customWidth="1"/>
    <col min="3" max="3" width="25" customWidth="1"/>
    <col min="4" max="12" width="10.7109375" customWidth="1"/>
    <col min="13" max="13" width="13.28515625" customWidth="1"/>
    <col min="14" max="14" width="15.42578125" customWidth="1"/>
    <col min="15" max="16384" width="11.42578125" style="68"/>
  </cols>
  <sheetData>
    <row r="1" spans="2:14" ht="12.75" customHeight="1" thickBot="1">
      <c r="B1" s="68"/>
      <c r="C1" s="68"/>
      <c r="D1" s="68"/>
      <c r="E1" s="68"/>
      <c r="F1" s="68"/>
      <c r="G1" s="68"/>
      <c r="H1" s="68"/>
      <c r="I1" s="68"/>
      <c r="J1" s="68"/>
      <c r="K1" s="68"/>
      <c r="L1" s="68"/>
      <c r="M1" s="68"/>
      <c r="N1" s="68"/>
    </row>
    <row r="2" spans="2:14" ht="18.75" customHeight="1">
      <c r="B2" s="260" t="s">
        <v>0</v>
      </c>
      <c r="C2" s="261"/>
      <c r="D2" s="251" t="s">
        <v>1</v>
      </c>
      <c r="E2" s="252"/>
      <c r="F2" s="252"/>
      <c r="G2" s="252"/>
      <c r="H2" s="252"/>
      <c r="I2" s="252"/>
      <c r="J2" s="252"/>
      <c r="K2" s="252"/>
      <c r="L2" s="253"/>
      <c r="M2" s="266" t="s">
        <v>2</v>
      </c>
      <c r="N2" s="267"/>
    </row>
    <row r="3" spans="2:14" ht="15.75" customHeight="1">
      <c r="B3" s="262"/>
      <c r="C3" s="263"/>
      <c r="D3" s="254"/>
      <c r="E3" s="255"/>
      <c r="F3" s="255"/>
      <c r="G3" s="255"/>
      <c r="H3" s="255"/>
      <c r="I3" s="255"/>
      <c r="J3" s="255"/>
      <c r="K3" s="255"/>
      <c r="L3" s="256"/>
      <c r="M3" s="268" t="s">
        <v>3</v>
      </c>
      <c r="N3" s="269"/>
    </row>
    <row r="4" spans="2:14" ht="18.75" customHeight="1">
      <c r="B4" s="262"/>
      <c r="C4" s="263"/>
      <c r="D4" s="254"/>
      <c r="E4" s="255"/>
      <c r="F4" s="255"/>
      <c r="G4" s="255"/>
      <c r="H4" s="255"/>
      <c r="I4" s="255"/>
      <c r="J4" s="255"/>
      <c r="K4" s="255"/>
      <c r="L4" s="256"/>
      <c r="M4" s="268" t="s">
        <v>4</v>
      </c>
      <c r="N4" s="269"/>
    </row>
    <row r="5" spans="2:14" ht="29.25" customHeight="1" thickBot="1">
      <c r="B5" s="264"/>
      <c r="C5" s="265"/>
      <c r="D5" s="257"/>
      <c r="E5" s="258"/>
      <c r="F5" s="258"/>
      <c r="G5" s="258"/>
      <c r="H5" s="258"/>
      <c r="I5" s="258"/>
      <c r="J5" s="258"/>
      <c r="K5" s="258"/>
      <c r="L5" s="259"/>
      <c r="M5" s="270" t="s">
        <v>5</v>
      </c>
      <c r="N5" s="271"/>
    </row>
    <row r="6" spans="2:14" ht="7.5" customHeight="1" thickBot="1"/>
    <row r="7" spans="2:14">
      <c r="B7" s="126"/>
      <c r="C7" s="127"/>
      <c r="D7" s="127"/>
      <c r="E7" s="127"/>
      <c r="F7" s="127"/>
      <c r="G7" s="127"/>
      <c r="H7" s="127"/>
      <c r="I7" s="127"/>
      <c r="J7" s="127"/>
      <c r="K7" s="127"/>
      <c r="L7" s="127"/>
      <c r="M7" s="127"/>
      <c r="N7" s="128"/>
    </row>
    <row r="8" spans="2:14">
      <c r="B8" s="129"/>
      <c r="N8" s="130"/>
    </row>
    <row r="9" spans="2:14">
      <c r="B9" s="129"/>
      <c r="N9" s="130"/>
    </row>
    <row r="10" spans="2:14">
      <c r="B10" s="129"/>
      <c r="N10" s="130"/>
    </row>
    <row r="11" spans="2:14">
      <c r="B11" s="129"/>
      <c r="N11" s="130"/>
    </row>
    <row r="12" spans="2:14">
      <c r="B12" s="129"/>
      <c r="N12" s="130"/>
    </row>
    <row r="13" spans="2:14">
      <c r="B13" s="129"/>
      <c r="N13" s="130"/>
    </row>
    <row r="14" spans="2:14">
      <c r="B14" s="129"/>
      <c r="N14" s="130"/>
    </row>
    <row r="15" spans="2:14">
      <c r="B15" s="129"/>
      <c r="N15" s="130"/>
    </row>
    <row r="16" spans="2:14" ht="21" customHeight="1">
      <c r="B16" s="129"/>
      <c r="N16" s="130"/>
    </row>
    <row r="17" spans="2:14" ht="18.75" customHeight="1">
      <c r="B17" s="129"/>
      <c r="N17" s="130"/>
    </row>
    <row r="18" spans="2:14" ht="17.25" customHeight="1">
      <c r="B18" s="129"/>
      <c r="N18" s="130"/>
    </row>
    <row r="19" spans="2:14" ht="18.75" customHeight="1">
      <c r="B19" s="129"/>
      <c r="N19" s="130"/>
    </row>
    <row r="20" spans="2:14" ht="21" customHeight="1">
      <c r="B20" s="129"/>
      <c r="N20" s="130"/>
    </row>
    <row r="21" spans="2:14">
      <c r="B21" s="129"/>
      <c r="N21" s="130"/>
    </row>
    <row r="22" spans="2:14">
      <c r="B22" s="129"/>
      <c r="N22" s="130"/>
    </row>
    <row r="23" spans="2:14">
      <c r="B23" s="129"/>
      <c r="N23" s="130"/>
    </row>
    <row r="24" spans="2:14">
      <c r="B24" s="129"/>
      <c r="N24" s="130"/>
    </row>
    <row r="25" spans="2:14">
      <c r="B25" s="129"/>
      <c r="N25" s="130"/>
    </row>
    <row r="26" spans="2:14">
      <c r="B26" s="129"/>
      <c r="N26" s="130"/>
    </row>
    <row r="27" spans="2:14">
      <c r="B27" s="129"/>
      <c r="N27" s="130"/>
    </row>
    <row r="28" spans="2:14">
      <c r="B28" s="129"/>
      <c r="N28" s="130"/>
    </row>
    <row r="29" spans="2:14">
      <c r="B29" s="129"/>
      <c r="N29" s="130"/>
    </row>
    <row r="30" spans="2:14">
      <c r="B30" s="129"/>
      <c r="N30" s="130"/>
    </row>
    <row r="31" spans="2:14">
      <c r="B31" s="129"/>
      <c r="D31" s="250" t="s">
        <v>6</v>
      </c>
      <c r="E31" s="250"/>
      <c r="N31" s="130"/>
    </row>
    <row r="32" spans="2:14">
      <c r="B32" s="129"/>
      <c r="D32" s="250"/>
      <c r="E32" s="250"/>
      <c r="N32" s="130"/>
    </row>
    <row r="33" spans="2:14">
      <c r="B33" s="129"/>
      <c r="N33" s="130"/>
    </row>
    <row r="34" spans="2:14">
      <c r="B34" s="129"/>
      <c r="N34" s="130"/>
    </row>
    <row r="35" spans="2:14">
      <c r="B35" s="129"/>
      <c r="N35" s="130"/>
    </row>
    <row r="36" spans="2:14">
      <c r="B36" s="129"/>
      <c r="N36" s="130"/>
    </row>
    <row r="37" spans="2:14">
      <c r="B37" s="129"/>
      <c r="N37" s="130"/>
    </row>
    <row r="38" spans="2:14" ht="15.75" thickBot="1">
      <c r="B38" s="131"/>
      <c r="C38" s="132"/>
      <c r="D38" s="132"/>
      <c r="E38" s="132"/>
      <c r="F38" s="132"/>
      <c r="G38" s="132"/>
      <c r="H38" s="132"/>
      <c r="I38" s="132"/>
      <c r="J38" s="132"/>
      <c r="K38" s="132"/>
      <c r="L38" s="132"/>
      <c r="M38" s="132"/>
      <c r="N38" s="133"/>
    </row>
  </sheetData>
  <mergeCells count="7">
    <mergeCell ref="D31:E32"/>
    <mergeCell ref="D2:L5"/>
    <mergeCell ref="B2:C5"/>
    <mergeCell ref="M2:N2"/>
    <mergeCell ref="M3:N3"/>
    <mergeCell ref="M4:N4"/>
    <mergeCell ref="M5:N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H31"/>
  <sheetViews>
    <sheetView showGridLines="0" topLeftCell="A4" zoomScale="120" zoomScaleNormal="120" workbookViewId="0">
      <selection activeCell="G29" sqref="G29"/>
    </sheetView>
  </sheetViews>
  <sheetFormatPr baseColWidth="10" defaultColWidth="11.42578125" defaultRowHeight="15"/>
  <cols>
    <col min="1" max="1" width="17.42578125" customWidth="1"/>
    <col min="2" max="2" width="9.7109375" customWidth="1"/>
    <col min="4" max="4" width="72.28515625" customWidth="1"/>
    <col min="5" max="6" width="11" customWidth="1"/>
    <col min="7" max="7" width="11.42578125" style="138"/>
    <col min="8" max="8" width="11.42578125" style="15"/>
  </cols>
  <sheetData>
    <row r="1" spans="1:8" ht="15.75" thickBot="1"/>
    <row r="2" spans="1:8" ht="19.5" customHeight="1">
      <c r="B2" s="260" t="s">
        <v>0</v>
      </c>
      <c r="C2" s="261"/>
      <c r="D2" s="277" t="s">
        <v>7</v>
      </c>
      <c r="E2" s="293" t="s">
        <v>8</v>
      </c>
      <c r="F2" s="267"/>
    </row>
    <row r="3" spans="1:8" ht="19.5" customHeight="1">
      <c r="B3" s="262"/>
      <c r="C3" s="263"/>
      <c r="D3" s="278"/>
      <c r="E3" s="294" t="s">
        <v>3</v>
      </c>
      <c r="F3" s="269"/>
    </row>
    <row r="4" spans="1:8" ht="19.5" customHeight="1">
      <c r="B4" s="262"/>
      <c r="C4" s="263"/>
      <c r="D4" s="278"/>
      <c r="E4" s="294" t="s">
        <v>4</v>
      </c>
      <c r="F4" s="269"/>
    </row>
    <row r="5" spans="1:8" ht="19.5" customHeight="1" thickBot="1">
      <c r="A5" t="s">
        <v>9</v>
      </c>
      <c r="B5" s="264"/>
      <c r="C5" s="265"/>
      <c r="D5" s="279"/>
      <c r="E5" s="295" t="s">
        <v>5</v>
      </c>
      <c r="F5" s="271"/>
    </row>
    <row r="6" spans="1:8" ht="15.75" thickBot="1"/>
    <row r="7" spans="1:8">
      <c r="B7" s="280" t="s">
        <v>10</v>
      </c>
      <c r="C7" s="283" t="s">
        <v>11</v>
      </c>
      <c r="D7" s="284"/>
      <c r="E7" s="289" t="s">
        <v>12</v>
      </c>
      <c r="F7" s="290"/>
    </row>
    <row r="8" spans="1:8" ht="15.75" thickBot="1">
      <c r="B8" s="281"/>
      <c r="C8" s="285"/>
      <c r="D8" s="286"/>
      <c r="E8" s="291"/>
      <c r="F8" s="292"/>
      <c r="H8" s="148"/>
    </row>
    <row r="9" spans="1:8" ht="15.75" thickBot="1">
      <c r="B9" s="282"/>
      <c r="C9" s="287" t="s">
        <v>13</v>
      </c>
      <c r="D9" s="288"/>
      <c r="E9" s="145" t="s">
        <v>14</v>
      </c>
      <c r="F9" s="145" t="s">
        <v>15</v>
      </c>
      <c r="H9" s="148"/>
    </row>
    <row r="10" spans="1:8" ht="15.75" thickBot="1">
      <c r="B10" s="144">
        <v>1</v>
      </c>
      <c r="C10" s="272" t="s">
        <v>16</v>
      </c>
      <c r="D10" s="273"/>
      <c r="E10" s="140" t="s">
        <v>278</v>
      </c>
      <c r="F10" s="141"/>
      <c r="H10" s="148"/>
    </row>
    <row r="11" spans="1:8" ht="15.75" thickBot="1">
      <c r="B11" s="144">
        <v>2</v>
      </c>
      <c r="C11" s="272" t="s">
        <v>17</v>
      </c>
      <c r="D11" s="273" t="s">
        <v>17</v>
      </c>
      <c r="E11" s="140"/>
      <c r="F11" s="141"/>
      <c r="H11" s="149"/>
    </row>
    <row r="12" spans="1:8" ht="15.75" thickBot="1">
      <c r="B12" s="144">
        <v>3</v>
      </c>
      <c r="C12" s="272" t="s">
        <v>18</v>
      </c>
      <c r="D12" s="273" t="s">
        <v>18</v>
      </c>
      <c r="E12" s="140"/>
      <c r="F12" s="141"/>
    </row>
    <row r="13" spans="1:8" ht="15.75" thickBot="1">
      <c r="B13" s="144">
        <v>4</v>
      </c>
      <c r="C13" s="272" t="s">
        <v>19</v>
      </c>
      <c r="D13" s="273" t="s">
        <v>20</v>
      </c>
      <c r="E13" s="140"/>
      <c r="F13" s="141"/>
    </row>
    <row r="14" spans="1:8" ht="15.75" thickBot="1">
      <c r="B14" s="144">
        <v>5</v>
      </c>
      <c r="C14" s="272" t="s">
        <v>21</v>
      </c>
      <c r="D14" s="273" t="s">
        <v>21</v>
      </c>
      <c r="E14" s="140"/>
      <c r="F14" s="141"/>
    </row>
    <row r="15" spans="1:8" ht="15.75" thickBot="1">
      <c r="B15" s="144">
        <v>6</v>
      </c>
      <c r="C15" s="272" t="s">
        <v>22</v>
      </c>
      <c r="D15" s="273" t="s">
        <v>22</v>
      </c>
      <c r="E15" s="140"/>
      <c r="F15" s="141"/>
    </row>
    <row r="16" spans="1:8" ht="15.75" thickBot="1">
      <c r="B16" s="144">
        <v>7</v>
      </c>
      <c r="C16" s="272" t="s">
        <v>23</v>
      </c>
      <c r="D16" s="273" t="s">
        <v>23</v>
      </c>
      <c r="E16" s="140"/>
      <c r="F16" s="141"/>
    </row>
    <row r="17" spans="1:7" ht="28.5" customHeight="1" thickBot="1">
      <c r="B17" s="144">
        <v>8</v>
      </c>
      <c r="C17" s="272" t="s">
        <v>24</v>
      </c>
      <c r="D17" s="273" t="s">
        <v>24</v>
      </c>
      <c r="E17" s="140"/>
      <c r="F17" s="141"/>
    </row>
    <row r="18" spans="1:7" ht="18.75" customHeight="1" thickBot="1">
      <c r="B18" s="144">
        <v>9</v>
      </c>
      <c r="C18" s="272" t="s">
        <v>25</v>
      </c>
      <c r="D18" s="273" t="s">
        <v>25</v>
      </c>
      <c r="E18" s="140"/>
      <c r="F18" s="141"/>
    </row>
    <row r="19" spans="1:7" ht="15.75" thickBot="1">
      <c r="B19" s="144">
        <v>10</v>
      </c>
      <c r="C19" s="272" t="s">
        <v>26</v>
      </c>
      <c r="D19" s="273" t="s">
        <v>26</v>
      </c>
      <c r="E19" s="140"/>
      <c r="F19" s="141"/>
    </row>
    <row r="20" spans="1:7" ht="15.75" thickBot="1">
      <c r="B20" s="144">
        <v>11</v>
      </c>
      <c r="C20" s="272" t="s">
        <v>27</v>
      </c>
      <c r="D20" s="273" t="s">
        <v>27</v>
      </c>
      <c r="E20" s="140"/>
      <c r="F20" s="141"/>
    </row>
    <row r="21" spans="1:7" ht="15.75" thickBot="1">
      <c r="B21" s="144">
        <v>12</v>
      </c>
      <c r="C21" s="272" t="s">
        <v>28</v>
      </c>
      <c r="D21" s="273" t="s">
        <v>28</v>
      </c>
      <c r="E21" s="140"/>
      <c r="F21" s="141"/>
    </row>
    <row r="22" spans="1:7" ht="15.75" thickBot="1">
      <c r="B22" s="144">
        <v>13</v>
      </c>
      <c r="C22" s="272" t="s">
        <v>29</v>
      </c>
      <c r="D22" s="273" t="s">
        <v>29</v>
      </c>
      <c r="E22" s="140"/>
      <c r="F22" s="141"/>
    </row>
    <row r="23" spans="1:7" ht="15.75" thickBot="1">
      <c r="B23" s="144">
        <v>14</v>
      </c>
      <c r="C23" s="272" t="s">
        <v>30</v>
      </c>
      <c r="D23" s="273" t="s">
        <v>30</v>
      </c>
      <c r="E23" s="140"/>
      <c r="F23" s="141"/>
    </row>
    <row r="24" spans="1:7" ht="15.75" thickBot="1">
      <c r="B24" s="144">
        <v>15</v>
      </c>
      <c r="C24" s="272" t="s">
        <v>31</v>
      </c>
      <c r="D24" s="273" t="s">
        <v>31</v>
      </c>
      <c r="E24" s="140"/>
      <c r="F24" s="141"/>
    </row>
    <row r="25" spans="1:7" ht="15.75" thickBot="1">
      <c r="B25" s="144">
        <v>16</v>
      </c>
      <c r="C25" s="272" t="s">
        <v>32</v>
      </c>
      <c r="D25" s="273" t="s">
        <v>32</v>
      </c>
      <c r="E25" s="140"/>
      <c r="F25" s="141"/>
    </row>
    <row r="26" spans="1:7" ht="15.75" thickBot="1">
      <c r="B26" s="144">
        <v>17</v>
      </c>
      <c r="C26" s="272" t="s">
        <v>33</v>
      </c>
      <c r="D26" s="273" t="s">
        <v>33</v>
      </c>
      <c r="E26" s="140"/>
      <c r="F26" s="141"/>
    </row>
    <row r="27" spans="1:7" ht="15.75" thickBot="1">
      <c r="B27" s="144">
        <v>18</v>
      </c>
      <c r="C27" s="272" t="s">
        <v>34</v>
      </c>
      <c r="D27" s="273" t="s">
        <v>34</v>
      </c>
      <c r="E27" s="140"/>
      <c r="F27" s="141"/>
    </row>
    <row r="28" spans="1:7" ht="15.75" thickBot="1">
      <c r="B28" s="144">
        <v>19</v>
      </c>
      <c r="C28" s="272" t="s">
        <v>35</v>
      </c>
      <c r="D28" s="273" t="s">
        <v>35</v>
      </c>
      <c r="E28" s="140"/>
      <c r="F28" s="141"/>
    </row>
    <row r="29" spans="1:7">
      <c r="C29" s="139"/>
      <c r="D29" s="139"/>
      <c r="E29" s="147">
        <f>COUNTIF(E10:E28,"x")</f>
        <v>1</v>
      </c>
      <c r="F29" s="147">
        <f>COUNTIF(F10:F28,"x")</f>
        <v>0</v>
      </c>
      <c r="G29" s="146" t="str">
        <f>IF(E29=0,"",IF(E29&lt;=5,"Moderado",IF(E29&lt;=11,"Mayor",IF(E29&lt;=19,"Catastrófico",""))))</f>
        <v>Moderado</v>
      </c>
    </row>
    <row r="30" spans="1:7">
      <c r="C30" s="137"/>
      <c r="D30" s="137"/>
      <c r="E30" s="137"/>
      <c r="F30" s="137"/>
    </row>
    <row r="31" spans="1:7" ht="66" customHeight="1">
      <c r="A31" s="274" t="s">
        <v>36</v>
      </c>
      <c r="B31" s="275"/>
      <c r="C31" s="275"/>
      <c r="D31" s="275"/>
      <c r="E31" s="275"/>
      <c r="F31" s="276"/>
    </row>
  </sheetData>
  <mergeCells count="30">
    <mergeCell ref="A31:F31"/>
    <mergeCell ref="C12:D12"/>
    <mergeCell ref="D2:D5"/>
    <mergeCell ref="B7:B9"/>
    <mergeCell ref="C7:D8"/>
    <mergeCell ref="C9:D9"/>
    <mergeCell ref="C11:D11"/>
    <mergeCell ref="B2:C5"/>
    <mergeCell ref="C10:D10"/>
    <mergeCell ref="E7:F8"/>
    <mergeCell ref="E2:F2"/>
    <mergeCell ref="E3:F3"/>
    <mergeCell ref="E4:F4"/>
    <mergeCell ref="E5:F5"/>
    <mergeCell ref="C16:D16"/>
    <mergeCell ref="C13:D13"/>
    <mergeCell ref="C14:D14"/>
    <mergeCell ref="C28:D28"/>
    <mergeCell ref="C17:D17"/>
    <mergeCell ref="C18:D18"/>
    <mergeCell ref="C19:D19"/>
    <mergeCell ref="C20:D20"/>
    <mergeCell ref="C21:D21"/>
    <mergeCell ref="C22:D22"/>
    <mergeCell ref="C23:D23"/>
    <mergeCell ref="C24:D24"/>
    <mergeCell ref="C25:D25"/>
    <mergeCell ref="C26:D26"/>
    <mergeCell ref="C27:D27"/>
    <mergeCell ref="C15:D15"/>
  </mergeCells>
  <conditionalFormatting sqref="G29">
    <cfRule type="cellIs" dxfId="35" priority="1" stopIfTrue="1" operator="equal">
      <formula>"Catastrófico"</formula>
    </cfRule>
    <cfRule type="cellIs" dxfId="34" priority="2" stopIfTrue="1" operator="equal">
      <formula>"Moderado"</formula>
    </cfRule>
    <cfRule type="cellIs" dxfId="33" priority="3" stopIfTrue="1" operator="equal">
      <formula>"Mayor"</formula>
    </cfRule>
  </conditionalFormatting>
  <pageMargins left="0.7" right="0.7" top="0.75" bottom="0.75"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Intructivo!$J$2</xm:f>
          </x14:formula1>
          <xm:sqref>E10:F28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rgb="FF287840"/>
  </sheetPr>
  <dimension ref="A1:CD28"/>
  <sheetViews>
    <sheetView tabSelected="1" topLeftCell="C12" zoomScale="70" zoomScaleNormal="70" workbookViewId="0">
      <pane xSplit="1" ySplit="3" topLeftCell="AM16" activePane="bottomRight" state="frozen"/>
      <selection activeCell="C12" sqref="C12"/>
      <selection pane="topRight" activeCell="D12" sqref="D12"/>
      <selection pane="bottomLeft" activeCell="C15" sqref="C15"/>
      <selection pane="bottomRight" activeCell="AW19" sqref="AW19"/>
    </sheetView>
  </sheetViews>
  <sheetFormatPr baseColWidth="10" defaultColWidth="11.42578125" defaultRowHeight="14.25"/>
  <cols>
    <col min="1" max="1" width="0" style="169" hidden="1" customWidth="1"/>
    <col min="2" max="2" width="4.42578125" style="169" customWidth="1"/>
    <col min="3" max="3" width="6.28515625" style="169" customWidth="1"/>
    <col min="4" max="4" width="4.7109375" style="170" customWidth="1"/>
    <col min="5" max="5" width="21" style="170" customWidth="1"/>
    <col min="6" max="7" width="20.7109375" style="170" customWidth="1"/>
    <col min="8" max="8" width="18.28515625" style="170" customWidth="1"/>
    <col min="9" max="9" width="31" style="170" customWidth="1"/>
    <col min="10" max="10" width="32" style="170" customWidth="1"/>
    <col min="11" max="11" width="58.28515625" style="169" customWidth="1"/>
    <col min="12" max="12" width="25.42578125" style="171" customWidth="1"/>
    <col min="13" max="13" width="31.85546875" style="171" customWidth="1"/>
    <col min="14" max="14" width="23.85546875" style="171" customWidth="1"/>
    <col min="15" max="15" width="14.28515625" style="169" customWidth="1"/>
    <col min="16" max="16" width="16.42578125" style="169" customWidth="1"/>
    <col min="17" max="17" width="8.85546875" style="169" customWidth="1"/>
    <col min="18" max="18" width="21.28515625" style="169" customWidth="1"/>
    <col min="19" max="19" width="17.42578125" style="169" customWidth="1"/>
    <col min="20" max="20" width="10.42578125" style="169" customWidth="1"/>
    <col min="21" max="21" width="16" style="169" customWidth="1"/>
    <col min="22" max="22" width="5.7109375" style="169" customWidth="1"/>
    <col min="23" max="23" width="63.42578125" style="169" customWidth="1"/>
    <col min="24" max="24" width="44.85546875" style="169" customWidth="1"/>
    <col min="25" max="25" width="15.28515625" style="169" customWidth="1"/>
    <col min="26" max="26" width="6.7109375" style="169" customWidth="1"/>
    <col min="27" max="27" width="5" style="169" customWidth="1"/>
    <col min="28" max="28" width="5.42578125" style="169" customWidth="1"/>
    <col min="29" max="29" width="7.28515625" style="169" customWidth="1"/>
    <col min="30" max="30" width="6.7109375" style="169" customWidth="1"/>
    <col min="31" max="31" width="8.28515625" style="169" customWidth="1"/>
    <col min="32" max="32" width="18.140625" style="169" customWidth="1"/>
    <col min="33" max="33" width="13.7109375" style="169" customWidth="1"/>
    <col min="34" max="34" width="16.140625" style="169" customWidth="1"/>
    <col min="35" max="35" width="6.140625" style="169" customWidth="1"/>
    <col min="36" max="36" width="16.140625" style="169" customWidth="1"/>
    <col min="37" max="37" width="6" style="169" customWidth="1"/>
    <col min="38" max="38" width="16.140625" style="169" customWidth="1"/>
    <col min="39" max="40" width="7.28515625" style="169" customWidth="1"/>
    <col min="41" max="41" width="46.42578125" style="169" customWidth="1"/>
    <col min="42" max="42" width="24.28515625" style="169" customWidth="1"/>
    <col min="43" max="43" width="23.140625" style="169" customWidth="1"/>
    <col min="44" max="46" width="19.7109375" style="169" customWidth="1"/>
    <col min="47" max="47" width="35.42578125" style="169" customWidth="1"/>
    <col min="48" max="50" width="34.7109375" style="169" customWidth="1"/>
    <col min="51" max="51" width="29" style="169" customWidth="1"/>
    <col min="52" max="52" width="23.28515625" style="169" customWidth="1"/>
    <col min="53" max="53" width="68.42578125" style="169" customWidth="1"/>
    <col min="54" max="54" width="31.42578125" style="169" customWidth="1"/>
    <col min="55" max="55" width="30.42578125" style="169" customWidth="1"/>
    <col min="56" max="56" width="53" style="169" customWidth="1"/>
    <col min="57" max="59" width="0" style="169" hidden="1" customWidth="1"/>
    <col min="60" max="61" width="11.42578125" style="169" hidden="1" customWidth="1"/>
    <col min="62" max="63" width="0" style="169" hidden="1" customWidth="1"/>
    <col min="64" max="16384" width="11.42578125" style="169"/>
  </cols>
  <sheetData>
    <row r="1" spans="1:82" ht="15" thickBot="1"/>
    <row r="2" spans="1:82" ht="27.75" customHeight="1">
      <c r="D2" s="368" t="s">
        <v>37</v>
      </c>
      <c r="E2" s="369"/>
      <c r="F2" s="369"/>
      <c r="G2" s="369"/>
      <c r="H2" s="370"/>
      <c r="I2" s="377" t="s">
        <v>38</v>
      </c>
      <c r="J2" s="377"/>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c r="AL2" s="377"/>
      <c r="AM2" s="377"/>
      <c r="AN2" s="377"/>
      <c r="AO2" s="377"/>
      <c r="AP2" s="377"/>
      <c r="AQ2" s="377"/>
      <c r="AR2" s="377"/>
      <c r="AS2" s="377"/>
      <c r="AT2" s="377"/>
      <c r="AU2" s="377"/>
      <c r="AV2" s="377"/>
      <c r="AW2" s="377"/>
      <c r="AX2" s="377"/>
      <c r="AY2" s="377"/>
      <c r="AZ2" s="377"/>
      <c r="BA2" s="377"/>
      <c r="BB2" s="377"/>
      <c r="BC2" s="377"/>
      <c r="BD2" s="205" t="s">
        <v>8</v>
      </c>
    </row>
    <row r="3" spans="1:82" ht="27.75" customHeight="1">
      <c r="D3" s="371"/>
      <c r="E3" s="372"/>
      <c r="F3" s="372"/>
      <c r="G3" s="372"/>
      <c r="H3" s="373"/>
      <c r="I3" s="377"/>
      <c r="J3" s="377"/>
      <c r="K3" s="377"/>
      <c r="L3" s="377"/>
      <c r="M3" s="377"/>
      <c r="N3" s="377"/>
      <c r="O3" s="377"/>
      <c r="P3" s="377"/>
      <c r="Q3" s="377"/>
      <c r="R3" s="377"/>
      <c r="S3" s="377"/>
      <c r="T3" s="377"/>
      <c r="U3" s="377"/>
      <c r="V3" s="377"/>
      <c r="W3" s="377"/>
      <c r="X3" s="377"/>
      <c r="Y3" s="377"/>
      <c r="Z3" s="377"/>
      <c r="AA3" s="377"/>
      <c r="AB3" s="377"/>
      <c r="AC3" s="377"/>
      <c r="AD3" s="377"/>
      <c r="AE3" s="377"/>
      <c r="AF3" s="377"/>
      <c r="AG3" s="377"/>
      <c r="AH3" s="377"/>
      <c r="AI3" s="377"/>
      <c r="AJ3" s="377"/>
      <c r="AK3" s="377"/>
      <c r="AL3" s="377"/>
      <c r="AM3" s="377"/>
      <c r="AN3" s="377"/>
      <c r="AO3" s="377"/>
      <c r="AP3" s="377"/>
      <c r="AQ3" s="377"/>
      <c r="AR3" s="377"/>
      <c r="AS3" s="377"/>
      <c r="AT3" s="377"/>
      <c r="AU3" s="377"/>
      <c r="AV3" s="377"/>
      <c r="AW3" s="377"/>
      <c r="AX3" s="377"/>
      <c r="AY3" s="377"/>
      <c r="AZ3" s="377"/>
      <c r="BA3" s="377"/>
      <c r="BB3" s="377"/>
      <c r="BC3" s="377"/>
      <c r="BD3" s="210" t="s">
        <v>39</v>
      </c>
    </row>
    <row r="4" spans="1:82" ht="27.75" customHeight="1">
      <c r="D4" s="371"/>
      <c r="E4" s="372"/>
      <c r="F4" s="372"/>
      <c r="G4" s="372"/>
      <c r="H4" s="373"/>
      <c r="I4" s="377"/>
      <c r="J4" s="377"/>
      <c r="K4" s="377"/>
      <c r="L4" s="377"/>
      <c r="M4" s="377"/>
      <c r="N4" s="377"/>
      <c r="O4" s="377"/>
      <c r="P4" s="377"/>
      <c r="Q4" s="377"/>
      <c r="R4" s="377"/>
      <c r="S4" s="377"/>
      <c r="T4" s="377"/>
      <c r="U4" s="377"/>
      <c r="V4" s="377"/>
      <c r="W4" s="377"/>
      <c r="X4" s="377"/>
      <c r="Y4" s="377"/>
      <c r="Z4" s="377"/>
      <c r="AA4" s="377"/>
      <c r="AB4" s="377"/>
      <c r="AC4" s="377"/>
      <c r="AD4" s="377"/>
      <c r="AE4" s="377"/>
      <c r="AF4" s="377"/>
      <c r="AG4" s="377"/>
      <c r="AH4" s="377"/>
      <c r="AI4" s="377"/>
      <c r="AJ4" s="377"/>
      <c r="AK4" s="377"/>
      <c r="AL4" s="377"/>
      <c r="AM4" s="377"/>
      <c r="AN4" s="377"/>
      <c r="AO4" s="377"/>
      <c r="AP4" s="377"/>
      <c r="AQ4" s="377"/>
      <c r="AR4" s="377"/>
      <c r="AS4" s="377"/>
      <c r="AT4" s="377"/>
      <c r="AU4" s="377"/>
      <c r="AV4" s="377"/>
      <c r="AW4" s="377"/>
      <c r="AX4" s="377"/>
      <c r="AY4" s="377"/>
      <c r="AZ4" s="377"/>
      <c r="BA4" s="377"/>
      <c r="BB4" s="377"/>
      <c r="BC4" s="377"/>
      <c r="BD4" s="206" t="s">
        <v>4</v>
      </c>
    </row>
    <row r="5" spans="1:82" ht="27.75" customHeight="1" thickBot="1">
      <c r="D5" s="374"/>
      <c r="E5" s="375"/>
      <c r="F5" s="375"/>
      <c r="G5" s="375"/>
      <c r="H5" s="376"/>
      <c r="I5" s="377"/>
      <c r="J5" s="377"/>
      <c r="K5" s="377"/>
      <c r="L5" s="377"/>
      <c r="M5" s="377"/>
      <c r="N5" s="377"/>
      <c r="O5" s="377"/>
      <c r="P5" s="377"/>
      <c r="Q5" s="377"/>
      <c r="R5" s="377"/>
      <c r="S5" s="377"/>
      <c r="T5" s="377"/>
      <c r="U5" s="377"/>
      <c r="V5" s="377"/>
      <c r="W5" s="377"/>
      <c r="X5" s="377"/>
      <c r="Y5" s="377"/>
      <c r="Z5" s="377"/>
      <c r="AA5" s="377"/>
      <c r="AB5" s="377"/>
      <c r="AC5" s="377"/>
      <c r="AD5" s="377"/>
      <c r="AE5" s="377"/>
      <c r="AF5" s="377"/>
      <c r="AG5" s="377"/>
      <c r="AH5" s="377"/>
      <c r="AI5" s="377"/>
      <c r="AJ5" s="377"/>
      <c r="AK5" s="377"/>
      <c r="AL5" s="377"/>
      <c r="AM5" s="377"/>
      <c r="AN5" s="377"/>
      <c r="AO5" s="377"/>
      <c r="AP5" s="377"/>
      <c r="AQ5" s="377"/>
      <c r="AR5" s="377"/>
      <c r="AS5" s="377"/>
      <c r="AT5" s="377"/>
      <c r="AU5" s="377"/>
      <c r="AV5" s="377"/>
      <c r="AW5" s="377"/>
      <c r="AX5" s="377"/>
      <c r="AY5" s="377"/>
      <c r="AZ5" s="377"/>
      <c r="BA5" s="377"/>
      <c r="BB5" s="377"/>
      <c r="BC5" s="377"/>
      <c r="BD5" s="206" t="s">
        <v>40</v>
      </c>
    </row>
    <row r="6" spans="1:82" ht="14.1" customHeight="1">
      <c r="D6" s="113"/>
      <c r="E6" s="114"/>
      <c r="F6" s="114"/>
      <c r="G6" s="114"/>
      <c r="H6" s="114"/>
      <c r="I6" s="172"/>
      <c r="J6" s="172"/>
      <c r="K6" s="172"/>
      <c r="L6" s="172"/>
      <c r="M6" s="172"/>
      <c r="N6" s="172"/>
      <c r="O6" s="172"/>
      <c r="P6" s="172"/>
      <c r="Q6" s="172"/>
      <c r="R6" s="172"/>
      <c r="S6" s="172"/>
      <c r="T6" s="172"/>
      <c r="U6" s="172"/>
      <c r="V6" s="172"/>
      <c r="W6" s="172"/>
      <c r="X6" s="172"/>
      <c r="Y6" s="172"/>
      <c r="Z6" s="172"/>
      <c r="AA6" s="172"/>
      <c r="AB6" s="172"/>
      <c r="AC6" s="172"/>
      <c r="AD6" s="172"/>
      <c r="AE6" s="172"/>
      <c r="AF6" s="172"/>
      <c r="AG6" s="172"/>
      <c r="AH6" s="172"/>
      <c r="AI6" s="172"/>
      <c r="AJ6" s="172"/>
      <c r="AK6" s="172"/>
      <c r="AL6" s="172"/>
      <c r="AM6" s="172"/>
      <c r="AN6" s="172"/>
      <c r="AO6" s="172"/>
      <c r="AP6" s="172"/>
      <c r="AQ6" s="172"/>
      <c r="AR6" s="172"/>
      <c r="AS6" s="172"/>
      <c r="AT6" s="172"/>
      <c r="AU6" s="172"/>
      <c r="AV6" s="172"/>
      <c r="AW6" s="172"/>
      <c r="AX6" s="172"/>
      <c r="AY6" s="172"/>
      <c r="AZ6" s="172"/>
      <c r="BA6" s="172"/>
      <c r="BB6" s="172"/>
      <c r="BC6" s="172"/>
      <c r="BD6" s="115"/>
    </row>
    <row r="7" spans="1:82" ht="26.25" customHeight="1">
      <c r="D7" s="381" t="s">
        <v>41</v>
      </c>
      <c r="E7" s="382"/>
      <c r="F7" s="382"/>
      <c r="G7" s="383"/>
      <c r="H7" s="378" t="s">
        <v>422</v>
      </c>
      <c r="I7" s="379"/>
      <c r="J7" s="379"/>
      <c r="K7" s="379"/>
      <c r="L7" s="379"/>
      <c r="M7" s="379"/>
      <c r="N7" s="379"/>
      <c r="O7" s="379"/>
      <c r="P7" s="379"/>
      <c r="Q7" s="379"/>
      <c r="R7" s="379"/>
      <c r="S7" s="379"/>
      <c r="T7" s="379"/>
      <c r="U7" s="379"/>
      <c r="V7" s="379"/>
      <c r="W7" s="379"/>
      <c r="X7" s="379"/>
      <c r="Y7" s="379"/>
      <c r="Z7" s="379"/>
      <c r="AA7" s="379"/>
      <c r="AB7" s="379"/>
      <c r="AC7" s="379"/>
      <c r="AD7" s="379"/>
      <c r="AE7" s="379"/>
      <c r="AF7" s="379"/>
      <c r="AG7" s="379"/>
      <c r="AH7" s="379"/>
      <c r="AI7" s="379"/>
      <c r="AJ7" s="379"/>
      <c r="AK7" s="379"/>
      <c r="AL7" s="379"/>
      <c r="AM7" s="379"/>
      <c r="AN7" s="379"/>
      <c r="AO7" s="379"/>
      <c r="AP7" s="379"/>
      <c r="AQ7" s="379"/>
      <c r="AR7" s="379"/>
      <c r="AS7" s="379"/>
      <c r="AT7" s="379"/>
      <c r="AU7" s="379"/>
      <c r="AV7" s="379"/>
      <c r="AW7" s="379"/>
      <c r="AX7" s="379"/>
      <c r="AY7" s="379"/>
      <c r="AZ7" s="379"/>
      <c r="BA7" s="379"/>
      <c r="BB7" s="379"/>
      <c r="BC7" s="379"/>
      <c r="BD7" s="379"/>
      <c r="BE7" s="173"/>
      <c r="BF7" s="173"/>
      <c r="BG7" s="173"/>
      <c r="BH7" s="173"/>
      <c r="BI7" s="173"/>
      <c r="BJ7" s="173"/>
      <c r="BK7" s="173"/>
      <c r="BL7" s="173"/>
      <c r="BM7" s="173"/>
      <c r="BN7" s="173"/>
      <c r="BO7" s="173"/>
      <c r="BP7" s="173"/>
      <c r="BQ7" s="173"/>
      <c r="BR7" s="173"/>
      <c r="BS7" s="173"/>
      <c r="BT7" s="173"/>
      <c r="BU7" s="173"/>
      <c r="BV7" s="173"/>
      <c r="BW7" s="173"/>
      <c r="BX7" s="173"/>
      <c r="BY7" s="173"/>
      <c r="BZ7" s="173"/>
      <c r="CA7" s="173"/>
      <c r="CB7" s="173"/>
      <c r="CC7" s="173"/>
      <c r="CD7" s="173"/>
    </row>
    <row r="8" spans="1:82" ht="30" customHeight="1">
      <c r="D8" s="381" t="s">
        <v>42</v>
      </c>
      <c r="E8" s="382"/>
      <c r="F8" s="382"/>
      <c r="G8" s="383"/>
      <c r="H8" s="378" t="s">
        <v>423</v>
      </c>
      <c r="I8" s="379"/>
      <c r="J8" s="379"/>
      <c r="K8" s="379"/>
      <c r="L8" s="379"/>
      <c r="M8" s="379"/>
      <c r="N8" s="379"/>
      <c r="O8" s="379"/>
      <c r="P8" s="379"/>
      <c r="Q8" s="379"/>
      <c r="R8" s="379"/>
      <c r="S8" s="379"/>
      <c r="T8" s="379"/>
      <c r="U8" s="379"/>
      <c r="V8" s="379"/>
      <c r="W8" s="379"/>
      <c r="X8" s="379"/>
      <c r="Y8" s="379"/>
      <c r="Z8" s="379"/>
      <c r="AA8" s="379"/>
      <c r="AB8" s="379"/>
      <c r="AC8" s="379"/>
      <c r="AD8" s="379"/>
      <c r="AE8" s="379"/>
      <c r="AF8" s="379"/>
      <c r="AG8" s="379"/>
      <c r="AH8" s="379"/>
      <c r="AI8" s="379"/>
      <c r="AJ8" s="379"/>
      <c r="AK8" s="379"/>
      <c r="AL8" s="379"/>
      <c r="AM8" s="379"/>
      <c r="AN8" s="379"/>
      <c r="AO8" s="379"/>
      <c r="AP8" s="379"/>
      <c r="AQ8" s="379"/>
      <c r="AR8" s="379"/>
      <c r="AS8" s="379"/>
      <c r="AT8" s="379"/>
      <c r="AU8" s="379"/>
      <c r="AV8" s="379"/>
      <c r="AW8" s="379"/>
      <c r="AX8" s="379"/>
      <c r="AY8" s="379"/>
      <c r="AZ8" s="379"/>
      <c r="BA8" s="379"/>
      <c r="BB8" s="379"/>
      <c r="BC8" s="379"/>
      <c r="BD8" s="379"/>
      <c r="BE8" s="173"/>
      <c r="BF8" s="173"/>
      <c r="BG8" s="173"/>
      <c r="BH8" s="173"/>
      <c r="BI8" s="173"/>
      <c r="BJ8" s="173"/>
      <c r="BK8" s="173"/>
      <c r="BL8" s="173"/>
      <c r="BM8" s="173"/>
      <c r="BN8" s="173"/>
      <c r="BO8" s="173"/>
      <c r="BP8" s="173"/>
      <c r="BQ8" s="173"/>
      <c r="BR8" s="173"/>
      <c r="BS8" s="173"/>
      <c r="BT8" s="173"/>
      <c r="BU8" s="173"/>
      <c r="BV8" s="173"/>
      <c r="BW8" s="173"/>
      <c r="BX8" s="173"/>
      <c r="BY8" s="173"/>
      <c r="BZ8" s="173"/>
      <c r="CA8" s="173"/>
      <c r="CB8" s="173"/>
      <c r="CC8" s="173"/>
      <c r="CD8" s="173"/>
    </row>
    <row r="9" spans="1:82" ht="24" customHeight="1">
      <c r="D9" s="381" t="s">
        <v>43</v>
      </c>
      <c r="E9" s="382"/>
      <c r="F9" s="382"/>
      <c r="G9" s="383"/>
      <c r="H9" s="378" t="s">
        <v>424</v>
      </c>
      <c r="I9" s="379"/>
      <c r="J9" s="379"/>
      <c r="K9" s="379"/>
      <c r="L9" s="379"/>
      <c r="M9" s="379"/>
      <c r="N9" s="379"/>
      <c r="O9" s="379"/>
      <c r="P9" s="379"/>
      <c r="Q9" s="379"/>
      <c r="R9" s="379"/>
      <c r="S9" s="379"/>
      <c r="T9" s="379"/>
      <c r="U9" s="379"/>
      <c r="V9" s="379"/>
      <c r="W9" s="379"/>
      <c r="X9" s="379"/>
      <c r="Y9" s="379"/>
      <c r="Z9" s="379"/>
      <c r="AA9" s="379"/>
      <c r="AB9" s="379"/>
      <c r="AC9" s="379"/>
      <c r="AD9" s="379"/>
      <c r="AE9" s="379"/>
      <c r="AF9" s="379"/>
      <c r="AG9" s="379"/>
      <c r="AH9" s="379"/>
      <c r="AI9" s="379"/>
      <c r="AJ9" s="379"/>
      <c r="AK9" s="379"/>
      <c r="AL9" s="379"/>
      <c r="AM9" s="379"/>
      <c r="AN9" s="379"/>
      <c r="AO9" s="379"/>
      <c r="AP9" s="379"/>
      <c r="AQ9" s="379"/>
      <c r="AR9" s="379"/>
      <c r="AS9" s="379"/>
      <c r="AT9" s="379"/>
      <c r="AU9" s="379"/>
      <c r="AV9" s="379"/>
      <c r="AW9" s="379"/>
      <c r="AX9" s="379"/>
      <c r="AY9" s="379"/>
      <c r="AZ9" s="379"/>
      <c r="BA9" s="379"/>
      <c r="BB9" s="379"/>
      <c r="BC9" s="379"/>
      <c r="BD9" s="379"/>
      <c r="BE9" s="173"/>
      <c r="BF9" s="173"/>
      <c r="BG9" s="173"/>
      <c r="BH9" s="173"/>
      <c r="BI9" s="173"/>
      <c r="BJ9" s="173"/>
      <c r="BK9" s="173"/>
      <c r="BL9" s="173"/>
      <c r="BM9" s="173"/>
      <c r="BN9" s="173"/>
      <c r="BO9" s="173"/>
      <c r="BP9" s="173"/>
      <c r="BQ9" s="173"/>
      <c r="BR9" s="173"/>
      <c r="BS9" s="173"/>
      <c r="BT9" s="173"/>
      <c r="BU9" s="173"/>
      <c r="BV9" s="173"/>
      <c r="BW9" s="173"/>
      <c r="BX9" s="173"/>
      <c r="BY9" s="173"/>
      <c r="BZ9" s="173"/>
      <c r="CA9" s="173"/>
      <c r="CB9" s="173"/>
      <c r="CC9" s="173"/>
      <c r="CD9" s="173"/>
    </row>
    <row r="10" spans="1:82" s="174" customFormat="1" ht="24" customHeight="1">
      <c r="D10" s="175"/>
      <c r="E10" s="176"/>
      <c r="F10" s="177"/>
      <c r="G10" s="177"/>
      <c r="H10" s="175"/>
      <c r="I10" s="178"/>
      <c r="J10" s="178"/>
      <c r="K10" s="178"/>
      <c r="L10" s="178"/>
      <c r="M10" s="178"/>
      <c r="N10" s="178"/>
      <c r="O10" s="178"/>
      <c r="P10" s="178"/>
      <c r="Q10" s="178"/>
      <c r="R10" s="178"/>
      <c r="S10" s="178"/>
      <c r="T10" s="178"/>
      <c r="U10" s="178"/>
      <c r="V10" s="178"/>
      <c r="W10" s="178"/>
      <c r="X10" s="178"/>
      <c r="Y10" s="178"/>
      <c r="Z10" s="178"/>
      <c r="AA10" s="178"/>
      <c r="AB10" s="178"/>
      <c r="AC10" s="178"/>
      <c r="AD10" s="178"/>
      <c r="AE10" s="178"/>
      <c r="AF10" s="178"/>
      <c r="AG10" s="178"/>
      <c r="AH10" s="178"/>
      <c r="AI10" s="178"/>
      <c r="AJ10" s="178"/>
      <c r="AK10" s="178"/>
      <c r="AL10" s="178"/>
      <c r="AM10" s="178"/>
      <c r="AN10" s="178"/>
      <c r="AO10" s="178"/>
      <c r="AP10" s="178"/>
      <c r="AQ10" s="178"/>
      <c r="AR10" s="178"/>
      <c r="AS10" s="207"/>
      <c r="AT10" s="207"/>
      <c r="AU10" s="207"/>
      <c r="AV10" s="207"/>
      <c r="AW10" s="207"/>
      <c r="AX10" s="207"/>
      <c r="AY10" s="207"/>
      <c r="AZ10" s="179"/>
      <c r="BA10" s="179"/>
      <c r="BB10" s="179"/>
      <c r="BC10" s="179"/>
      <c r="BD10" s="179"/>
    </row>
    <row r="11" spans="1:82" s="174" customFormat="1" ht="25.5" customHeight="1">
      <c r="A11" s="318" t="s">
        <v>9</v>
      </c>
      <c r="B11" s="318"/>
      <c r="C11" s="319"/>
      <c r="D11" s="351" t="s">
        <v>44</v>
      </c>
      <c r="E11" s="352"/>
      <c r="F11" s="352"/>
      <c r="G11" s="352"/>
      <c r="H11" s="352"/>
      <c r="I11" s="352"/>
      <c r="J11" s="352"/>
      <c r="K11" s="352"/>
      <c r="L11" s="352"/>
      <c r="M11" s="352"/>
      <c r="N11" s="352"/>
      <c r="O11" s="352"/>
      <c r="P11" s="352"/>
      <c r="Q11" s="352"/>
      <c r="R11" s="352"/>
      <c r="S11" s="352"/>
      <c r="T11" s="352"/>
      <c r="U11" s="352"/>
      <c r="V11" s="352"/>
      <c r="W11" s="352"/>
      <c r="X11" s="352"/>
      <c r="Y11" s="352"/>
      <c r="Z11" s="352"/>
      <c r="AA11" s="352"/>
      <c r="AB11" s="352"/>
      <c r="AC11" s="352"/>
      <c r="AD11" s="352"/>
      <c r="AE11" s="352"/>
      <c r="AF11" s="352"/>
      <c r="AG11" s="352"/>
      <c r="AH11" s="352"/>
      <c r="AI11" s="352"/>
      <c r="AJ11" s="352"/>
      <c r="AK11" s="352"/>
      <c r="AL11" s="352"/>
      <c r="AM11" s="352"/>
      <c r="AN11" s="352"/>
      <c r="AO11" s="352"/>
      <c r="AP11" s="352"/>
      <c r="AQ11" s="352"/>
      <c r="AR11" s="365"/>
      <c r="AS11" s="342" t="s">
        <v>45</v>
      </c>
      <c r="AT11" s="342"/>
      <c r="AU11" s="342"/>
      <c r="AV11" s="342"/>
      <c r="AW11" s="342"/>
      <c r="AX11" s="342"/>
      <c r="AY11" s="342"/>
      <c r="AZ11" s="357" t="s">
        <v>46</v>
      </c>
      <c r="BA11" s="358"/>
      <c r="BB11" s="358"/>
      <c r="BC11" s="359" t="s">
        <v>47</v>
      </c>
      <c r="BD11" s="360"/>
    </row>
    <row r="12" spans="1:82" ht="27" customHeight="1">
      <c r="D12" s="327" t="s">
        <v>48</v>
      </c>
      <c r="E12" s="327"/>
      <c r="F12" s="327"/>
      <c r="G12" s="327"/>
      <c r="H12" s="327"/>
      <c r="I12" s="380"/>
      <c r="J12" s="380"/>
      <c r="K12" s="380"/>
      <c r="L12" s="380"/>
      <c r="M12" s="380"/>
      <c r="N12" s="380"/>
      <c r="O12" s="380"/>
      <c r="P12" s="380" t="s">
        <v>49</v>
      </c>
      <c r="Q12" s="380"/>
      <c r="R12" s="380"/>
      <c r="S12" s="380"/>
      <c r="T12" s="380"/>
      <c r="U12" s="380"/>
      <c r="V12" s="380" t="s">
        <v>50</v>
      </c>
      <c r="W12" s="380"/>
      <c r="X12" s="380"/>
      <c r="Y12" s="380"/>
      <c r="Z12" s="380"/>
      <c r="AA12" s="380"/>
      <c r="AB12" s="380"/>
      <c r="AC12" s="380"/>
      <c r="AD12" s="380"/>
      <c r="AE12" s="380"/>
      <c r="AF12" s="316" t="s">
        <v>51</v>
      </c>
      <c r="AG12" s="380" t="s">
        <v>52</v>
      </c>
      <c r="AH12" s="380"/>
      <c r="AI12" s="380"/>
      <c r="AJ12" s="380"/>
      <c r="AK12" s="380"/>
      <c r="AL12" s="380"/>
      <c r="AM12" s="380"/>
      <c r="AN12" s="208"/>
      <c r="AO12" s="351" t="s">
        <v>53</v>
      </c>
      <c r="AP12" s="352"/>
      <c r="AQ12" s="352"/>
      <c r="AR12" s="352"/>
      <c r="AS12" s="342"/>
      <c r="AT12" s="342"/>
      <c r="AU12" s="342"/>
      <c r="AV12" s="342"/>
      <c r="AW12" s="342"/>
      <c r="AX12" s="342"/>
      <c r="AY12" s="342"/>
      <c r="AZ12" s="357"/>
      <c r="BA12" s="358"/>
      <c r="BB12" s="358"/>
      <c r="BC12" s="361"/>
      <c r="BD12" s="362"/>
      <c r="BE12" s="173"/>
      <c r="BF12" s="173"/>
      <c r="BG12" s="173"/>
      <c r="BH12" s="173"/>
      <c r="BI12" s="173"/>
      <c r="BJ12" s="173"/>
      <c r="BK12" s="173"/>
      <c r="BL12" s="173"/>
      <c r="BM12" s="173"/>
      <c r="BN12" s="173"/>
      <c r="BO12" s="173"/>
      <c r="BP12" s="173"/>
      <c r="BQ12" s="173"/>
      <c r="BR12" s="173"/>
      <c r="BS12" s="173"/>
      <c r="BT12" s="173"/>
      <c r="BU12" s="173"/>
      <c r="BV12" s="173"/>
      <c r="BW12" s="173"/>
      <c r="BX12" s="173"/>
      <c r="BY12" s="173"/>
      <c r="BZ12" s="173"/>
      <c r="CA12" s="173"/>
      <c r="CB12" s="173"/>
      <c r="CC12" s="173"/>
      <c r="CD12" s="173"/>
    </row>
    <row r="13" spans="1:82" ht="29.1" customHeight="1">
      <c r="D13" s="356" t="s">
        <v>54</v>
      </c>
      <c r="E13" s="326" t="s">
        <v>55</v>
      </c>
      <c r="F13" s="320" t="s">
        <v>56</v>
      </c>
      <c r="G13" s="322" t="s">
        <v>57</v>
      </c>
      <c r="H13" s="327" t="s">
        <v>58</v>
      </c>
      <c r="I13" s="326" t="s">
        <v>59</v>
      </c>
      <c r="J13" s="326" t="s">
        <v>60</v>
      </c>
      <c r="K13" s="326" t="s">
        <v>420</v>
      </c>
      <c r="L13" s="322" t="s">
        <v>61</v>
      </c>
      <c r="M13" s="314" t="s">
        <v>62</v>
      </c>
      <c r="N13" s="315"/>
      <c r="O13" s="326" t="s">
        <v>63</v>
      </c>
      <c r="P13" s="326" t="s">
        <v>64</v>
      </c>
      <c r="Q13" s="327" t="s">
        <v>65</v>
      </c>
      <c r="R13" s="326" t="s">
        <v>66</v>
      </c>
      <c r="S13" s="326" t="s">
        <v>67</v>
      </c>
      <c r="T13" s="327" t="s">
        <v>65</v>
      </c>
      <c r="U13" s="326" t="s">
        <v>68</v>
      </c>
      <c r="V13" s="324" t="s">
        <v>69</v>
      </c>
      <c r="W13" s="326" t="s">
        <v>70</v>
      </c>
      <c r="X13" s="326" t="s">
        <v>71</v>
      </c>
      <c r="Y13" s="326" t="s">
        <v>72</v>
      </c>
      <c r="Z13" s="326" t="s">
        <v>73</v>
      </c>
      <c r="AA13" s="326"/>
      <c r="AB13" s="326"/>
      <c r="AC13" s="326"/>
      <c r="AD13" s="326"/>
      <c r="AE13" s="326"/>
      <c r="AF13" s="317"/>
      <c r="AG13" s="324" t="s">
        <v>74</v>
      </c>
      <c r="AH13" s="324" t="s">
        <v>75</v>
      </c>
      <c r="AI13" s="325" t="s">
        <v>65</v>
      </c>
      <c r="AJ13" s="324" t="s">
        <v>76</v>
      </c>
      <c r="AK13" s="324" t="s">
        <v>65</v>
      </c>
      <c r="AL13" s="324" t="s">
        <v>77</v>
      </c>
      <c r="AM13" s="324" t="s">
        <v>78</v>
      </c>
      <c r="AN13" s="324" t="s">
        <v>79</v>
      </c>
      <c r="AO13" s="326" t="s">
        <v>80</v>
      </c>
      <c r="AP13" s="326" t="s">
        <v>81</v>
      </c>
      <c r="AQ13" s="326" t="s">
        <v>82</v>
      </c>
      <c r="AR13" s="322" t="s">
        <v>83</v>
      </c>
      <c r="AS13" s="363" t="s">
        <v>84</v>
      </c>
      <c r="AT13" s="363" t="s">
        <v>85</v>
      </c>
      <c r="AU13" s="366" t="s">
        <v>418</v>
      </c>
      <c r="AV13" s="366" t="s">
        <v>86</v>
      </c>
      <c r="AW13" s="363" t="s">
        <v>419</v>
      </c>
      <c r="AX13" s="363" t="s">
        <v>87</v>
      </c>
      <c r="AY13" s="363" t="s">
        <v>88</v>
      </c>
      <c r="AZ13" s="326" t="s">
        <v>89</v>
      </c>
      <c r="BA13" s="326" t="s">
        <v>417</v>
      </c>
      <c r="BB13" s="326" t="s">
        <v>90</v>
      </c>
      <c r="BC13" s="363" t="s">
        <v>89</v>
      </c>
      <c r="BD13" s="363" t="s">
        <v>91</v>
      </c>
      <c r="BE13" s="173"/>
      <c r="BF13" s="173"/>
      <c r="BG13" s="173"/>
      <c r="BH13" s="173"/>
      <c r="BI13" s="173"/>
      <c r="BJ13" s="173"/>
      <c r="BK13" s="173"/>
      <c r="BL13" s="173"/>
      <c r="BM13" s="173"/>
      <c r="BN13" s="173"/>
      <c r="BO13" s="173"/>
      <c r="BP13" s="173"/>
      <c r="BQ13" s="173"/>
      <c r="BR13" s="173"/>
      <c r="BS13" s="173"/>
      <c r="BT13" s="173"/>
      <c r="BU13" s="173"/>
      <c r="BV13" s="173"/>
      <c r="BW13" s="173"/>
      <c r="BX13" s="173"/>
      <c r="BY13" s="173"/>
      <c r="BZ13" s="173"/>
      <c r="CA13" s="173"/>
      <c r="CB13" s="173"/>
      <c r="CC13" s="173"/>
      <c r="CD13" s="173"/>
    </row>
    <row r="14" spans="1:82" s="182" customFormat="1" ht="29.1" customHeight="1" thickBot="1">
      <c r="A14" s="180"/>
      <c r="B14" s="180"/>
      <c r="C14" s="180"/>
      <c r="D14" s="316"/>
      <c r="E14" s="322"/>
      <c r="F14" s="321"/>
      <c r="G14" s="323"/>
      <c r="H14" s="320"/>
      <c r="I14" s="322"/>
      <c r="J14" s="322"/>
      <c r="K14" s="320"/>
      <c r="L14" s="323"/>
      <c r="M14" s="214" t="s">
        <v>92</v>
      </c>
      <c r="N14" s="214" t="s">
        <v>93</v>
      </c>
      <c r="O14" s="322"/>
      <c r="P14" s="322"/>
      <c r="Q14" s="320"/>
      <c r="R14" s="322"/>
      <c r="S14" s="320"/>
      <c r="T14" s="320"/>
      <c r="U14" s="322"/>
      <c r="V14" s="325"/>
      <c r="W14" s="322"/>
      <c r="X14" s="322"/>
      <c r="Y14" s="322"/>
      <c r="Z14" s="211" t="s">
        <v>94</v>
      </c>
      <c r="AA14" s="211" t="s">
        <v>95</v>
      </c>
      <c r="AB14" s="211" t="s">
        <v>96</v>
      </c>
      <c r="AC14" s="211" t="s">
        <v>51</v>
      </c>
      <c r="AD14" s="211" t="s">
        <v>97</v>
      </c>
      <c r="AE14" s="211" t="s">
        <v>98</v>
      </c>
      <c r="AF14" s="317"/>
      <c r="AG14" s="325"/>
      <c r="AH14" s="325"/>
      <c r="AI14" s="348"/>
      <c r="AJ14" s="325"/>
      <c r="AK14" s="325"/>
      <c r="AL14" s="325"/>
      <c r="AM14" s="325"/>
      <c r="AN14" s="325"/>
      <c r="AO14" s="322"/>
      <c r="AP14" s="322"/>
      <c r="AQ14" s="322"/>
      <c r="AR14" s="323"/>
      <c r="AS14" s="364"/>
      <c r="AT14" s="364"/>
      <c r="AU14" s="367"/>
      <c r="AV14" s="367"/>
      <c r="AW14" s="364"/>
      <c r="AX14" s="364"/>
      <c r="AY14" s="364"/>
      <c r="AZ14" s="322"/>
      <c r="BA14" s="322"/>
      <c r="BB14" s="322"/>
      <c r="BC14" s="364"/>
      <c r="BD14" s="364"/>
      <c r="BE14" s="181"/>
      <c r="BF14" s="181"/>
      <c r="BG14" s="181"/>
      <c r="BH14" s="181"/>
      <c r="BI14" s="181"/>
      <c r="BJ14" s="181"/>
      <c r="BK14" s="181"/>
      <c r="BL14" s="181"/>
      <c r="BM14" s="181"/>
      <c r="BN14" s="181"/>
      <c r="BO14" s="181"/>
      <c r="BP14" s="181"/>
      <c r="BQ14" s="181"/>
      <c r="BR14" s="181"/>
      <c r="BS14" s="181"/>
      <c r="BT14" s="181"/>
      <c r="BU14" s="181"/>
      <c r="BV14" s="181"/>
      <c r="BW14" s="181"/>
      <c r="BX14" s="181"/>
      <c r="BY14" s="181"/>
      <c r="BZ14" s="181"/>
      <c r="CA14" s="181"/>
      <c r="CB14" s="181"/>
      <c r="CC14" s="181"/>
      <c r="CD14" s="181"/>
    </row>
    <row r="15" spans="1:82" s="188" customFormat="1" ht="153" customHeight="1">
      <c r="D15" s="331">
        <v>1</v>
      </c>
      <c r="E15" s="332" t="s">
        <v>143</v>
      </c>
      <c r="F15" s="332" t="s">
        <v>173</v>
      </c>
      <c r="G15" s="386"/>
      <c r="H15" s="332" t="s">
        <v>183</v>
      </c>
      <c r="I15" s="384" t="s">
        <v>427</v>
      </c>
      <c r="J15" s="384" t="s">
        <v>426</v>
      </c>
      <c r="K15" s="384" t="s">
        <v>425</v>
      </c>
      <c r="L15" s="328" t="s">
        <v>162</v>
      </c>
      <c r="M15" s="329"/>
      <c r="N15" s="329"/>
      <c r="O15" s="661">
        <v>100</v>
      </c>
      <c r="P15" s="349" t="str">
        <f>IF(O15&lt;=0,"",IF(O15&lt;=2,"Muy Baja",IF(O15&lt;=24,"Baja",IF(O15&lt;=500,"Media",IF(O15&lt;=5000,"Alta","Muy Alta")))))</f>
        <v>Media</v>
      </c>
      <c r="Q15" s="346">
        <f t="shared" ref="Q15" si="0">IF(P15="","",IF(P15="Muy Baja",0.2,IF(P15="Baja",0.4,IF(P15="Media",0.6,IF(P15="Alta",0.8,IF(P15="Muy Alta",1,))))))</f>
        <v>0.6</v>
      </c>
      <c r="R15" s="664" t="s">
        <v>120</v>
      </c>
      <c r="S15" s="333" t="str">
        <f>IFERROR(VLOOKUP(R15,Criterios[],2,FALSE),"")</f>
        <v>Moderado</v>
      </c>
      <c r="T15" s="346">
        <f t="shared" ref="T15" si="1">IF(S15="","",IF(S15="Leve",0.2,IF(S15="Menor",0.4,IF(S15="Moderado",0.6,IF(S15="Mayor",0.8,IF(S15="Catastrófico",1,))))))</f>
        <v>0.6</v>
      </c>
      <c r="U15" s="333" t="str">
        <f>IF(OR(AND(P15="Muy Baja",S15="Leve"),AND(P15="Muy Baja",S15="Menor"),AND(P15="Baja",S15="Leve")),"Bajo",IF(OR(AND(P15="Muy baja",S15="Moderado"),AND(P15="Baja",S15="Menor"),AND(P15="Baja",S15="Moderado"),AND(P15="Media",S15="Leve"),AND(P15="Media",S15="Menor"),AND(P15="Media",S15="Moderado"),AND(P15="Alta",S15="Leve"),AND(P15="Alta",S15="Menor")),"Moderado",IF(OR(AND(P15="Muy Baja",S15="Mayor"),AND(P15="Baja",S15="Mayor"),AND(P15="Media",S15="Mayor"),AND(P15="Alta",S15="Moderado"),AND(P15="Alta",S15="Mayor"),AND(P15="Muy Alta",S15="Leve"),AND(P15="Muy Alta",S15="Menor"),AND(P15="Muy Alta",S15="Moderado"),AND(P15="Muy Alta",S15="Mayor")),"Alto",IF(OR(AND(P15="Muy Baja",S15="Catastrófico"),AND(P15="Baja",S15="Catastrófico"),AND(P15="Media",S15="Catastrófico"),AND(P15="Alta",S15="Catastrófico"),AND(P15="Muy Alta",S15="Catastrófico")),"Extremo",""))))</f>
        <v>Moderado</v>
      </c>
      <c r="V15" s="243">
        <v>1</v>
      </c>
      <c r="W15" s="238" t="s">
        <v>436</v>
      </c>
      <c r="X15" s="215" t="s">
        <v>434</v>
      </c>
      <c r="Y15" s="239" t="str">
        <f t="shared" ref="Y15:Y21" si="2">IF(OR(Z15="Preventivo",Z15="Detectivo"),"Probabilidad",IF(Z15="Correctivo","Impacto",""))</f>
        <v>Probabilidad</v>
      </c>
      <c r="Z15" s="248" t="s">
        <v>151</v>
      </c>
      <c r="AA15" s="248" t="s">
        <v>165</v>
      </c>
      <c r="AB15" s="242" t="str">
        <f t="shared" ref="AB15:AB16" si="3">IF(AND(Z15="Preventivo",AA15="Automático"),"50%",IF(AND(Z15="Preventivo",AA15="Manual"),"40%",IF(AND(Z15="Detectivo",AA15="Automático"),"40%",IF(AND(Z15="Detectivo",AA15="Manual"),"30%",IF(AND(Z15="Correctivo",AA15="Automático"),"35%",IF(AND(Z15="Correctivo",AA15="Manual"),"25%",""))))))</f>
        <v>40%</v>
      </c>
      <c r="AC15" s="248" t="s">
        <v>166</v>
      </c>
      <c r="AD15" s="248" t="s">
        <v>154</v>
      </c>
      <c r="AE15" s="248" t="s">
        <v>412</v>
      </c>
      <c r="AF15" s="223" t="s">
        <v>435</v>
      </c>
      <c r="AG15" s="334">
        <f>IFERROR(IF(Y15="Probabilidad",Q15-(Q15*((AB15+AB16)/2)),IF(Y15="Impacto",Q15,"")),"")</f>
        <v>0.36</v>
      </c>
      <c r="AH15" s="335" t="str">
        <f>IFERROR(IF(AG15="","",IF(AG15&lt;=0.2,"Muy Baja",IF(AG15&lt;=0.4,"Baja",IF(AG15&lt;=0.6,"Media",IF(AG15&lt;=0.8,"Alta","Muy Alta"))))),"")</f>
        <v>Baja</v>
      </c>
      <c r="AI15" s="346">
        <f>+AG15</f>
        <v>0.36</v>
      </c>
      <c r="AJ15" s="335" t="str">
        <f>IFERROR(IF(AK15="","",IF(AK15&lt;=0.2,"Leve",IF(AK15&lt;=0.4,"Menor",IF(AK15&lt;=0.6,"Moderado",IF(AK15&lt;=0.8,"Mayor","Catastrófico"))))),"")</f>
        <v>Moderado</v>
      </c>
      <c r="AK15" s="346">
        <f>IFERROR(IF(Y15="Impacto",(T15-(T15*((AB15+#REF!)/2))),IF(Y15="Probabilidad",T15,"")),"")</f>
        <v>0.6</v>
      </c>
      <c r="AL15" s="335" t="str">
        <f>IFERROR(IF(OR(AND(AH15="Muy Baja",AJ15="Leve"),AND(AH15="Muy Baja",AJ15="Menor"),
AND(AH15="Baja",AJ15="Leve")
),"Bajo",IF(OR(AND(AH15="Muy Baja",AJ15="Moderado"),AND(AH15="Baja",AJ15="Menor"),
AND(AH15="Baja",AJ15="Moderado"),AND(AH15="Media",AJ15="Leve"),
AND(AH15="Media",AJ15="Menor"),
AND(AH15="Media",AJ15="Moderado"),AND(AH15="Alta",AJ15="Leve"),
AND(AH15="Alta",AJ15="Menor")
),
"Moderado",
IF(
OR(
AND(AH15="Muy Baja",AJ15="Mayor"),
AND(AH15="Alta",AJ15="Moderado"),AND(AH15="Alta",AJ15="Mayor"),
AND(AH15="Muy Alta",AJ15="Leve"),AND(AH15="Muy Alta",AJ15="Menor"),
AND(AH15="Muy Alta",AJ15="Moderado"),
AND(AH15="Muy Alta",AJ15="Mayor"),
AND(AH15="Baja",AJ15="Mayor"),
AND(AH15="Media",AJ15="Mayor")
),"Alto",
IF(
AJ15="Catastrófico",
"Extremo",""
)
)
)
),
"")</f>
        <v>Moderado</v>
      </c>
      <c r="AM15" s="344" t="s">
        <v>101</v>
      </c>
      <c r="AN15" s="672">
        <v>1</v>
      </c>
      <c r="AO15" s="667" t="s">
        <v>439</v>
      </c>
      <c r="AP15" s="668" t="s">
        <v>464</v>
      </c>
      <c r="AQ15" s="668" t="s">
        <v>465</v>
      </c>
      <c r="AR15" s="676">
        <v>46387</v>
      </c>
      <c r="AS15" s="676">
        <v>46265</v>
      </c>
      <c r="AT15" s="233" t="s">
        <v>15</v>
      </c>
      <c r="AU15" s="677" t="s">
        <v>451</v>
      </c>
      <c r="AV15" s="224" t="s">
        <v>455</v>
      </c>
      <c r="AW15" s="225" t="s">
        <v>421</v>
      </c>
      <c r="AX15" s="225"/>
      <c r="AY15" s="225" t="s">
        <v>105</v>
      </c>
      <c r="AZ15" s="678"/>
      <c r="BA15" s="247"/>
      <c r="BB15" s="226"/>
      <c r="BC15" s="235"/>
      <c r="BD15" s="227"/>
      <c r="BE15" s="203"/>
      <c r="BF15" s="190"/>
      <c r="BG15" s="190"/>
      <c r="BH15" s="190"/>
      <c r="BI15" s="190"/>
      <c r="BJ15" s="190"/>
      <c r="BK15" s="190"/>
      <c r="BL15" s="190"/>
      <c r="BM15" s="190"/>
      <c r="BN15" s="190"/>
      <c r="BO15" s="190"/>
      <c r="BP15" s="190"/>
      <c r="BQ15" s="190"/>
      <c r="BR15" s="190"/>
      <c r="BS15" s="190"/>
      <c r="BT15" s="190"/>
      <c r="BU15" s="190"/>
      <c r="BV15" s="190"/>
      <c r="BW15" s="190"/>
      <c r="BX15" s="190"/>
      <c r="BY15" s="190"/>
      <c r="BZ15" s="190"/>
      <c r="CA15" s="190"/>
      <c r="CB15" s="190"/>
      <c r="CC15" s="190"/>
      <c r="CD15" s="190"/>
    </row>
    <row r="16" spans="1:82" s="188" customFormat="1" ht="161.1" customHeight="1" thickBot="1">
      <c r="D16" s="682"/>
      <c r="E16" s="683"/>
      <c r="F16" s="683"/>
      <c r="G16" s="684"/>
      <c r="H16" s="683"/>
      <c r="I16" s="685"/>
      <c r="J16" s="685"/>
      <c r="K16" s="685"/>
      <c r="L16" s="686"/>
      <c r="M16" s="687"/>
      <c r="N16" s="687"/>
      <c r="O16" s="688"/>
      <c r="P16" s="689"/>
      <c r="Q16" s="690"/>
      <c r="R16" s="691"/>
      <c r="S16" s="692"/>
      <c r="T16" s="690"/>
      <c r="U16" s="692"/>
      <c r="V16" s="693">
        <v>2</v>
      </c>
      <c r="W16" s="694" t="s">
        <v>437</v>
      </c>
      <c r="X16" s="695" t="s">
        <v>438</v>
      </c>
      <c r="Y16" s="696" t="str">
        <f t="shared" si="2"/>
        <v>Probabilidad</v>
      </c>
      <c r="Z16" s="697" t="s">
        <v>151</v>
      </c>
      <c r="AA16" s="697" t="s">
        <v>165</v>
      </c>
      <c r="AB16" s="698" t="str">
        <f t="shared" si="3"/>
        <v>40%</v>
      </c>
      <c r="AC16" s="697" t="s">
        <v>166</v>
      </c>
      <c r="AD16" s="697" t="s">
        <v>154</v>
      </c>
      <c r="AE16" s="697" t="s">
        <v>412</v>
      </c>
      <c r="AF16" s="699" t="s">
        <v>435</v>
      </c>
      <c r="AG16" s="700"/>
      <c r="AH16" s="701"/>
      <c r="AI16" s="690"/>
      <c r="AJ16" s="701"/>
      <c r="AK16" s="690"/>
      <c r="AL16" s="701"/>
      <c r="AM16" s="702"/>
      <c r="AN16" s="703">
        <v>2</v>
      </c>
      <c r="AO16" s="704" t="s">
        <v>440</v>
      </c>
      <c r="AP16" s="705" t="s">
        <v>464</v>
      </c>
      <c r="AQ16" s="705" t="s">
        <v>466</v>
      </c>
      <c r="AR16" s="706">
        <v>46387</v>
      </c>
      <c r="AS16" s="706">
        <v>46265</v>
      </c>
      <c r="AT16" s="707" t="s">
        <v>15</v>
      </c>
      <c r="AU16" s="708" t="s">
        <v>452</v>
      </c>
      <c r="AV16" s="709" t="s">
        <v>455</v>
      </c>
      <c r="AW16" s="710" t="s">
        <v>421</v>
      </c>
      <c r="AX16" s="711"/>
      <c r="AY16" s="711" t="s">
        <v>105</v>
      </c>
      <c r="AZ16" s="712"/>
      <c r="BA16" s="713"/>
      <c r="BB16" s="714"/>
      <c r="BC16" s="715"/>
      <c r="BD16" s="716"/>
      <c r="BE16" s="204"/>
      <c r="BF16" s="190"/>
      <c r="BG16" s="190"/>
      <c r="BH16" s="190"/>
      <c r="BI16" s="190"/>
      <c r="BJ16" s="190"/>
      <c r="BK16" s="190"/>
      <c r="BL16" s="190"/>
      <c r="BM16" s="190"/>
      <c r="BN16" s="190"/>
      <c r="BO16" s="190"/>
      <c r="BP16" s="190"/>
      <c r="BQ16" s="190"/>
      <c r="BR16" s="190"/>
      <c r="BS16" s="190"/>
      <c r="BT16" s="190"/>
      <c r="BU16" s="190"/>
      <c r="BV16" s="190"/>
      <c r="BW16" s="190"/>
      <c r="BX16" s="190"/>
      <c r="BY16" s="190"/>
      <c r="BZ16" s="190"/>
      <c r="CA16" s="190"/>
      <c r="CB16" s="190"/>
      <c r="CC16" s="190"/>
      <c r="CD16" s="190"/>
    </row>
    <row r="17" spans="4:82" s="188" customFormat="1" ht="131.1" customHeight="1" thickBot="1">
      <c r="D17" s="718">
        <v>2</v>
      </c>
      <c r="E17" s="719" t="s">
        <v>143</v>
      </c>
      <c r="F17" s="719" t="s">
        <v>173</v>
      </c>
      <c r="G17" s="720"/>
      <c r="H17" s="719" t="s">
        <v>183</v>
      </c>
      <c r="I17" s="721" t="s">
        <v>429</v>
      </c>
      <c r="J17" s="721" t="s">
        <v>430</v>
      </c>
      <c r="K17" s="721" t="s">
        <v>428</v>
      </c>
      <c r="L17" s="722" t="s">
        <v>162</v>
      </c>
      <c r="M17" s="723"/>
      <c r="N17" s="723"/>
      <c r="O17" s="724">
        <v>15</v>
      </c>
      <c r="P17" s="725" t="str">
        <f>IF(O17&lt;=0,"",IF(O17&lt;=2,"Muy Baja",IF(O17&lt;=24,"Baja",IF(O17&lt;=500,"Media",IF(O17&lt;=5000,"Alta","Muy Alta")))))</f>
        <v>Baja</v>
      </c>
      <c r="Q17" s="726">
        <f t="shared" ref="Q17" si="4">IF(P17="","",IF(P17="Muy Baja",0.2,IF(P17="Baja",0.4,IF(P17="Media",0.6,IF(P17="Alta",0.8,IF(P17="Muy Alta",1,))))))</f>
        <v>0.4</v>
      </c>
      <c r="R17" s="727" t="s">
        <v>132</v>
      </c>
      <c r="S17" s="728" t="str">
        <f>IFERROR(VLOOKUP(R17,Criterios[],2,FALSE),"")</f>
        <v>Mayor</v>
      </c>
      <c r="T17" s="726">
        <f t="shared" ref="T17" si="5">IF(S17="","",IF(S17="Leve",0.2,IF(S17="Menor",0.4,IF(S17="Moderado",0.6,IF(S17="Mayor",0.8,IF(S17="Catastrófico",1,))))))</f>
        <v>0.8</v>
      </c>
      <c r="U17" s="728" t="str">
        <f>IF(OR(AND(P17="Muy Baja",S17="Leve"),AND(P17="Muy Baja",S17="Menor"),AND(P17="Baja",S17="Leve")),"Bajo",IF(OR(AND(P17="Muy baja",S17="Moderado"),AND(P17="Baja",S17="Menor"),AND(P17="Baja",S17="Moderado"),AND(P17="Media",S17="Leve"),AND(P17="Media",S17="Menor"),AND(P17="Media",S17="Moderado"),AND(P17="Alta",S17="Leve"),AND(P17="Alta",S17="Menor")),"Moderado",IF(OR(AND(P17="Muy Baja",S17="Mayor"),AND(P17="Baja",S17="Mayor"),AND(P17="Media",S17="Mayor"),AND(P17="Alta",S17="Moderado"),AND(P17="Alta",S17="Mayor"),AND(P17="Muy Alta",S17="Leve"),AND(P17="Muy Alta",S17="Menor"),AND(P17="Muy Alta",S17="Moderado"),AND(P17="Muy Alta",S17="Mayor")),"Alto",IF(OR(AND(P17="Muy Baja",S17="Catastrófico"),AND(P17="Baja",S17="Catastrófico"),AND(P17="Media",S17="Catastrófico"),AND(P17="Alta",S17="Catastrófico"),AND(P17="Muy Alta",S17="Catastrófico")),"Extremo",""))))</f>
        <v>Alto</v>
      </c>
      <c r="V17" s="719">
        <v>1</v>
      </c>
      <c r="W17" s="729" t="s">
        <v>453</v>
      </c>
      <c r="X17" s="730" t="s">
        <v>441</v>
      </c>
      <c r="Y17" s="731" t="str">
        <f t="shared" ref="Y17" si="6">IF(OR(Z17="Preventivo",Z17="Detectivo"),"Probabilidad",IF(Z17="Correctivo","Impacto",""))</f>
        <v>Probabilidad</v>
      </c>
      <c r="Z17" s="732" t="s">
        <v>151</v>
      </c>
      <c r="AA17" s="732" t="s">
        <v>165</v>
      </c>
      <c r="AB17" s="726" t="str">
        <f t="shared" ref="AB17" si="7">IF(AND(Z17="Preventivo",AA17="Automático"),"50%",IF(AND(Z17="Preventivo",AA17="Manual"),"40%",IF(AND(Z17="Detectivo",AA17="Automático"),"40%",IF(AND(Z17="Detectivo",AA17="Manual"),"30%",IF(AND(Z17="Correctivo",AA17="Automático"),"35%",IF(AND(Z17="Correctivo",AA17="Manual"),"25%",""))))))</f>
        <v>40%</v>
      </c>
      <c r="AC17" s="732" t="s">
        <v>166</v>
      </c>
      <c r="AD17" s="732" t="s">
        <v>154</v>
      </c>
      <c r="AE17" s="732" t="s">
        <v>412</v>
      </c>
      <c r="AF17" s="733" t="s">
        <v>435</v>
      </c>
      <c r="AG17" s="734">
        <f>IFERROR(IF(Y17="Probabilidad",Q17-(Q17*((AB17))),IF(Y17="Impacto",Q17,"")),"")</f>
        <v>0.24</v>
      </c>
      <c r="AH17" s="735" t="str">
        <f>IFERROR(IF(AG17="","",IF(AG17&lt;=0.2,"Muy Baja",IF(AG17&lt;=0.4,"Baja",IF(AG17&lt;=0.6,"Media",IF(AG17&lt;=0.8,"Alta","Muy Alta"))))),"")</f>
        <v>Baja</v>
      </c>
      <c r="AI17" s="726">
        <f t="shared" ref="AI17" si="8">+AG17</f>
        <v>0.24</v>
      </c>
      <c r="AJ17" s="735" t="str">
        <f t="shared" ref="AJ17" si="9">IFERROR(IF(AK17="","",IF(AK17&lt;=0.2,"Leve",IF(AK17&lt;=0.4,"Menor",IF(AK17&lt;=0.6,"Moderado",IF(AK17&lt;=0.8,"Mayor","Catastrófico"))))),"")</f>
        <v>Mayor</v>
      </c>
      <c r="AK17" s="726">
        <f>IFERROR(IF(Y17="Impacto",(T17-(T17*((AB17+#REF!+#REF!+#REF!)/4))),IF(Y17="Probabilidad",T17,"")),"")</f>
        <v>0.8</v>
      </c>
      <c r="AL17" s="735" t="str">
        <f>IFERROR(IF(OR(AND(AH17="Muy Baja",AJ17="Leve"),AND(AH17="Muy Baja",AJ17="Menor"),
AND(AH17="Baja",AJ17="Leve")
),"Bajo",IF(OR(AND(AH17="Muy Baja",AJ17="Moderado"),AND(AH17="Baja",AJ17="Menor"),
AND(AH17="Baja",AJ17="Moderado"),AND(AH17="Media",AJ17="Leve"),
AND(AH17="Media",AJ17="Menor"),
AND(AH17="Media",AJ17="Moderado"),AND(AH17="Alta",AJ17="Leve"),
AND(AH17="Alta",AJ17="Menor")
),
"Moderado",
IF(
OR(
AND(AH17="Muy Baja",AJ17="Mayor"),
AND(AH17="Alta",AJ17="Moderado"),AND(AH17="Alta",AJ17="Mayor"),
AND(AH17="Muy Alta",AJ17="Leve"),AND(AH17="Muy Alta",AJ17="Menor"),
AND(AH17="Muy Alta",AJ17="Moderado"),
AND(AH17="Muy Alta",AJ17="Mayor"),
AND(AH17="Baja",AJ17="Mayor"),
AND(AH17="Media",AJ17="Mayor")
),"Alto",
IF(
AJ17="Catastrófico",
"Extremo",""
)
)
)
),
"")</f>
        <v>Alto</v>
      </c>
      <c r="AM17" s="732" t="s">
        <v>101</v>
      </c>
      <c r="AN17" s="736">
        <v>1</v>
      </c>
      <c r="AO17" s="737" t="s">
        <v>442</v>
      </c>
      <c r="AP17" s="738" t="s">
        <v>464</v>
      </c>
      <c r="AQ17" s="739" t="s">
        <v>467</v>
      </c>
      <c r="AR17" s="740">
        <v>46387</v>
      </c>
      <c r="AS17" s="740">
        <v>46265</v>
      </c>
      <c r="AT17" s="741" t="s">
        <v>15</v>
      </c>
      <c r="AU17" s="742" t="s">
        <v>454</v>
      </c>
      <c r="AV17" s="742" t="s">
        <v>455</v>
      </c>
      <c r="AW17" s="743"/>
      <c r="AX17" s="743"/>
      <c r="AY17" s="743" t="s">
        <v>105</v>
      </c>
      <c r="AZ17" s="744"/>
      <c r="BA17" s="720"/>
      <c r="BB17" s="745"/>
      <c r="BC17" s="746"/>
      <c r="BD17" s="747"/>
      <c r="BE17" s="190"/>
      <c r="BF17" s="204"/>
      <c r="BG17" s="190"/>
      <c r="BH17" s="190"/>
      <c r="BI17" s="190"/>
      <c r="BJ17" s="190"/>
      <c r="BK17" s="190"/>
      <c r="BL17" s="190"/>
      <c r="BM17" s="190"/>
      <c r="BN17" s="190"/>
      <c r="BO17" s="190"/>
      <c r="BP17" s="190"/>
      <c r="BQ17" s="190"/>
      <c r="BR17" s="190"/>
      <c r="BS17" s="190"/>
      <c r="BT17" s="190"/>
      <c r="BU17" s="190"/>
      <c r="BV17" s="190"/>
      <c r="BW17" s="190"/>
      <c r="BX17" s="190"/>
      <c r="BY17" s="190"/>
      <c r="BZ17" s="190"/>
      <c r="CA17" s="190"/>
      <c r="CB17" s="190"/>
      <c r="CC17" s="190"/>
      <c r="CD17" s="190"/>
    </row>
    <row r="18" spans="4:82" s="188" customFormat="1" ht="167.25" customHeight="1">
      <c r="D18" s="331">
        <v>3</v>
      </c>
      <c r="E18" s="332" t="s">
        <v>99</v>
      </c>
      <c r="F18" s="332" t="s">
        <v>159</v>
      </c>
      <c r="G18" s="386"/>
      <c r="H18" s="332" t="s">
        <v>188</v>
      </c>
      <c r="I18" s="384" t="s">
        <v>432</v>
      </c>
      <c r="J18" s="384" t="s">
        <v>433</v>
      </c>
      <c r="K18" s="384" t="s">
        <v>431</v>
      </c>
      <c r="L18" s="328" t="s">
        <v>189</v>
      </c>
      <c r="M18" s="329"/>
      <c r="N18" s="329"/>
      <c r="O18" s="661">
        <v>700</v>
      </c>
      <c r="P18" s="349" t="str">
        <f>IF(O18&lt;=0,"",IF(O18&lt;=2,"Muy Baja",IF(O18&lt;=24,"Baja",IF(O18&lt;=500,"Media",IF(O18&lt;=5000,"Alta","Muy Alta")))))</f>
        <v>Alta</v>
      </c>
      <c r="Q18" s="346">
        <f t="shared" ref="Q18" si="10">IF(P18="","",IF(P18="Muy Baja",0.2,IF(P18="Baja",0.4,IF(P18="Media",0.6,IF(P18="Alta",0.8,IF(P18="Muy Alta",1,))))))</f>
        <v>0.8</v>
      </c>
      <c r="R18" s="664" t="s">
        <v>132</v>
      </c>
      <c r="S18" s="333" t="str">
        <f>IFERROR(VLOOKUP(R18,Criterios[],2,FALSE),"")</f>
        <v>Mayor</v>
      </c>
      <c r="T18" s="346">
        <f t="shared" ref="T18" si="11">IF(S18="","",IF(S18="Leve",0.2,IF(S18="Menor",0.4,IF(S18="Moderado",0.6,IF(S18="Mayor",0.8,IF(S18="Catastrófico",1,))))))</f>
        <v>0.8</v>
      </c>
      <c r="U18" s="333" t="str">
        <f>IF(OR(AND(P18="Muy Baja",S18="Leve"),AND(P18="Muy Baja",S18="Menor"),AND(P18="Baja",S18="Leve")),"Bajo",IF(OR(AND(P18="Muy baja",S18="Moderado"),AND(P18="Baja",S18="Menor"),AND(P18="Baja",S18="Moderado"),AND(P18="Media",S18="Leve"),AND(P18="Media",S18="Menor"),AND(P18="Media",S18="Moderado"),AND(P18="Alta",S18="Leve"),AND(P18="Alta",S18="Menor")),"Moderado",IF(OR(AND(P18="Muy Baja",S18="Mayor"),AND(P18="Baja",S18="Mayor"),AND(P18="Media",S18="Mayor"),AND(P18="Alta",S18="Moderado"),AND(P18="Alta",S18="Mayor"),AND(P18="Muy Alta",S18="Leve"),AND(P18="Muy Alta",S18="Menor"),AND(P18="Muy Alta",S18="Moderado"),AND(P18="Muy Alta",S18="Mayor")),"Alto",IF(OR(AND(P18="Muy Baja",S18="Catastrófico"),AND(P18="Baja",S18="Catastrófico"),AND(P18="Media",S18="Catastrófico"),AND(P18="Alta",S18="Catastrófico"),AND(P18="Muy Alta",S18="Catastrófico")),"Extremo",""))))</f>
        <v>Alto</v>
      </c>
      <c r="V18" s="243">
        <v>1</v>
      </c>
      <c r="W18" s="748" t="s">
        <v>443</v>
      </c>
      <c r="X18" s="749" t="s">
        <v>460</v>
      </c>
      <c r="Y18" s="239" t="str">
        <f t="shared" si="2"/>
        <v>Probabilidad</v>
      </c>
      <c r="Z18" s="248" t="s">
        <v>151</v>
      </c>
      <c r="AA18" s="248" t="s">
        <v>165</v>
      </c>
      <c r="AB18" s="242" t="str">
        <f t="shared" ref="AB18:AB21" si="12">IF(AND(Z18="Preventivo",AA18="Automático"),"50%",IF(AND(Z18="Preventivo",AA18="Manual"),"40%",IF(AND(Z18="Detectivo",AA18="Automático"),"40%",IF(AND(Z18="Detectivo",AA18="Manual"),"30%",IF(AND(Z18="Correctivo",AA18="Automático"),"35%",IF(AND(Z18="Correctivo",AA18="Manual"),"25%",""))))))</f>
        <v>40%</v>
      </c>
      <c r="AC18" s="248" t="s">
        <v>166</v>
      </c>
      <c r="AD18" s="248" t="s">
        <v>154</v>
      </c>
      <c r="AE18" s="248" t="s">
        <v>412</v>
      </c>
      <c r="AF18" s="223" t="s">
        <v>435</v>
      </c>
      <c r="AG18" s="334">
        <f>IFERROR(IF(Y18="Probabilidad",Q18-(Q18*((AB18+AB19+AB20+AB21)/4)),IF(Y18="Impacto",Q18,"")),"")</f>
        <v>0.5</v>
      </c>
      <c r="AH18" s="335" t="str">
        <f>IFERROR(IF(AG18="","",IF(AG18&lt;=0.2,"Muy Baja",IF(AG18&lt;=0.4,"Baja",IF(AG18&lt;=0.6,"Media",IF(AG18&lt;=0.8,"Alta","Muy Alta"))))),"")</f>
        <v>Media</v>
      </c>
      <c r="AI18" s="346">
        <f t="shared" ref="AI18" si="13">+AG18</f>
        <v>0.5</v>
      </c>
      <c r="AJ18" s="335" t="str">
        <f t="shared" ref="AJ18" si="14">IFERROR(IF(AK18="","",IF(AK18&lt;=0.2,"Leve",IF(AK18&lt;=0.4,"Menor",IF(AK18&lt;=0.6,"Moderado",IF(AK18&lt;=0.8,"Mayor","Catastrófico"))))),"")</f>
        <v>Mayor</v>
      </c>
      <c r="AK18" s="346">
        <f>IFERROR(IF(Y18="Impacto",(T18-(T18*((AB18+AB19+AB20+AB21)/4))),IF(Y18="Probabilidad",T18,"")),"")</f>
        <v>0.8</v>
      </c>
      <c r="AL18" s="335" t="str">
        <f>IFERROR(IF(OR(AND(AH18="Muy Baja",AJ18="Leve"),AND(AH18="Muy Baja",AJ18="Menor"),
AND(AH18="Baja",AJ18="Leve")
),"Bajo",IF(OR(AND(AH18="Muy Baja",AJ18="Moderado"),AND(AH18="Baja",AJ18="Menor"),
AND(AH18="Baja",AJ18="Moderado"),AND(AH18="Media",AJ18="Leve"),
AND(AH18="Media",AJ18="Menor"),
AND(AH18="Media",AJ18="Moderado"),AND(AH18="Alta",AJ18="Leve"),
AND(AH18="Alta",AJ18="Menor")
),
"Moderado",
IF(
OR(
AND(AH18="Muy Baja",AJ18="Mayor"),
AND(AH18="Alta",AJ18="Moderado"),AND(AH18="Alta",AJ18="Mayor"),
AND(AH18="Muy Alta",AJ18="Leve"),AND(AH18="Muy Alta",AJ18="Menor"),
AND(AH18="Muy Alta",AJ18="Moderado"),
AND(AH18="Muy Alta",AJ18="Mayor"),
AND(AH18="Baja",AJ18="Mayor"),
AND(AH18="Media",AJ18="Mayor")
),"Alto",
IF(
AJ18="Catastrófico",
"Extremo",""
)
)
)
),
"")</f>
        <v>Alto</v>
      </c>
      <c r="AM18" s="344" t="s">
        <v>101</v>
      </c>
      <c r="AN18" s="672">
        <v>1</v>
      </c>
      <c r="AO18" s="750" t="s">
        <v>447</v>
      </c>
      <c r="AP18" s="668" t="s">
        <v>464</v>
      </c>
      <c r="AQ18" s="751" t="s">
        <v>468</v>
      </c>
      <c r="AR18" s="676">
        <v>46387</v>
      </c>
      <c r="AS18" s="676">
        <v>46265</v>
      </c>
      <c r="AT18" s="233" t="s">
        <v>15</v>
      </c>
      <c r="AU18" s="224" t="s">
        <v>456</v>
      </c>
      <c r="AV18" s="224"/>
      <c r="AW18" s="225"/>
      <c r="AX18" s="225"/>
      <c r="AY18" s="225"/>
      <c r="AZ18" s="678"/>
      <c r="BA18" s="247"/>
      <c r="BB18" s="752"/>
      <c r="BC18" s="235"/>
      <c r="BD18" s="227"/>
      <c r="BE18" s="190"/>
      <c r="BF18" s="204"/>
      <c r="BG18" s="190"/>
      <c r="BH18" s="190"/>
      <c r="BI18" s="190"/>
      <c r="BJ18" s="190"/>
      <c r="BK18" s="190"/>
      <c r="BL18" s="190"/>
      <c r="BM18" s="190"/>
      <c r="BN18" s="190"/>
      <c r="BO18" s="190"/>
      <c r="BP18" s="190"/>
      <c r="BQ18" s="190"/>
      <c r="BR18" s="190"/>
      <c r="BS18" s="190"/>
      <c r="BT18" s="190"/>
      <c r="BU18" s="190"/>
      <c r="BV18" s="190"/>
      <c r="BW18" s="190"/>
      <c r="BX18" s="190"/>
      <c r="BY18" s="190"/>
      <c r="BZ18" s="190"/>
      <c r="CA18" s="190"/>
      <c r="CB18" s="190"/>
      <c r="CC18" s="190"/>
      <c r="CD18" s="190"/>
    </row>
    <row r="19" spans="4:82" s="188" customFormat="1" ht="89.25">
      <c r="D19" s="302"/>
      <c r="E19" s="304"/>
      <c r="F19" s="304"/>
      <c r="G19" s="306"/>
      <c r="H19" s="304"/>
      <c r="I19" s="308"/>
      <c r="J19" s="308"/>
      <c r="K19" s="308"/>
      <c r="L19" s="310"/>
      <c r="M19" s="330"/>
      <c r="N19" s="330"/>
      <c r="O19" s="662"/>
      <c r="P19" s="350"/>
      <c r="Q19" s="347"/>
      <c r="R19" s="665"/>
      <c r="S19" s="296"/>
      <c r="T19" s="347"/>
      <c r="U19" s="296"/>
      <c r="V19" s="191">
        <v>2</v>
      </c>
      <c r="W19" s="657" t="s">
        <v>444</v>
      </c>
      <c r="X19" s="658" t="s">
        <v>461</v>
      </c>
      <c r="Y19" s="189" t="str">
        <f t="shared" si="2"/>
        <v>Probabilidad</v>
      </c>
      <c r="Z19" s="245" t="s">
        <v>151</v>
      </c>
      <c r="AA19" s="245" t="s">
        <v>165</v>
      </c>
      <c r="AB19" s="240" t="str">
        <f t="shared" si="12"/>
        <v>40%</v>
      </c>
      <c r="AC19" s="245" t="s">
        <v>166</v>
      </c>
      <c r="AD19" s="245" t="s">
        <v>154</v>
      </c>
      <c r="AE19" s="245" t="s">
        <v>412</v>
      </c>
      <c r="AF19" s="222" t="s">
        <v>435</v>
      </c>
      <c r="AG19" s="298"/>
      <c r="AH19" s="300"/>
      <c r="AI19" s="347"/>
      <c r="AJ19" s="300"/>
      <c r="AK19" s="347"/>
      <c r="AL19" s="300"/>
      <c r="AM19" s="345"/>
      <c r="AN19" s="673">
        <v>2</v>
      </c>
      <c r="AO19" s="670" t="s">
        <v>448</v>
      </c>
      <c r="AP19" s="669" t="s">
        <v>464</v>
      </c>
      <c r="AQ19" s="717" t="s">
        <v>469</v>
      </c>
      <c r="AR19" s="674">
        <v>46387</v>
      </c>
      <c r="AS19" s="674">
        <v>46265</v>
      </c>
      <c r="AT19" s="234" t="s">
        <v>15</v>
      </c>
      <c r="AU19" s="212" t="s">
        <v>457</v>
      </c>
      <c r="AV19" s="212"/>
      <c r="AW19" s="213"/>
      <c r="AX19" s="213"/>
      <c r="AY19" s="213"/>
      <c r="AZ19" s="675"/>
      <c r="BA19" s="241"/>
      <c r="BB19" s="209"/>
      <c r="BC19" s="236"/>
      <c r="BD19" s="228"/>
      <c r="BE19" s="190"/>
      <c r="BF19" s="204"/>
      <c r="BG19" s="190"/>
      <c r="BH19" s="190"/>
      <c r="BI19" s="190"/>
      <c r="BJ19" s="190"/>
      <c r="BK19" s="190"/>
      <c r="BL19" s="190"/>
      <c r="BM19" s="190"/>
      <c r="BN19" s="190"/>
      <c r="BO19" s="190"/>
      <c r="BP19" s="190"/>
      <c r="BQ19" s="190"/>
      <c r="BR19" s="190"/>
      <c r="BS19" s="190"/>
      <c r="BT19" s="190"/>
      <c r="BU19" s="190"/>
      <c r="BV19" s="190"/>
      <c r="BW19" s="190"/>
      <c r="BX19" s="190"/>
      <c r="BY19" s="190"/>
      <c r="BZ19" s="190"/>
      <c r="CA19" s="190"/>
      <c r="CB19" s="190"/>
      <c r="CC19" s="190"/>
      <c r="CD19" s="190"/>
    </row>
    <row r="20" spans="4:82" s="188" customFormat="1" ht="72" customHeight="1">
      <c r="D20" s="302"/>
      <c r="E20" s="304"/>
      <c r="F20" s="304"/>
      <c r="G20" s="306"/>
      <c r="H20" s="304"/>
      <c r="I20" s="308"/>
      <c r="J20" s="308"/>
      <c r="K20" s="308"/>
      <c r="L20" s="310"/>
      <c r="M20" s="330"/>
      <c r="N20" s="330"/>
      <c r="O20" s="662"/>
      <c r="P20" s="350"/>
      <c r="Q20" s="347"/>
      <c r="R20" s="665"/>
      <c r="S20" s="296"/>
      <c r="T20" s="347"/>
      <c r="U20" s="296"/>
      <c r="V20" s="191">
        <v>3</v>
      </c>
      <c r="W20" s="657" t="s">
        <v>445</v>
      </c>
      <c r="X20" s="658" t="s">
        <v>462</v>
      </c>
      <c r="Y20" s="189" t="str">
        <f t="shared" si="2"/>
        <v>Probabilidad</v>
      </c>
      <c r="Z20" s="245" t="s">
        <v>100</v>
      </c>
      <c r="AA20" s="245" t="s">
        <v>165</v>
      </c>
      <c r="AB20" s="240" t="str">
        <f t="shared" si="12"/>
        <v>30%</v>
      </c>
      <c r="AC20" s="245" t="s">
        <v>166</v>
      </c>
      <c r="AD20" s="245" t="s">
        <v>154</v>
      </c>
      <c r="AE20" s="245" t="s">
        <v>412</v>
      </c>
      <c r="AF20" s="222" t="s">
        <v>435</v>
      </c>
      <c r="AG20" s="298"/>
      <c r="AH20" s="300"/>
      <c r="AI20" s="347"/>
      <c r="AJ20" s="300"/>
      <c r="AK20" s="347"/>
      <c r="AL20" s="300"/>
      <c r="AM20" s="345"/>
      <c r="AN20" s="673">
        <v>3</v>
      </c>
      <c r="AO20" s="670" t="s">
        <v>449</v>
      </c>
      <c r="AP20" s="669" t="s">
        <v>464</v>
      </c>
      <c r="AQ20" s="717" t="s">
        <v>470</v>
      </c>
      <c r="AR20" s="674">
        <v>46387</v>
      </c>
      <c r="AS20" s="674">
        <v>46265</v>
      </c>
      <c r="AT20" s="234" t="s">
        <v>15</v>
      </c>
      <c r="AU20" s="212" t="s">
        <v>459</v>
      </c>
      <c r="AV20" s="212"/>
      <c r="AW20" s="213"/>
      <c r="AX20" s="213"/>
      <c r="AY20" s="213"/>
      <c r="AZ20" s="675"/>
      <c r="BA20" s="241"/>
      <c r="BB20" s="209"/>
      <c r="BC20" s="236"/>
      <c r="BD20" s="228"/>
      <c r="BE20" s="190"/>
      <c r="BF20" s="204"/>
      <c r="BG20" s="190"/>
      <c r="BH20" s="190"/>
      <c r="BI20" s="190"/>
      <c r="BJ20" s="190"/>
      <c r="BK20" s="190"/>
      <c r="BL20" s="190"/>
      <c r="BM20" s="190"/>
      <c r="BN20" s="190"/>
      <c r="BO20" s="190"/>
      <c r="BP20" s="190"/>
      <c r="BQ20" s="190"/>
      <c r="BR20" s="190"/>
      <c r="BS20" s="190"/>
      <c r="BT20" s="190"/>
      <c r="BU20" s="190"/>
      <c r="BV20" s="190"/>
      <c r="BW20" s="190"/>
      <c r="BX20" s="190"/>
      <c r="BY20" s="190"/>
      <c r="BZ20" s="190"/>
      <c r="CA20" s="190"/>
      <c r="CB20" s="190"/>
      <c r="CC20" s="190"/>
      <c r="CD20" s="190"/>
    </row>
    <row r="21" spans="4:82" s="188" customFormat="1" ht="77.099999999999994" customHeight="1" thickBot="1">
      <c r="D21" s="303"/>
      <c r="E21" s="305"/>
      <c r="F21" s="305"/>
      <c r="G21" s="307"/>
      <c r="H21" s="305"/>
      <c r="I21" s="309"/>
      <c r="J21" s="309"/>
      <c r="K21" s="309"/>
      <c r="L21" s="311"/>
      <c r="M21" s="353"/>
      <c r="N21" s="353"/>
      <c r="O21" s="663"/>
      <c r="P21" s="354"/>
      <c r="Q21" s="355"/>
      <c r="R21" s="666"/>
      <c r="S21" s="297"/>
      <c r="T21" s="355"/>
      <c r="U21" s="297"/>
      <c r="V21" s="216">
        <v>4</v>
      </c>
      <c r="W21" s="659" t="s">
        <v>446</v>
      </c>
      <c r="X21" s="660" t="s">
        <v>463</v>
      </c>
      <c r="Y21" s="217" t="str">
        <f t="shared" si="2"/>
        <v>Probabilidad</v>
      </c>
      <c r="Z21" s="246" t="s">
        <v>151</v>
      </c>
      <c r="AA21" s="246" t="s">
        <v>165</v>
      </c>
      <c r="AB21" s="244" t="str">
        <f t="shared" si="12"/>
        <v>40%</v>
      </c>
      <c r="AC21" s="246" t="s">
        <v>166</v>
      </c>
      <c r="AD21" s="246" t="s">
        <v>154</v>
      </c>
      <c r="AE21" s="246" t="s">
        <v>412</v>
      </c>
      <c r="AF21" s="218" t="s">
        <v>435</v>
      </c>
      <c r="AG21" s="299"/>
      <c r="AH21" s="301"/>
      <c r="AI21" s="355"/>
      <c r="AJ21" s="301"/>
      <c r="AK21" s="355"/>
      <c r="AL21" s="301"/>
      <c r="AM21" s="385"/>
      <c r="AN21" s="753">
        <v>4</v>
      </c>
      <c r="AO21" s="671" t="s">
        <v>450</v>
      </c>
      <c r="AP21" s="679" t="s">
        <v>464</v>
      </c>
      <c r="AQ21" s="754" t="s">
        <v>471</v>
      </c>
      <c r="AR21" s="680">
        <v>46387</v>
      </c>
      <c r="AS21" s="680">
        <v>46265</v>
      </c>
      <c r="AT21" s="755" t="s">
        <v>15</v>
      </c>
      <c r="AU21" s="229" t="s">
        <v>458</v>
      </c>
      <c r="AV21" s="229"/>
      <c r="AW21" s="230"/>
      <c r="AX21" s="230"/>
      <c r="AY21" s="230"/>
      <c r="AZ21" s="681"/>
      <c r="BA21" s="249"/>
      <c r="BB21" s="231"/>
      <c r="BC21" s="237"/>
      <c r="BD21" s="232"/>
      <c r="BE21" s="190"/>
      <c r="BF21" s="204"/>
      <c r="BG21" s="190"/>
      <c r="BH21" s="190"/>
      <c r="BI21" s="190"/>
      <c r="BJ21" s="190"/>
      <c r="BK21" s="190"/>
      <c r="BL21" s="190"/>
      <c r="BM21" s="190"/>
      <c r="BN21" s="190"/>
      <c r="BO21" s="190"/>
      <c r="BP21" s="190"/>
      <c r="BQ21" s="190"/>
      <c r="BR21" s="190"/>
      <c r="BS21" s="190"/>
      <c r="BT21" s="190"/>
      <c r="BU21" s="190"/>
      <c r="BV21" s="190"/>
      <c r="BW21" s="190"/>
      <c r="BX21" s="190"/>
      <c r="BY21" s="190"/>
      <c r="BZ21" s="190"/>
      <c r="CA21" s="190"/>
      <c r="CB21" s="190"/>
      <c r="CC21" s="190"/>
      <c r="CD21" s="190"/>
    </row>
    <row r="22" spans="4:82" ht="49.5" customHeight="1">
      <c r="D22" s="183"/>
      <c r="E22" s="184"/>
      <c r="F22" s="184"/>
      <c r="G22" s="184"/>
      <c r="H22" s="184"/>
      <c r="I22" s="343" t="s">
        <v>103</v>
      </c>
      <c r="J22" s="343"/>
      <c r="K22" s="343"/>
      <c r="L22" s="343"/>
      <c r="M22" s="343"/>
      <c r="N22" s="343"/>
      <c r="O22" s="343"/>
      <c r="P22" s="343"/>
      <c r="Q22" s="343"/>
      <c r="R22" s="343"/>
      <c r="S22" s="343"/>
      <c r="T22" s="343"/>
      <c r="U22" s="343"/>
      <c r="V22" s="343"/>
      <c r="W22" s="343"/>
      <c r="X22" s="343"/>
      <c r="Y22" s="343"/>
      <c r="Z22" s="343"/>
      <c r="AA22" s="343"/>
      <c r="AB22" s="343"/>
      <c r="AC22" s="343"/>
      <c r="AD22" s="343"/>
      <c r="AE22" s="343"/>
      <c r="AF22" s="343"/>
      <c r="AG22" s="343"/>
      <c r="AH22" s="343"/>
      <c r="AI22" s="343"/>
      <c r="AJ22" s="343"/>
      <c r="AK22" s="343"/>
      <c r="AL22" s="343"/>
      <c r="AM22" s="343"/>
      <c r="AN22" s="343"/>
      <c r="AO22" s="343"/>
      <c r="AP22" s="343"/>
      <c r="AQ22" s="343"/>
      <c r="AR22" s="343"/>
      <c r="AS22" s="343"/>
      <c r="AT22" s="343"/>
      <c r="AU22" s="343"/>
      <c r="AV22" s="343"/>
      <c r="AW22" s="343"/>
      <c r="AX22" s="343"/>
      <c r="AY22" s="343"/>
    </row>
    <row r="24" spans="4:82" ht="15.75">
      <c r="D24" s="104"/>
      <c r="E24" s="105"/>
      <c r="F24" s="105"/>
      <c r="G24" s="105"/>
      <c r="H24" s="105"/>
      <c r="I24" s="105"/>
      <c r="J24" s="105"/>
      <c r="K24" s="105"/>
      <c r="L24" s="169"/>
      <c r="M24" s="169"/>
      <c r="N24" s="169"/>
      <c r="P24" s="106"/>
      <c r="Q24" s="105"/>
      <c r="R24" s="105"/>
      <c r="S24" s="105"/>
      <c r="T24" s="105"/>
      <c r="U24" s="105"/>
      <c r="V24" s="105"/>
      <c r="W24" s="105"/>
      <c r="X24" s="105"/>
      <c r="Y24" s="107"/>
      <c r="Z24" s="107"/>
      <c r="AA24" s="105"/>
      <c r="AB24" s="105"/>
      <c r="AC24" s="105"/>
      <c r="AD24" s="105"/>
      <c r="AE24" s="105"/>
      <c r="AF24" s="105"/>
      <c r="AG24" s="105"/>
      <c r="AH24" s="105"/>
      <c r="AI24" s="105"/>
      <c r="AJ24" s="105"/>
      <c r="AK24" s="105"/>
      <c r="AL24" s="105"/>
      <c r="AM24" s="108"/>
      <c r="AN24" s="108"/>
      <c r="AO24" s="108"/>
      <c r="AP24" s="105"/>
      <c r="AQ24" s="105"/>
      <c r="AR24" s="105"/>
      <c r="AS24" s="105"/>
      <c r="AT24" s="105"/>
      <c r="AU24" s="105"/>
      <c r="AV24" s="105"/>
      <c r="AW24" s="105"/>
      <c r="AX24" s="105"/>
      <c r="AY24" s="105"/>
      <c r="AZ24" s="105"/>
      <c r="BA24" s="105"/>
    </row>
    <row r="25" spans="4:82" ht="18">
      <c r="D25" s="341" t="s">
        <v>104</v>
      </c>
      <c r="E25" s="341"/>
      <c r="F25" s="341"/>
      <c r="G25" s="341"/>
      <c r="H25" s="341"/>
      <c r="I25" s="341"/>
      <c r="J25" s="341"/>
      <c r="K25" s="341"/>
      <c r="L25" s="169"/>
      <c r="M25" s="169"/>
      <c r="N25" s="169"/>
      <c r="O25" s="337"/>
      <c r="P25" s="338"/>
      <c r="Q25" s="338"/>
      <c r="R25" s="339"/>
      <c r="S25" s="105"/>
      <c r="T25" s="105"/>
      <c r="U25" s="105"/>
      <c r="V25" s="105"/>
      <c r="W25" s="105"/>
      <c r="X25" s="108"/>
      <c r="Y25" s="107"/>
      <c r="Z25" s="107"/>
      <c r="AA25" s="105"/>
      <c r="AB25" s="107"/>
      <c r="AC25" s="107"/>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05"/>
      <c r="AZ25" s="105"/>
      <c r="BA25" s="105"/>
      <c r="BH25" s="169" t="s">
        <v>105</v>
      </c>
    </row>
    <row r="26" spans="4:82" ht="15" thickBot="1">
      <c r="D26" s="169"/>
      <c r="E26" s="169"/>
      <c r="F26" s="169"/>
      <c r="G26" s="169"/>
      <c r="H26" s="169"/>
      <c r="I26" s="169"/>
      <c r="J26" s="169"/>
      <c r="L26" s="169"/>
      <c r="M26" s="169"/>
      <c r="N26" s="169"/>
      <c r="P26" s="171" t="str">
        <f>+IFERROR(VLOOKUP(L26,$L$181:$P$185,3,FALSE)*VLOOKUP(O26,$O$181:$P$185,3,FALSE),"")</f>
        <v/>
      </c>
      <c r="Y26" s="171"/>
      <c r="Z26" s="185"/>
      <c r="AB26" s="185"/>
      <c r="AC26" s="185"/>
      <c r="AD26" s="186"/>
      <c r="AE26" s="186"/>
      <c r="AF26" s="186"/>
      <c r="AG26" s="186"/>
      <c r="AH26" s="186"/>
      <c r="AI26" s="109"/>
      <c r="AJ26" s="109"/>
      <c r="AK26" s="186"/>
      <c r="AL26" s="187"/>
      <c r="AQ26" s="186"/>
      <c r="AY26" s="186"/>
      <c r="AZ26" s="186"/>
      <c r="BH26" s="169" t="s">
        <v>106</v>
      </c>
    </row>
    <row r="27" spans="4:82" ht="17.850000000000001" customHeight="1" thickTop="1" thickBot="1">
      <c r="D27" s="336" t="s">
        <v>107</v>
      </c>
      <c r="E27" s="336"/>
      <c r="F27" s="336"/>
      <c r="G27" s="336"/>
      <c r="H27" s="336"/>
      <c r="I27" s="336"/>
      <c r="J27" s="336"/>
      <c r="K27" s="198" t="s">
        <v>108</v>
      </c>
      <c r="L27" s="336" t="s">
        <v>109</v>
      </c>
      <c r="M27" s="336"/>
      <c r="N27" s="336"/>
      <c r="O27" s="336"/>
      <c r="P27" s="336"/>
      <c r="Q27" s="336"/>
      <c r="R27" s="336"/>
      <c r="S27" s="340" t="s">
        <v>110</v>
      </c>
      <c r="T27" s="340"/>
      <c r="U27" s="340"/>
      <c r="V27" s="336" t="s">
        <v>111</v>
      </c>
      <c r="W27" s="336"/>
      <c r="X27" s="336"/>
      <c r="Y27" s="336"/>
      <c r="Z27" s="340">
        <v>1</v>
      </c>
      <c r="AA27" s="340"/>
      <c r="AB27" s="340"/>
      <c r="AC27" s="340"/>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0"/>
      <c r="BH27" s="169" t="s">
        <v>112</v>
      </c>
    </row>
    <row r="28" spans="4:82" ht="13.5" customHeight="1" thickTop="1">
      <c r="D28" s="312" t="s">
        <v>113</v>
      </c>
      <c r="E28" s="313"/>
      <c r="F28" s="313"/>
      <c r="G28" s="313"/>
      <c r="H28" s="313"/>
      <c r="I28" s="313"/>
      <c r="J28" s="313"/>
      <c r="K28" s="313"/>
      <c r="L28" s="313"/>
      <c r="M28" s="313"/>
      <c r="N28" s="313"/>
      <c r="O28" s="313"/>
      <c r="P28" s="313"/>
      <c r="Q28" s="313"/>
      <c r="R28" s="313"/>
      <c r="S28" s="313"/>
      <c r="T28" s="313"/>
      <c r="U28" s="313"/>
      <c r="V28" s="313"/>
      <c r="W28" s="313"/>
      <c r="X28" s="313"/>
      <c r="Y28" s="313"/>
      <c r="Z28" s="313"/>
      <c r="AA28" s="313"/>
      <c r="AB28" s="313"/>
      <c r="AC28" s="313"/>
      <c r="BH28" s="169" t="s">
        <v>114</v>
      </c>
    </row>
  </sheetData>
  <sheetProtection formatCells="0" formatColumns="0" formatRows="0" selectLockedCells="1"/>
  <protectedRanges>
    <protectedRange sqref="P1:P1048576" name="Rango1"/>
  </protectedRanges>
  <dataConsolidate/>
  <mergeCells count="124">
    <mergeCell ref="T15:T16"/>
    <mergeCell ref="I15:I16"/>
    <mergeCell ref="J15:J16"/>
    <mergeCell ref="K15:K16"/>
    <mergeCell ref="F15:F16"/>
    <mergeCell ref="N15:N16"/>
    <mergeCell ref="AN13:AN14"/>
    <mergeCell ref="R15:R16"/>
    <mergeCell ref="AI18:AI21"/>
    <mergeCell ref="AJ18:AJ21"/>
    <mergeCell ref="AK18:AK21"/>
    <mergeCell ref="AL18:AL21"/>
    <mergeCell ref="AM18:AM21"/>
    <mergeCell ref="Z13:AE13"/>
    <mergeCell ref="O15:O16"/>
    <mergeCell ref="G15:G16"/>
    <mergeCell ref="H15:H16"/>
    <mergeCell ref="D2:H5"/>
    <mergeCell ref="I2:BC5"/>
    <mergeCell ref="H7:BD7"/>
    <mergeCell ref="AM13:AM14"/>
    <mergeCell ref="AL13:AL14"/>
    <mergeCell ref="AK13:AK14"/>
    <mergeCell ref="AG13:AG14"/>
    <mergeCell ref="X13:X14"/>
    <mergeCell ref="L13:L14"/>
    <mergeCell ref="D12:O12"/>
    <mergeCell ref="P12:U12"/>
    <mergeCell ref="K13:K14"/>
    <mergeCell ref="J13:J14"/>
    <mergeCell ref="I13:I14"/>
    <mergeCell ref="R13:R14"/>
    <mergeCell ref="D7:G7"/>
    <mergeCell ref="V12:AE12"/>
    <mergeCell ref="D8:G8"/>
    <mergeCell ref="D9:G9"/>
    <mergeCell ref="AO13:AO14"/>
    <mergeCell ref="AG12:AM12"/>
    <mergeCell ref="H9:BD9"/>
    <mergeCell ref="H8:BD8"/>
    <mergeCell ref="D13:D14"/>
    <mergeCell ref="AZ11:BB12"/>
    <mergeCell ref="BC11:BD12"/>
    <mergeCell ref="U13:U14"/>
    <mergeCell ref="AX13:AX14"/>
    <mergeCell ref="AR13:AR14"/>
    <mergeCell ref="AQ13:AQ14"/>
    <mergeCell ref="AP13:AP14"/>
    <mergeCell ref="AJ13:AJ14"/>
    <mergeCell ref="D11:AR11"/>
    <mergeCell ref="AS13:AS14"/>
    <mergeCell ref="BA13:BA14"/>
    <mergeCell ref="AW13:AW14"/>
    <mergeCell ref="AY13:AY14"/>
    <mergeCell ref="BC13:BC14"/>
    <mergeCell ref="E13:E14"/>
    <mergeCell ref="Y13:Y14"/>
    <mergeCell ref="H13:H14"/>
    <mergeCell ref="BB13:BB14"/>
    <mergeCell ref="BD13:BD14"/>
    <mergeCell ref="AZ13:AZ14"/>
    <mergeCell ref="AU13:AU14"/>
    <mergeCell ref="AV13:AV14"/>
    <mergeCell ref="AT13:AT14"/>
    <mergeCell ref="W13:W14"/>
    <mergeCell ref="AS11:AY12"/>
    <mergeCell ref="V27:Y27"/>
    <mergeCell ref="Z27:AC27"/>
    <mergeCell ref="I22:AY22"/>
    <mergeCell ref="AM15:AM16"/>
    <mergeCell ref="AI15:AI16"/>
    <mergeCell ref="AI13:AI14"/>
    <mergeCell ref="AK15:AK16"/>
    <mergeCell ref="AJ15:AJ16"/>
    <mergeCell ref="AL15:AL16"/>
    <mergeCell ref="V13:V14"/>
    <mergeCell ref="P15:P16"/>
    <mergeCell ref="Q15:Q16"/>
    <mergeCell ref="S15:S16"/>
    <mergeCell ref="AO12:AR12"/>
    <mergeCell ref="M18:M21"/>
    <mergeCell ref="N18:N21"/>
    <mergeCell ref="O18:O21"/>
    <mergeCell ref="P18:P21"/>
    <mergeCell ref="Q18:Q21"/>
    <mergeCell ref="R18:R21"/>
    <mergeCell ref="S18:S21"/>
    <mergeCell ref="T18:T21"/>
    <mergeCell ref="D28:AC28"/>
    <mergeCell ref="M13:N13"/>
    <mergeCell ref="AF12:AF14"/>
    <mergeCell ref="A11:C11"/>
    <mergeCell ref="F13:F14"/>
    <mergeCell ref="G13:G14"/>
    <mergeCell ref="AH13:AH14"/>
    <mergeCell ref="O13:O14"/>
    <mergeCell ref="P13:P14"/>
    <mergeCell ref="Q13:Q14"/>
    <mergeCell ref="S13:S14"/>
    <mergeCell ref="T13:T14"/>
    <mergeCell ref="L15:L16"/>
    <mergeCell ref="M15:M16"/>
    <mergeCell ref="D15:D16"/>
    <mergeCell ref="E15:E16"/>
    <mergeCell ref="U15:U16"/>
    <mergeCell ref="AG15:AG16"/>
    <mergeCell ref="AH15:AH16"/>
    <mergeCell ref="D27:J27"/>
    <mergeCell ref="O25:R25"/>
    <mergeCell ref="L27:R27"/>
    <mergeCell ref="S27:U27"/>
    <mergeCell ref="D25:K25"/>
    <mergeCell ref="U18:U21"/>
    <mergeCell ref="AG18:AG21"/>
    <mergeCell ref="AH18:AH21"/>
    <mergeCell ref="D18:D21"/>
    <mergeCell ref="E18:E21"/>
    <mergeCell ref="F18:F21"/>
    <mergeCell ref="G18:G21"/>
    <mergeCell ref="H18:H21"/>
    <mergeCell ref="I18:I21"/>
    <mergeCell ref="J18:J21"/>
    <mergeCell ref="K18:K21"/>
    <mergeCell ref="L18:L21"/>
  </mergeCells>
  <conditionalFormatting sqref="P15 AH15 P17 AH17">
    <cfRule type="cellIs" dxfId="32" priority="93" operator="equal">
      <formula>"Muy Alta"</formula>
    </cfRule>
    <cfRule type="cellIs" dxfId="31" priority="94" operator="equal">
      <formula>"Alta"</formula>
    </cfRule>
    <cfRule type="cellIs" dxfId="30" priority="95" operator="equal">
      <formula>"Media"</formula>
    </cfRule>
    <cfRule type="cellIs" dxfId="29" priority="96" operator="equal">
      <formula>"Baja"</formula>
    </cfRule>
    <cfRule type="cellIs" dxfId="28" priority="97" operator="equal">
      <formula>"Muy Baja"</formula>
    </cfRule>
  </conditionalFormatting>
  <conditionalFormatting sqref="P18 AH18">
    <cfRule type="cellIs" dxfId="27" priority="10" operator="equal">
      <formula>"Muy Alta"</formula>
    </cfRule>
    <cfRule type="cellIs" dxfId="26" priority="11" operator="equal">
      <formula>"Alta"</formula>
    </cfRule>
    <cfRule type="cellIs" dxfId="25" priority="12" operator="equal">
      <formula>"Media"</formula>
    </cfRule>
    <cfRule type="cellIs" dxfId="24" priority="13" operator="equal">
      <formula>"Baja"</formula>
    </cfRule>
    <cfRule type="cellIs" dxfId="23" priority="14" operator="equal">
      <formula>"Muy Baja"</formula>
    </cfRule>
  </conditionalFormatting>
  <conditionalFormatting sqref="S15 AJ15 S17 AJ17">
    <cfRule type="cellIs" dxfId="22" priority="88" operator="equal">
      <formula>"Catastrófico"</formula>
    </cfRule>
    <cfRule type="cellIs" dxfId="21" priority="89" operator="equal">
      <formula>"Mayor"</formula>
    </cfRule>
    <cfRule type="cellIs" dxfId="20" priority="90" operator="equal">
      <formula>"Moderado"</formula>
    </cfRule>
    <cfRule type="cellIs" dxfId="19" priority="91" operator="equal">
      <formula>"Menor"</formula>
    </cfRule>
    <cfRule type="cellIs" dxfId="18" priority="92" operator="equal">
      <formula>"Leve"</formula>
    </cfRule>
  </conditionalFormatting>
  <conditionalFormatting sqref="S18 AJ18">
    <cfRule type="cellIs" dxfId="17" priority="5" operator="equal">
      <formula>"Catastrófico"</formula>
    </cfRule>
    <cfRule type="cellIs" dxfId="16" priority="6" operator="equal">
      <formula>"Mayor"</formula>
    </cfRule>
    <cfRule type="cellIs" dxfId="15" priority="7" operator="equal">
      <formula>"Moderado"</formula>
    </cfRule>
    <cfRule type="cellIs" dxfId="14" priority="8" operator="equal">
      <formula>"Menor"</formula>
    </cfRule>
    <cfRule type="cellIs" dxfId="13" priority="9" operator="equal">
      <formula>"Leve"</formula>
    </cfRule>
  </conditionalFormatting>
  <conditionalFormatting sqref="U15 AL15 U17 AL17">
    <cfRule type="cellIs" dxfId="12" priority="84" operator="equal">
      <formula>"Extremo"</formula>
    </cfRule>
    <cfRule type="cellIs" dxfId="11" priority="85" operator="equal">
      <formula>"Alto"</formula>
    </cfRule>
    <cfRule type="cellIs" dxfId="10" priority="86" operator="equal">
      <formula>"Moderado"</formula>
    </cfRule>
    <cfRule type="cellIs" dxfId="9" priority="87" operator="equal">
      <formula>"Bajo"</formula>
    </cfRule>
  </conditionalFormatting>
  <conditionalFormatting sqref="U18 AL18">
    <cfRule type="cellIs" dxfId="8" priority="1" operator="equal">
      <formula>"Extremo"</formula>
    </cfRule>
    <cfRule type="cellIs" dxfId="7" priority="2" operator="equal">
      <formula>"Alto"</formula>
    </cfRule>
    <cfRule type="cellIs" dxfId="6" priority="3" operator="equal">
      <formula>"Moderado"</formula>
    </cfRule>
    <cfRule type="cellIs" dxfId="5" priority="4" operator="equal">
      <formula>"Bajo"</formula>
    </cfRule>
  </conditionalFormatting>
  <conditionalFormatting sqref="AI24:AI26">
    <cfRule type="cellIs" dxfId="4" priority="58" operator="equal">
      <formula>#REF!</formula>
    </cfRule>
    <cfRule type="cellIs" dxfId="3" priority="59" operator="equal">
      <formula>#REF!</formula>
    </cfRule>
  </conditionalFormatting>
  <conditionalFormatting sqref="AI24:AJ26">
    <cfRule type="cellIs" dxfId="2" priority="57" stopIfTrue="1" operator="equal">
      <formula>#REF!</formula>
    </cfRule>
  </conditionalFormatting>
  <conditionalFormatting sqref="AJ24:AJ26">
    <cfRule type="cellIs" dxfId="1" priority="61" stopIfTrue="1" operator="equal">
      <formula>#REF!</formula>
    </cfRule>
    <cfRule type="cellIs" dxfId="0" priority="62" stopIfTrue="1" operator="equal">
      <formula>#REF!</formula>
    </cfRule>
  </conditionalFormatting>
  <dataValidations count="9">
    <dataValidation type="list" allowBlank="1" showInputMessage="1" showErrorMessage="1" sqref="K24" xr:uid="{7B616D3B-D88E-46E8-B08C-7B7F883CC9EB}">
      <formula1>$K$181:$K$190</formula1>
    </dataValidation>
    <dataValidation type="list" allowBlank="1" showInputMessage="1" showErrorMessage="1" sqref="K26 AI26:AJ26" xr:uid="{9AC50312-7DBA-42B1-A83D-CC209EEA7EBA}">
      <formula1>#REF!</formula1>
    </dataValidation>
    <dataValidation type="list" allowBlank="1" showInputMessage="1" showErrorMessage="1" sqref="Y26" xr:uid="{E12B16AB-34BC-409D-B55F-8F5CD11C42F5}">
      <formula1>$R$181:$R$182</formula1>
    </dataValidation>
    <dataValidation type="list" allowBlank="1" showInputMessage="1" showErrorMessage="1" sqref="O26" xr:uid="{1F5A2176-AD11-4FCF-A408-6767E7AEEB28}">
      <formula1>$O$181:$O$185</formula1>
    </dataValidation>
    <dataValidation type="list" allowBlank="1" showInputMessage="1" showErrorMessage="1" sqref="L26:N26" xr:uid="{04B6800A-E388-4DD6-96A5-EC7632B802A9}">
      <formula1>$L$181:$L$185</formula1>
    </dataValidation>
    <dataValidation type="list" allowBlank="1" showInputMessage="1" showErrorMessage="1" sqref="AB26:AH26 Z26 AQ26 AY26:AZ26" xr:uid="{562C0C82-7355-48D5-9BD7-FB79726EE533}">
      <formula1>$AQ$181:$AQ$188</formula1>
    </dataValidation>
    <dataValidation type="custom" allowBlank="1" showInputMessage="1" showErrorMessage="1" error="Recuerde que las acciones se generan bajo la medida de mitigar el riesgo" sqref="AP15:AP21" xr:uid="{CAD92590-9E61-4241-B6A8-3E88A06CB002}"/>
    <dataValidation type="list" allowBlank="1" showInputMessage="1" showErrorMessage="1" error="Recuerde que las acciones se generan bajo la medida de mitigar el riesgo" sqref="AY15:AY21" xr:uid="{0BD47797-C5E5-4044-A157-87856E1E3CC0}">
      <formula1>$BH$25:$BH$28</formula1>
    </dataValidation>
    <dataValidation type="list" allowBlank="1" showInputMessage="1" showErrorMessage="1" sqref="R15:R21" xr:uid="{981C69F6-7C94-46CA-8B3F-972426B8999A}">
      <formula1>Criterios_Impacto</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0">
        <x14:dataValidation type="list" allowBlank="1" showInputMessage="1" showErrorMessage="1" xr:uid="{4B854A1D-407A-478A-9C3F-48BE40506CFC}">
          <x14:formula1>
            <xm:f>'Opciones Tratamiento'!$B$13:$B$19</xm:f>
          </x14:formula1>
          <xm:sqref>L15 L17:L21</xm:sqref>
        </x14:dataValidation>
        <x14:dataValidation type="list" allowBlank="1" showInputMessage="1" showErrorMessage="1" xr:uid="{B6FB2B98-B1F7-4A73-8A6A-20868D0758E2}">
          <x14:formula1>
            <xm:f>'Opciones Tratamiento'!$B$2:$B$5</xm:f>
          </x14:formula1>
          <xm:sqref>AM15 AM17:AM18</xm:sqref>
        </x14:dataValidation>
        <x14:dataValidation type="list" allowBlank="1" showInputMessage="1" showErrorMessage="1" xr:uid="{37E6DCF1-A333-4879-8D38-CAB2527C8D0A}">
          <x14:formula1>
            <xm:f>Listas!$B$2:$B$7</xm:f>
          </x14:formula1>
          <xm:sqref>H15 H17:H21</xm:sqref>
        </x14:dataValidation>
        <x14:dataValidation type="list" allowBlank="1" showInputMessage="1" showErrorMessage="1" xr:uid="{66F9E336-08CD-404C-87A1-8D4E9419F9BD}">
          <x14:formula1>
            <xm:f>Listas!$C$2:$C$6</xm:f>
          </x14:formula1>
          <xm:sqref>M15 M17:M21</xm:sqref>
        </x14:dataValidation>
        <x14:dataValidation type="list" allowBlank="1" showInputMessage="1" showErrorMessage="1" xr:uid="{7439E9C2-D073-4DFA-BE3A-E7945C7ECB29}">
          <x14:formula1>
            <xm:f>Listas!$D$2:$D$5</xm:f>
          </x14:formula1>
          <xm:sqref>N15 N17:N21</xm:sqref>
        </x14:dataValidation>
        <x14:dataValidation type="custom" allowBlank="1" showInputMessage="1" showErrorMessage="1" error="Recuerde que las acciones se generan bajo la medida de mitigar el riesgo" xr:uid="{18483F22-18F5-45A9-A596-4536CEC05927}">
          <x14:formula1>
            <xm:f>IF(OR(AP20='Opciones Tratamiento'!$B$2,AP20='Opciones Tratamiento'!$B$3,AP20='Opciones Tratamiento'!$B$4),ISBLANK(AP20),ISTEXT(AP20))</xm:f>
          </x14:formula1>
          <xm:sqref>AU19:AU21</xm:sqref>
        </x14:dataValidation>
        <x14:dataValidation type="custom" allowBlank="1" showInputMessage="1" showErrorMessage="1" error="Recuerde que las acciones se generan bajo la medida de mitigar el riesgo" xr:uid="{B9AA86A9-DAA8-4C82-92D3-204CAB720312}">
          <x14:formula1>
            <xm:f>IF(OR(#REF!='Opciones Tratamiento'!$B$2,#REF!='Opciones Tratamiento'!$B$3,#REF!='Opciones Tratamiento'!$B$4),ISBLANK(#REF!),ISTEXT(#REF!))</xm:f>
          </x14:formula1>
          <xm:sqref>AV15:AX15 BC15:BD15 AW16 BD16:BD21</xm:sqref>
        </x14:dataValidation>
        <x14:dataValidation type="list" allowBlank="1" showInputMessage="1" showErrorMessage="1" xr:uid="{FA8C2B1A-53D2-4BAB-B9CE-6B1F756768B5}">
          <x14:formula1>
            <xm:f>Formulas!$B$3:$B$6</xm:f>
          </x14:formula1>
          <xm:sqref>E15:E16</xm:sqref>
        </x14:dataValidation>
        <x14:dataValidation type="list" allowBlank="1" showInputMessage="1" showErrorMessage="1" xr:uid="{16782719-0F41-4511-83F1-99728BF21A14}">
          <x14:formula1>
            <xm:f>Formulas!$E$3:$E$5</xm:f>
          </x14:formula1>
          <xm:sqref>G15:G16</xm:sqref>
        </x14:dataValidation>
        <x14:dataValidation type="list" allowBlank="1" showInputMessage="1" showErrorMessage="1" error="Recuerde que las acciones se generan bajo la medida de mitigar el riesgo" xr:uid="{EA6A01B7-5237-44CA-BF14-60C069DD25A2}">
          <x14:formula1>
            <xm:f>Formulas!$H$3:$H$4</xm:f>
          </x14:formula1>
          <xm:sqref>AT15:AT21</xm:sqref>
        </x14:dataValidation>
        <x14:dataValidation type="custom" allowBlank="1" showInputMessage="1" showErrorMessage="1" error="Recuerde que las acciones se generan bajo la medida de mitigar el riesgo" xr:uid="{57241DB1-5546-49CC-B81A-807CB88226D5}">
          <x14:formula1>
            <xm:f>IF(OR(#REF!='Opciones Tratamiento'!$B$2,#REF!='Opciones Tratamiento'!$B$3,#REF!='Opciones Tratamiento'!$B$4),ISBLANK(#REF!),ISTEXT(#REF!))</xm:f>
          </x14:formula1>
          <xm:sqref>AU17</xm:sqref>
        </x14:dataValidation>
        <x14:dataValidation type="list" allowBlank="1" showInputMessage="1" showErrorMessage="1" xr:uid="{339A107F-F25A-40D0-B13C-C1AF05DEC652}">
          <x14:formula1>
            <xm:f>Formulas!$B$3:$B$18</xm:f>
          </x14:formula1>
          <xm:sqref>E17:E21</xm:sqref>
        </x14:dataValidation>
        <x14:dataValidation type="list" allowBlank="1" showInputMessage="1" showErrorMessage="1" xr:uid="{E43D05EB-48FE-4234-A29A-7A43A4CA4C18}">
          <x14:formula1>
            <xm:f>Formulas!$E$3:$E$23</xm:f>
          </x14:formula1>
          <xm:sqref>G17:G21</xm:sqref>
        </x14:dataValidation>
        <x14:dataValidation type="custom" allowBlank="1" showInputMessage="1" showErrorMessage="1" error="Recuerde que las acciones se generan bajo la medida de mitigar el riesgo" xr:uid="{F4682A85-77E4-4D97-B5E1-23EF94EF17C8}">
          <x14:formula1>
            <xm:f>IF(OR(AQ17='Opciones Tratamiento'!$B$2,AQ17='Opciones Tratamiento'!$B$3,AQ17='Opciones Tratamiento'!$B$4),ISBLANK(AQ17),ISTEXT(AQ17))</xm:f>
          </x14:formula1>
          <xm:sqref>AV17:AX21</xm:sqref>
        </x14:dataValidation>
        <x14:dataValidation type="list" allowBlank="1" showInputMessage="1" showErrorMessage="1" xr:uid="{CDBD4374-D217-44AB-ACC8-5947EC6EA75C}">
          <x14:formula1>
            <xm:f>'Tabla Valoración controles'!$D$4:$D$6</xm:f>
          </x14:formula1>
          <xm:sqref>Z15:Z21</xm:sqref>
        </x14:dataValidation>
        <x14:dataValidation type="list" allowBlank="1" showInputMessage="1" showErrorMessage="1" xr:uid="{C7243F1F-3CDF-4F0E-9E89-A46417DC86A5}">
          <x14:formula1>
            <xm:f>'Tabla Valoración controles'!$D$7:$D$8</xm:f>
          </x14:formula1>
          <xm:sqref>AA15:AA21</xm:sqref>
        </x14:dataValidation>
        <x14:dataValidation type="list" allowBlank="1" showInputMessage="1" showErrorMessage="1" xr:uid="{35E80B53-BA91-4BF0-BA7E-22FCF1C076EF}">
          <x14:formula1>
            <xm:f>'Tabla Valoración controles'!$D$9:$D$10</xm:f>
          </x14:formula1>
          <xm:sqref>AC15:AC21</xm:sqref>
        </x14:dataValidation>
        <x14:dataValidation type="list" allowBlank="1" showInputMessage="1" showErrorMessage="1" xr:uid="{1F0E2D4C-A6C9-46EA-B308-3F2A24DD2A75}">
          <x14:formula1>
            <xm:f>'Tabla Valoración controles'!$D$11:$D$12</xm:f>
          </x14:formula1>
          <xm:sqref>AD15:AD21</xm:sqref>
        </x14:dataValidation>
        <x14:dataValidation type="list" allowBlank="1" showInputMessage="1" showErrorMessage="1" xr:uid="{B0A2294A-2014-4719-A459-A37F30F3AD1D}">
          <x14:formula1>
            <xm:f>'Tabla Valoración controles'!$D$13:$D$14</xm:f>
          </x14:formula1>
          <xm:sqref>AE15:AE21</xm:sqref>
        </x14:dataValidation>
        <x14:dataValidation type="list" allowBlank="1" showInputMessage="1" showErrorMessage="1" xr:uid="{9DF72C41-14CA-460E-8603-EB6DA420E27C}">
          <x14:formula1>
            <xm:f>Formulas!$D$3:$D$6</xm:f>
          </x14:formula1>
          <xm:sqref>F15:F21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65A79-E3BF-4801-A67D-CFEFB6AABDB4}">
  <dimension ref="A1:B14"/>
  <sheetViews>
    <sheetView workbookViewId="0">
      <selection activeCell="A31" sqref="A31"/>
    </sheetView>
  </sheetViews>
  <sheetFormatPr baseColWidth="10" defaultColWidth="11.42578125" defaultRowHeight="15"/>
  <cols>
    <col min="1" max="1" width="129.7109375" bestFit="1" customWidth="1"/>
  </cols>
  <sheetData>
    <row r="1" spans="1:2">
      <c r="A1" t="s">
        <v>115</v>
      </c>
      <c r="B1" t="s">
        <v>96</v>
      </c>
    </row>
    <row r="2" spans="1:2">
      <c r="A2" t="s">
        <v>116</v>
      </c>
      <c r="B2" t="s">
        <v>117</v>
      </c>
    </row>
    <row r="3" spans="1:2">
      <c r="A3" t="s">
        <v>118</v>
      </c>
      <c r="B3" t="s">
        <v>119</v>
      </c>
    </row>
    <row r="4" spans="1:2">
      <c r="A4" t="s">
        <v>120</v>
      </c>
      <c r="B4" t="s">
        <v>121</v>
      </c>
    </row>
    <row r="5" spans="1:2">
      <c r="A5" t="s">
        <v>122</v>
      </c>
      <c r="B5" t="s">
        <v>123</v>
      </c>
    </row>
    <row r="6" spans="1:2">
      <c r="A6" t="s">
        <v>124</v>
      </c>
      <c r="B6" t="s">
        <v>125</v>
      </c>
    </row>
    <row r="7" spans="1:2">
      <c r="A7" t="s">
        <v>126</v>
      </c>
      <c r="B7" t="s">
        <v>117</v>
      </c>
    </row>
    <row r="8" spans="1:2">
      <c r="A8" t="s">
        <v>127</v>
      </c>
      <c r="B8" t="s">
        <v>119</v>
      </c>
    </row>
    <row r="9" spans="1:2">
      <c r="A9" t="s">
        <v>128</v>
      </c>
      <c r="B9" t="s">
        <v>121</v>
      </c>
    </row>
    <row r="10" spans="1:2">
      <c r="A10" t="s">
        <v>129</v>
      </c>
      <c r="B10" t="s">
        <v>123</v>
      </c>
    </row>
    <row r="11" spans="1:2">
      <c r="A11" t="s">
        <v>130</v>
      </c>
      <c r="B11" t="s">
        <v>125</v>
      </c>
    </row>
    <row r="12" spans="1:2">
      <c r="A12" t="s">
        <v>131</v>
      </c>
      <c r="B12" t="s">
        <v>121</v>
      </c>
    </row>
    <row r="13" spans="1:2">
      <c r="A13" t="s">
        <v>132</v>
      </c>
      <c r="B13" t="s">
        <v>123</v>
      </c>
    </row>
    <row r="14" spans="1:2">
      <c r="A14" t="s">
        <v>133</v>
      </c>
      <c r="B14" t="s">
        <v>125</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R13"/>
  <sheetViews>
    <sheetView workbookViewId="0">
      <selection activeCell="D22" sqref="D22"/>
    </sheetView>
  </sheetViews>
  <sheetFormatPr baseColWidth="10" defaultColWidth="11.42578125" defaultRowHeight="15"/>
  <cols>
    <col min="1" max="1" width="4" customWidth="1"/>
    <col min="2" max="3" width="31.28515625" customWidth="1"/>
    <col min="4" max="4" width="30.42578125" customWidth="1"/>
    <col min="5" max="5" width="24.42578125" customWidth="1"/>
    <col min="6" max="6" width="22.7109375" customWidth="1"/>
    <col min="7" max="7" width="37" customWidth="1"/>
    <col min="8" max="8" width="21.28515625" customWidth="1"/>
    <col min="9" max="9" width="13.7109375" customWidth="1"/>
    <col min="10" max="10" width="17.28515625" customWidth="1"/>
    <col min="13" max="13" width="15.7109375" customWidth="1"/>
    <col min="14" max="14" width="14.7109375" customWidth="1"/>
    <col min="17" max="17" width="24.7109375" customWidth="1"/>
    <col min="18" max="18" width="29.42578125" customWidth="1"/>
  </cols>
  <sheetData>
    <row r="1" spans="2:18">
      <c r="B1" s="387" t="s">
        <v>48</v>
      </c>
      <c r="C1" s="387"/>
      <c r="D1" s="387"/>
      <c r="E1" s="387"/>
      <c r="F1" s="387"/>
      <c r="G1" s="387"/>
      <c r="H1" s="387"/>
      <c r="I1" s="387"/>
      <c r="J1" s="387"/>
      <c r="L1" s="387" t="s">
        <v>50</v>
      </c>
      <c r="M1" s="387"/>
      <c r="N1" s="387"/>
      <c r="O1" s="387"/>
      <c r="P1" s="387"/>
      <c r="Q1" s="387"/>
      <c r="R1" s="387"/>
    </row>
    <row r="2" spans="2:18" ht="50.25" customHeight="1">
      <c r="B2" s="167" t="s">
        <v>134</v>
      </c>
      <c r="C2" s="167" t="s">
        <v>135</v>
      </c>
      <c r="D2" s="166" t="s">
        <v>56</v>
      </c>
      <c r="E2" s="166" t="s">
        <v>136</v>
      </c>
      <c r="F2" s="166" t="s">
        <v>137</v>
      </c>
      <c r="G2" s="167" t="s">
        <v>138</v>
      </c>
      <c r="H2" s="167" t="s">
        <v>139</v>
      </c>
      <c r="I2" s="167" t="s">
        <v>140</v>
      </c>
      <c r="J2" s="166" t="s">
        <v>141</v>
      </c>
      <c r="L2" s="165" t="s">
        <v>94</v>
      </c>
      <c r="M2" s="165" t="s">
        <v>95</v>
      </c>
      <c r="N2" s="165" t="s">
        <v>51</v>
      </c>
      <c r="O2" s="165" t="s">
        <v>97</v>
      </c>
      <c r="P2" s="165" t="s">
        <v>98</v>
      </c>
      <c r="Q2" s="165" t="s">
        <v>78</v>
      </c>
      <c r="R2" s="168" t="s">
        <v>142</v>
      </c>
    </row>
    <row r="3" spans="2:18" ht="25.5">
      <c r="B3" s="18" t="s">
        <v>143</v>
      </c>
      <c r="C3" s="18" t="s">
        <v>144</v>
      </c>
      <c r="D3" s="111" t="s">
        <v>145</v>
      </c>
      <c r="E3" s="111" t="s">
        <v>146</v>
      </c>
      <c r="F3" t="s">
        <v>147</v>
      </c>
      <c r="G3" s="111" t="s">
        <v>148</v>
      </c>
      <c r="H3" t="s">
        <v>14</v>
      </c>
      <c r="I3" t="s">
        <v>149</v>
      </c>
      <c r="J3" t="s">
        <v>150</v>
      </c>
      <c r="L3" s="2" t="s">
        <v>151</v>
      </c>
      <c r="M3" s="2" t="s">
        <v>152</v>
      </c>
      <c r="N3" s="2" t="s">
        <v>153</v>
      </c>
      <c r="O3" s="2" t="s">
        <v>154</v>
      </c>
      <c r="P3" s="2" t="s">
        <v>155</v>
      </c>
      <c r="Q3" s="2" t="s">
        <v>156</v>
      </c>
      <c r="R3" t="s">
        <v>157</v>
      </c>
    </row>
    <row r="4" spans="2:18" ht="31.5" customHeight="1">
      <c r="B4" s="18" t="s">
        <v>99</v>
      </c>
      <c r="C4" s="18" t="s">
        <v>158</v>
      </c>
      <c r="D4" s="111" t="s">
        <v>159</v>
      </c>
      <c r="E4" s="111" t="s">
        <v>160</v>
      </c>
      <c r="F4" t="s">
        <v>161</v>
      </c>
      <c r="G4" s="111" t="s">
        <v>162</v>
      </c>
      <c r="H4" t="s">
        <v>15</v>
      </c>
      <c r="I4" t="s">
        <v>163</v>
      </c>
      <c r="J4" t="s">
        <v>164</v>
      </c>
      <c r="L4" s="2" t="s">
        <v>100</v>
      </c>
      <c r="M4" s="2" t="s">
        <v>165</v>
      </c>
      <c r="N4" s="2" t="s">
        <v>166</v>
      </c>
      <c r="O4" s="2" t="s">
        <v>167</v>
      </c>
      <c r="P4" s="2" t="s">
        <v>168</v>
      </c>
      <c r="Q4" s="2" t="s">
        <v>169</v>
      </c>
      <c r="R4" t="s">
        <v>170</v>
      </c>
    </row>
    <row r="5" spans="2:18" ht="26.25" customHeight="1">
      <c r="B5" s="18" t="s">
        <v>171</v>
      </c>
      <c r="C5" s="18" t="s">
        <v>172</v>
      </c>
      <c r="D5" s="111" t="s">
        <v>173</v>
      </c>
      <c r="E5" s="111" t="s">
        <v>174</v>
      </c>
      <c r="F5" t="s">
        <v>175</v>
      </c>
      <c r="G5" s="111" t="s">
        <v>176</v>
      </c>
      <c r="I5" t="s">
        <v>177</v>
      </c>
      <c r="J5" t="s">
        <v>178</v>
      </c>
      <c r="L5" s="2" t="s">
        <v>179</v>
      </c>
      <c r="P5" s="2" t="s">
        <v>180</v>
      </c>
      <c r="Q5" s="2" t="s">
        <v>181</v>
      </c>
    </row>
    <row r="6" spans="2:18" ht="24.75" customHeight="1">
      <c r="B6" s="18" t="s">
        <v>62</v>
      </c>
      <c r="C6" s="18" t="s">
        <v>182</v>
      </c>
      <c r="D6" s="111"/>
      <c r="F6" t="s">
        <v>183</v>
      </c>
      <c r="G6" s="111" t="s">
        <v>184</v>
      </c>
      <c r="I6" t="s">
        <v>185</v>
      </c>
      <c r="J6" t="s">
        <v>186</v>
      </c>
      <c r="Q6" s="2" t="s">
        <v>101</v>
      </c>
    </row>
    <row r="7" spans="2:18" ht="26.25" customHeight="1">
      <c r="B7" s="18"/>
      <c r="C7" s="18" t="s">
        <v>187</v>
      </c>
      <c r="D7" s="111"/>
      <c r="F7" t="s">
        <v>188</v>
      </c>
      <c r="G7" s="111" t="s">
        <v>189</v>
      </c>
      <c r="I7" t="s">
        <v>190</v>
      </c>
      <c r="Q7" s="2" t="s">
        <v>191</v>
      </c>
    </row>
    <row r="8" spans="2:18" ht="30">
      <c r="B8" s="18"/>
      <c r="C8" s="18"/>
      <c r="D8" s="111"/>
      <c r="F8" t="s">
        <v>192</v>
      </c>
      <c r="G8" s="111" t="s">
        <v>193</v>
      </c>
      <c r="I8" s="111" t="s">
        <v>194</v>
      </c>
    </row>
    <row r="9" spans="2:18" ht="31.5" customHeight="1">
      <c r="B9" s="18"/>
      <c r="C9" s="18"/>
      <c r="D9" s="111"/>
      <c r="G9" s="111" t="s">
        <v>195</v>
      </c>
      <c r="I9" t="s">
        <v>196</v>
      </c>
    </row>
    <row r="10" spans="2:18">
      <c r="B10" s="18"/>
      <c r="C10" s="18"/>
      <c r="D10" s="111"/>
      <c r="I10" t="s">
        <v>197</v>
      </c>
    </row>
    <row r="11" spans="2:18">
      <c r="B11" s="18"/>
      <c r="C11" s="18"/>
      <c r="D11" s="111"/>
    </row>
    <row r="12" spans="2:18">
      <c r="B12" s="18"/>
      <c r="C12" s="18"/>
      <c r="I12" t="s">
        <v>197</v>
      </c>
    </row>
    <row r="13" spans="2:18">
      <c r="B13" s="18"/>
      <c r="C13" s="18"/>
    </row>
  </sheetData>
  <mergeCells count="2">
    <mergeCell ref="B1:J1"/>
    <mergeCell ref="L1:R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2:B30"/>
  <sheetViews>
    <sheetView zoomScale="70" zoomScaleNormal="70" workbookViewId="0">
      <selection activeCell="G93" sqref="G93"/>
    </sheetView>
  </sheetViews>
  <sheetFormatPr baseColWidth="10" defaultColWidth="11.42578125" defaultRowHeight="15"/>
  <sheetData>
    <row r="2" spans="2:2">
      <c r="B2" t="s">
        <v>198</v>
      </c>
    </row>
    <row r="30" spans="2:2">
      <c r="B30" t="s">
        <v>199</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C1:D75"/>
  <sheetViews>
    <sheetView topLeftCell="K64" workbookViewId="0">
      <selection activeCell="C41" sqref="C41"/>
    </sheetView>
  </sheetViews>
  <sheetFormatPr baseColWidth="10" defaultColWidth="11.42578125" defaultRowHeight="15"/>
  <cols>
    <col min="3" max="3" width="119" customWidth="1"/>
    <col min="4" max="4" width="33.28515625" customWidth="1"/>
  </cols>
  <sheetData>
    <row r="1" spans="3:4" ht="15.75" thickBot="1"/>
    <row r="2" spans="3:4">
      <c r="C2" s="388" t="s">
        <v>200</v>
      </c>
      <c r="D2" s="389"/>
    </row>
    <row r="3" spans="3:4">
      <c r="C3" s="390"/>
      <c r="D3" s="391"/>
    </row>
    <row r="4" spans="3:4" ht="15.75" thickBot="1">
      <c r="C4" s="150" t="s">
        <v>201</v>
      </c>
      <c r="D4" s="151" t="s">
        <v>202</v>
      </c>
    </row>
    <row r="5" spans="3:4" ht="30" customHeight="1">
      <c r="C5" s="152" t="s">
        <v>203</v>
      </c>
      <c r="D5" s="153">
        <v>1</v>
      </c>
    </row>
    <row r="6" spans="3:4" ht="28.5" customHeight="1">
      <c r="C6" s="154" t="s">
        <v>204</v>
      </c>
      <c r="D6" s="155">
        <v>1</v>
      </c>
    </row>
    <row r="7" spans="3:4" ht="28.5" customHeight="1">
      <c r="C7" s="156" t="s">
        <v>205</v>
      </c>
      <c r="D7" s="155">
        <v>1</v>
      </c>
    </row>
    <row r="8" spans="3:4" ht="28.5" customHeight="1">
      <c r="C8" s="156" t="s">
        <v>206</v>
      </c>
      <c r="D8" s="155">
        <v>1</v>
      </c>
    </row>
    <row r="9" spans="3:4" ht="18.600000000000001" customHeight="1">
      <c r="C9" s="156" t="s">
        <v>207</v>
      </c>
      <c r="D9" s="155">
        <v>1</v>
      </c>
    </row>
    <row r="10" spans="3:4" ht="28.5" customHeight="1">
      <c r="C10" s="156" t="s">
        <v>208</v>
      </c>
      <c r="D10" s="155">
        <v>1</v>
      </c>
    </row>
    <row r="11" spans="3:4" ht="21" customHeight="1">
      <c r="C11" s="154" t="s">
        <v>209</v>
      </c>
      <c r="D11" s="155">
        <v>1</v>
      </c>
    </row>
    <row r="12" spans="3:4" ht="21" customHeight="1">
      <c r="C12" s="154" t="s">
        <v>210</v>
      </c>
      <c r="D12" s="155">
        <v>1</v>
      </c>
    </row>
    <row r="13" spans="3:4" ht="21.6" customHeight="1">
      <c r="C13" s="154" t="s">
        <v>211</v>
      </c>
      <c r="D13" s="155">
        <v>1</v>
      </c>
    </row>
    <row r="14" spans="3:4" ht="28.5" customHeight="1">
      <c r="C14" s="154" t="s">
        <v>212</v>
      </c>
      <c r="D14" s="155">
        <v>1</v>
      </c>
    </row>
    <row r="15" spans="3:4" ht="22.5" customHeight="1">
      <c r="C15" s="157"/>
      <c r="D15" s="155">
        <v>1</v>
      </c>
    </row>
    <row r="16" spans="3:4" ht="28.5" customHeight="1">
      <c r="C16" s="158" t="s">
        <v>213</v>
      </c>
      <c r="D16" s="159"/>
    </row>
    <row r="17" spans="3:4" ht="28.5" customHeight="1">
      <c r="C17" s="152" t="s">
        <v>214</v>
      </c>
      <c r="D17" s="155">
        <v>1</v>
      </c>
    </row>
    <row r="18" spans="3:4" ht="28.5" customHeight="1">
      <c r="C18" s="152" t="s">
        <v>215</v>
      </c>
      <c r="D18" s="155">
        <v>1</v>
      </c>
    </row>
    <row r="19" spans="3:4" ht="28.5" customHeight="1">
      <c r="C19" s="152" t="s">
        <v>216</v>
      </c>
      <c r="D19" s="155">
        <v>1</v>
      </c>
    </row>
    <row r="20" spans="3:4" ht="28.5" customHeight="1">
      <c r="C20" s="154" t="s">
        <v>217</v>
      </c>
      <c r="D20" s="155">
        <v>1</v>
      </c>
    </row>
    <row r="21" spans="3:4" ht="28.5" customHeight="1">
      <c r="C21" s="152" t="s">
        <v>218</v>
      </c>
      <c r="D21" s="155">
        <v>1</v>
      </c>
    </row>
    <row r="22" spans="3:4" ht="28.5" customHeight="1">
      <c r="C22" s="160" t="s">
        <v>219</v>
      </c>
      <c r="D22" s="155">
        <v>1</v>
      </c>
    </row>
    <row r="23" spans="3:4" ht="28.5" customHeight="1">
      <c r="C23" s="152" t="s">
        <v>220</v>
      </c>
      <c r="D23" s="155">
        <v>1</v>
      </c>
    </row>
    <row r="24" spans="3:4" ht="28.5" customHeight="1">
      <c r="C24" s="152" t="s">
        <v>221</v>
      </c>
      <c r="D24" s="155">
        <v>1</v>
      </c>
    </row>
    <row r="25" spans="3:4" ht="28.5" customHeight="1">
      <c r="C25" s="157"/>
      <c r="D25" s="155">
        <v>1</v>
      </c>
    </row>
    <row r="26" spans="3:4" ht="28.5" customHeight="1">
      <c r="C26" s="157"/>
      <c r="D26" s="155">
        <v>1</v>
      </c>
    </row>
    <row r="27" spans="3:4" ht="28.5" customHeight="1">
      <c r="C27" s="158" t="s">
        <v>222</v>
      </c>
      <c r="D27" s="161"/>
    </row>
    <row r="28" spans="3:4" ht="28.5" customHeight="1">
      <c r="C28" s="156" t="s">
        <v>223</v>
      </c>
      <c r="D28" s="155">
        <v>1</v>
      </c>
    </row>
    <row r="29" spans="3:4" ht="28.5" customHeight="1">
      <c r="C29" s="156" t="s">
        <v>224</v>
      </c>
      <c r="D29" s="155">
        <v>1</v>
      </c>
    </row>
    <row r="30" spans="3:4" ht="28.5" customHeight="1">
      <c r="C30" s="156" t="s">
        <v>225</v>
      </c>
      <c r="D30" s="155">
        <v>1</v>
      </c>
    </row>
    <row r="31" spans="3:4" ht="28.5" customHeight="1">
      <c r="C31" s="156" t="s">
        <v>226</v>
      </c>
      <c r="D31" s="155">
        <v>1</v>
      </c>
    </row>
    <row r="32" spans="3:4" ht="28.5" customHeight="1">
      <c r="C32" s="156" t="s">
        <v>227</v>
      </c>
      <c r="D32" s="155">
        <v>1</v>
      </c>
    </row>
    <row r="33" spans="3:4" ht="28.5" customHeight="1">
      <c r="C33" s="162" t="s">
        <v>228</v>
      </c>
      <c r="D33" s="155">
        <v>1</v>
      </c>
    </row>
    <row r="34" spans="3:4" ht="28.5" customHeight="1">
      <c r="C34" s="154" t="s">
        <v>229</v>
      </c>
      <c r="D34" s="155">
        <v>1</v>
      </c>
    </row>
    <row r="35" spans="3:4" ht="28.5" customHeight="1">
      <c r="C35" s="156" t="s">
        <v>230</v>
      </c>
      <c r="D35" s="155">
        <v>1</v>
      </c>
    </row>
    <row r="36" spans="3:4" ht="28.5" customHeight="1">
      <c r="C36" s="156" t="s">
        <v>231</v>
      </c>
      <c r="D36" s="155">
        <v>1</v>
      </c>
    </row>
    <row r="37" spans="3:4" ht="28.5" customHeight="1">
      <c r="C37" s="156" t="s">
        <v>232</v>
      </c>
      <c r="D37" s="155">
        <v>1</v>
      </c>
    </row>
    <row r="38" spans="3:4" ht="28.5" customHeight="1">
      <c r="C38" s="154" t="s">
        <v>233</v>
      </c>
      <c r="D38" s="155">
        <v>1</v>
      </c>
    </row>
    <row r="39" spans="3:4" ht="28.5" customHeight="1">
      <c r="C39" s="162" t="s">
        <v>234</v>
      </c>
      <c r="D39" s="155">
        <v>1</v>
      </c>
    </row>
    <row r="40" spans="3:4" ht="28.5" customHeight="1">
      <c r="C40" s="162" t="s">
        <v>235</v>
      </c>
      <c r="D40" s="155">
        <v>1</v>
      </c>
    </row>
    <row r="41" spans="3:4" ht="28.5" customHeight="1">
      <c r="C41" s="162" t="s">
        <v>236</v>
      </c>
      <c r="D41" s="155">
        <v>1</v>
      </c>
    </row>
    <row r="42" spans="3:4" ht="28.5" customHeight="1">
      <c r="C42" s="162" t="s">
        <v>237</v>
      </c>
      <c r="D42" s="155">
        <v>1</v>
      </c>
    </row>
    <row r="43" spans="3:4" ht="28.5" customHeight="1">
      <c r="C43" s="163"/>
      <c r="D43" s="155"/>
    </row>
    <row r="44" spans="3:4" ht="28.5" customHeight="1">
      <c r="C44" s="163"/>
      <c r="D44" s="155"/>
    </row>
    <row r="45" spans="3:4" ht="28.5" customHeight="1">
      <c r="C45" s="158" t="s">
        <v>238</v>
      </c>
      <c r="D45" s="161"/>
    </row>
    <row r="46" spans="3:4" ht="28.5" customHeight="1">
      <c r="C46" s="162" t="s">
        <v>239</v>
      </c>
      <c r="D46" s="155">
        <v>1</v>
      </c>
    </row>
    <row r="47" spans="3:4" ht="28.5" customHeight="1">
      <c r="C47" s="162" t="s">
        <v>240</v>
      </c>
      <c r="D47" s="155">
        <v>1</v>
      </c>
    </row>
    <row r="48" spans="3:4" ht="28.5" customHeight="1">
      <c r="C48" s="162" t="s">
        <v>241</v>
      </c>
      <c r="D48" s="155">
        <v>1</v>
      </c>
    </row>
    <row r="49" spans="3:4" ht="28.5" customHeight="1">
      <c r="C49" s="162" t="s">
        <v>242</v>
      </c>
      <c r="D49" s="155">
        <v>1</v>
      </c>
    </row>
    <row r="50" spans="3:4" ht="28.5" customHeight="1">
      <c r="C50" s="164" t="s">
        <v>243</v>
      </c>
      <c r="D50" s="155">
        <v>1</v>
      </c>
    </row>
    <row r="51" spans="3:4" ht="28.5" customHeight="1">
      <c r="C51" s="164" t="s">
        <v>244</v>
      </c>
      <c r="D51" s="155">
        <v>1</v>
      </c>
    </row>
    <row r="52" spans="3:4" ht="28.5" customHeight="1">
      <c r="C52" s="164" t="s">
        <v>245</v>
      </c>
      <c r="D52" s="155">
        <v>1</v>
      </c>
    </row>
    <row r="53" spans="3:4" ht="28.5" customHeight="1">
      <c r="C53" s="152" t="s">
        <v>246</v>
      </c>
      <c r="D53" s="155">
        <v>1</v>
      </c>
    </row>
    <row r="54" spans="3:4" ht="28.5" customHeight="1">
      <c r="C54" s="152" t="s">
        <v>247</v>
      </c>
      <c r="D54" s="155">
        <v>1</v>
      </c>
    </row>
    <row r="55" spans="3:4" ht="28.5" customHeight="1"/>
    <row r="56" spans="3:4" ht="11.1" customHeight="1"/>
    <row r="57" spans="3:4" ht="11.1" customHeight="1"/>
    <row r="58" spans="3:4" ht="11.1" customHeight="1"/>
    <row r="59" spans="3:4" ht="11.1" customHeight="1"/>
    <row r="60" spans="3:4" ht="11.1" customHeight="1"/>
    <row r="61" spans="3:4" ht="11.1" customHeight="1"/>
    <row r="62" spans="3:4" ht="11.1" customHeight="1"/>
    <row r="63" spans="3:4" ht="11.1" customHeight="1"/>
    <row r="64" spans="3:4" ht="11.1" customHeight="1"/>
    <row r="65" ht="11.1" customHeight="1"/>
    <row r="66" ht="11.1" customHeight="1"/>
    <row r="67" ht="11.1" customHeight="1"/>
    <row r="68" ht="11.1" customHeight="1"/>
    <row r="69" ht="11.1" customHeight="1"/>
    <row r="70" ht="11.1" customHeight="1"/>
    <row r="71" ht="11.1" customHeight="1"/>
    <row r="72" ht="11.1" customHeight="1"/>
    <row r="73" ht="11.1" customHeight="1"/>
    <row r="74" ht="11.1" customHeight="1"/>
    <row r="75" ht="11.1" customHeight="1"/>
  </sheetData>
  <mergeCells count="1">
    <mergeCell ref="C2:D3"/>
  </mergeCells>
  <conditionalFormatting sqref="D5:D15 D17:D26 D43:D44">
    <cfRule type="iconSet" priority="6">
      <iconSet>
        <cfvo type="percent" val="0"/>
        <cfvo type="percent" val="33"/>
        <cfvo type="percent" val="67"/>
      </iconSet>
    </cfRule>
  </conditionalFormatting>
  <conditionalFormatting sqref="D28:D42">
    <cfRule type="iconSet" priority="4">
      <iconSet>
        <cfvo type="percent" val="0"/>
        <cfvo type="percent" val="33"/>
        <cfvo type="percent" val="67"/>
      </iconSet>
    </cfRule>
  </conditionalFormatting>
  <conditionalFormatting sqref="D46:D54">
    <cfRule type="iconSet" priority="2">
      <iconSet>
        <cfvo type="percent" val="0"/>
        <cfvo type="percent" val="33"/>
        <cfvo type="percent" val="67"/>
      </iconSe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iconSet" priority="5" id="{06EB6435-C432-4D19-A0A0-EA03417474CA}">
            <x14:iconSet showValue="0" custom="1">
              <x14:cfvo type="percent">
                <xm:f>0</xm:f>
              </x14:cfvo>
              <x14:cfvo type="percent">
                <xm:f>0</xm:f>
              </x14:cfvo>
              <x14:cfvo type="num">
                <xm:f>1</xm:f>
              </x14:cfvo>
              <x14:cfIcon iconSet="3Symbols" iconId="0"/>
              <x14:cfIcon iconSet="3Symbols" iconId="0"/>
              <x14:cfIcon iconSet="3Symbols" iconId="2"/>
            </x14:iconSet>
          </x14:cfRule>
          <xm:sqref>D5:D15 D17:D26 D43:D44</xm:sqref>
        </x14:conditionalFormatting>
        <x14:conditionalFormatting xmlns:xm="http://schemas.microsoft.com/office/excel/2006/main">
          <x14:cfRule type="iconSet" priority="3" id="{381B375A-42D7-49A6-A52D-2130434D1021}">
            <x14:iconSet showValue="0" custom="1">
              <x14:cfvo type="percent">
                <xm:f>0</xm:f>
              </x14:cfvo>
              <x14:cfvo type="percent">
                <xm:f>0</xm:f>
              </x14:cfvo>
              <x14:cfvo type="num">
                <xm:f>1</xm:f>
              </x14:cfvo>
              <x14:cfIcon iconSet="3Symbols" iconId="0"/>
              <x14:cfIcon iconSet="3Symbols" iconId="0"/>
              <x14:cfIcon iconSet="3Symbols" iconId="2"/>
            </x14:iconSet>
          </x14:cfRule>
          <xm:sqref>D28:D42</xm:sqref>
        </x14:conditionalFormatting>
        <x14:conditionalFormatting xmlns:xm="http://schemas.microsoft.com/office/excel/2006/main">
          <x14:cfRule type="iconSet" priority="1" id="{05A66E2B-23A5-4AC3-BFE1-977F769F42E5}">
            <x14:iconSet showValue="0" custom="1">
              <x14:cfvo type="percent">
                <xm:f>0</xm:f>
              </x14:cfvo>
              <x14:cfvo type="percent">
                <xm:f>0</xm:f>
              </x14:cfvo>
              <x14:cfvo type="num">
                <xm:f>1</xm:f>
              </x14:cfvo>
              <x14:cfIcon iconSet="3Symbols" iconId="0"/>
              <x14:cfIcon iconSet="3Symbols" iconId="0"/>
              <x14:cfIcon iconSet="3Symbols" iconId="2"/>
            </x14:iconSet>
          </x14:cfRule>
          <xm:sqref>D46:D54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CW145"/>
  <sheetViews>
    <sheetView showGridLines="0" showRowColHeaders="0" zoomScale="60" zoomScaleNormal="60" workbookViewId="0">
      <pane ySplit="7" topLeftCell="A8" activePane="bottomLeft" state="frozen"/>
      <selection pane="bottomLeft" activeCell="AP3" sqref="AP3:AV3"/>
    </sheetView>
  </sheetViews>
  <sheetFormatPr baseColWidth="10" defaultColWidth="11.42578125" defaultRowHeight="15"/>
  <cols>
    <col min="1" max="1" width="5.28515625" customWidth="1"/>
    <col min="2" max="2" width="8.7109375" customWidth="1"/>
    <col min="3" max="3" width="9" customWidth="1"/>
    <col min="4" max="41" width="5.7109375" customWidth="1"/>
    <col min="43" max="48" width="5.7109375" customWidth="1"/>
  </cols>
  <sheetData>
    <row r="1" spans="1:101" ht="15.75" thickBot="1"/>
    <row r="2" spans="1:101" ht="15" customHeight="1">
      <c r="D2" s="452" t="s">
        <v>248</v>
      </c>
      <c r="E2" s="453"/>
      <c r="F2" s="453"/>
      <c r="G2" s="453"/>
      <c r="H2" s="453"/>
      <c r="I2" s="453"/>
      <c r="J2" s="453"/>
      <c r="K2" s="454"/>
      <c r="L2" s="443" t="s">
        <v>38</v>
      </c>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5"/>
      <c r="AP2" s="293" t="s">
        <v>249</v>
      </c>
      <c r="AQ2" s="440"/>
      <c r="AR2" s="440"/>
      <c r="AS2" s="440"/>
      <c r="AT2" s="440"/>
      <c r="AU2" s="440"/>
      <c r="AV2" s="267"/>
    </row>
    <row r="3" spans="1:101">
      <c r="D3" s="455"/>
      <c r="E3" s="456"/>
      <c r="F3" s="456"/>
      <c r="G3" s="456"/>
      <c r="H3" s="456"/>
      <c r="I3" s="456"/>
      <c r="J3" s="456"/>
      <c r="K3" s="457"/>
      <c r="L3" s="446"/>
      <c r="M3" s="447"/>
      <c r="N3" s="447"/>
      <c r="O3" s="447"/>
      <c r="P3" s="447"/>
      <c r="Q3" s="447"/>
      <c r="R3" s="447"/>
      <c r="S3" s="447"/>
      <c r="T3" s="447"/>
      <c r="U3" s="447"/>
      <c r="V3" s="447"/>
      <c r="W3" s="447"/>
      <c r="X3" s="447"/>
      <c r="Y3" s="447"/>
      <c r="Z3" s="447"/>
      <c r="AA3" s="447"/>
      <c r="AB3" s="447"/>
      <c r="AC3" s="447"/>
      <c r="AD3" s="447"/>
      <c r="AE3" s="447"/>
      <c r="AF3" s="447"/>
      <c r="AG3" s="447"/>
      <c r="AH3" s="447"/>
      <c r="AI3" s="447"/>
      <c r="AJ3" s="447"/>
      <c r="AK3" s="447"/>
      <c r="AL3" s="447"/>
      <c r="AM3" s="447"/>
      <c r="AN3" s="447"/>
      <c r="AO3" s="448"/>
      <c r="AP3" s="294" t="s">
        <v>3</v>
      </c>
      <c r="AQ3" s="441"/>
      <c r="AR3" s="441"/>
      <c r="AS3" s="441"/>
      <c r="AT3" s="441"/>
      <c r="AU3" s="441"/>
      <c r="AV3" s="269"/>
    </row>
    <row r="4" spans="1:101">
      <c r="D4" s="455"/>
      <c r="E4" s="456"/>
      <c r="F4" s="456"/>
      <c r="G4" s="456"/>
      <c r="H4" s="456"/>
      <c r="I4" s="456"/>
      <c r="J4" s="456"/>
      <c r="K4" s="457"/>
      <c r="L4" s="446"/>
      <c r="M4" s="447"/>
      <c r="N4" s="447"/>
      <c r="O4" s="447"/>
      <c r="P4" s="447"/>
      <c r="Q4" s="447"/>
      <c r="R4" s="447"/>
      <c r="S4" s="447"/>
      <c r="T4" s="447"/>
      <c r="U4" s="447"/>
      <c r="V4" s="447"/>
      <c r="W4" s="447"/>
      <c r="X4" s="447"/>
      <c r="Y4" s="447"/>
      <c r="Z4" s="447"/>
      <c r="AA4" s="447"/>
      <c r="AB4" s="447"/>
      <c r="AC4" s="447"/>
      <c r="AD4" s="447"/>
      <c r="AE4" s="447"/>
      <c r="AF4" s="447"/>
      <c r="AG4" s="447"/>
      <c r="AH4" s="447"/>
      <c r="AI4" s="447"/>
      <c r="AJ4" s="447"/>
      <c r="AK4" s="447"/>
      <c r="AL4" s="447"/>
      <c r="AM4" s="447"/>
      <c r="AN4" s="447"/>
      <c r="AO4" s="448"/>
      <c r="AP4" s="294" t="s">
        <v>4</v>
      </c>
      <c r="AQ4" s="441" t="s">
        <v>250</v>
      </c>
      <c r="AR4" s="441"/>
      <c r="AS4" s="441"/>
      <c r="AT4" s="441"/>
      <c r="AU4" s="441"/>
      <c r="AV4" s="269"/>
    </row>
    <row r="5" spans="1:101" ht="15.75" thickBot="1">
      <c r="D5" s="458"/>
      <c r="E5" s="459"/>
      <c r="F5" s="459"/>
      <c r="G5" s="459"/>
      <c r="H5" s="459"/>
      <c r="I5" s="459"/>
      <c r="J5" s="459"/>
      <c r="K5" s="460"/>
      <c r="L5" s="449"/>
      <c r="M5" s="450"/>
      <c r="N5" s="450"/>
      <c r="O5" s="450"/>
      <c r="P5" s="450"/>
      <c r="Q5" s="450"/>
      <c r="R5" s="450"/>
      <c r="S5" s="450"/>
      <c r="T5" s="450"/>
      <c r="U5" s="450"/>
      <c r="V5" s="450"/>
      <c r="W5" s="450"/>
      <c r="X5" s="450"/>
      <c r="Y5" s="450"/>
      <c r="Z5" s="450"/>
      <c r="AA5" s="450"/>
      <c r="AB5" s="450"/>
      <c r="AC5" s="450"/>
      <c r="AD5" s="450"/>
      <c r="AE5" s="450"/>
      <c r="AF5" s="450"/>
      <c r="AG5" s="450"/>
      <c r="AH5" s="450"/>
      <c r="AI5" s="450"/>
      <c r="AJ5" s="450"/>
      <c r="AK5" s="450"/>
      <c r="AL5" s="450"/>
      <c r="AM5" s="450"/>
      <c r="AN5" s="450"/>
      <c r="AO5" s="451"/>
      <c r="AP5" s="295" t="s">
        <v>5</v>
      </c>
      <c r="AQ5" s="442" t="s">
        <v>5</v>
      </c>
      <c r="AR5" s="442"/>
      <c r="AS5" s="442"/>
      <c r="AT5" s="442"/>
      <c r="AU5" s="442"/>
      <c r="AV5" s="271"/>
    </row>
    <row r="7" spans="1:101" ht="18" customHeight="1">
      <c r="C7" s="68"/>
      <c r="D7" s="392" t="s">
        <v>251</v>
      </c>
      <c r="E7" s="392"/>
      <c r="F7" s="392"/>
      <c r="G7" s="392"/>
      <c r="H7" s="392"/>
      <c r="I7" s="392"/>
      <c r="J7" s="392"/>
      <c r="K7" s="392"/>
      <c r="L7" s="499" t="s">
        <v>56</v>
      </c>
      <c r="M7" s="499"/>
      <c r="N7" s="499"/>
      <c r="O7" s="499"/>
      <c r="P7" s="499"/>
      <c r="Q7" s="499"/>
      <c r="R7" s="499"/>
      <c r="S7" s="499"/>
      <c r="T7" s="499"/>
      <c r="U7" s="499"/>
      <c r="V7" s="499"/>
      <c r="W7" s="499"/>
      <c r="X7" s="499"/>
      <c r="Y7" s="499"/>
      <c r="Z7" s="499"/>
      <c r="AA7" s="499"/>
      <c r="AB7" s="499"/>
      <c r="AC7" s="499"/>
      <c r="AD7" s="499"/>
      <c r="AE7" s="499"/>
      <c r="AF7" s="499"/>
      <c r="AG7" s="499"/>
      <c r="AH7" s="499"/>
      <c r="AI7" s="499"/>
      <c r="AJ7" s="499"/>
      <c r="AK7" s="499"/>
      <c r="AL7" s="499"/>
      <c r="AM7" s="499"/>
      <c r="AN7" s="499"/>
      <c r="AO7" s="499"/>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row>
    <row r="8" spans="1:101" ht="18.75" customHeight="1">
      <c r="A8" s="318" t="s">
        <v>9</v>
      </c>
      <c r="B8" s="318"/>
      <c r="C8" s="319"/>
      <c r="D8" s="392"/>
      <c r="E8" s="392"/>
      <c r="F8" s="392"/>
      <c r="G8" s="392"/>
      <c r="H8" s="392"/>
      <c r="I8" s="392"/>
      <c r="J8" s="392"/>
      <c r="K8" s="392"/>
      <c r="L8" s="499"/>
      <c r="M8" s="499"/>
      <c r="N8" s="499"/>
      <c r="O8" s="499"/>
      <c r="P8" s="499"/>
      <c r="Q8" s="499"/>
      <c r="R8" s="499"/>
      <c r="S8" s="499"/>
      <c r="T8" s="499"/>
      <c r="U8" s="499"/>
      <c r="V8" s="499"/>
      <c r="W8" s="499"/>
      <c r="X8" s="499"/>
      <c r="Y8" s="499"/>
      <c r="Z8" s="499"/>
      <c r="AA8" s="499"/>
      <c r="AB8" s="499"/>
      <c r="AC8" s="499"/>
      <c r="AD8" s="499"/>
      <c r="AE8" s="499"/>
      <c r="AF8" s="499"/>
      <c r="AG8" s="499"/>
      <c r="AH8" s="499"/>
      <c r="AI8" s="499"/>
      <c r="AJ8" s="499"/>
      <c r="AK8" s="499"/>
      <c r="AL8" s="499"/>
      <c r="AM8" s="499"/>
      <c r="AN8" s="499"/>
      <c r="AO8" s="499"/>
      <c r="AP8" s="68"/>
      <c r="AQ8" s="68"/>
      <c r="AR8" s="68"/>
      <c r="AS8" s="68"/>
      <c r="AT8" s="68"/>
      <c r="AU8" s="68"/>
      <c r="AV8" s="68"/>
      <c r="AW8" s="68"/>
      <c r="AX8" s="68"/>
      <c r="AY8" s="68"/>
      <c r="AZ8" s="68"/>
      <c r="BA8" s="68"/>
      <c r="BB8" s="68"/>
      <c r="BC8" s="68"/>
      <c r="BD8" s="68"/>
      <c r="BE8" s="68"/>
      <c r="BF8" s="68"/>
      <c r="BG8" s="68"/>
      <c r="BH8" s="68"/>
      <c r="BI8" s="68"/>
      <c r="BJ8" s="68"/>
      <c r="BK8" s="68"/>
      <c r="BL8" s="68"/>
      <c r="BM8" s="68"/>
      <c r="BN8" s="68"/>
      <c r="BO8" s="68"/>
      <c r="BP8" s="68"/>
      <c r="BQ8" s="68"/>
      <c r="BR8" s="68"/>
      <c r="BS8" s="68"/>
      <c r="BT8" s="68"/>
      <c r="BU8" s="68"/>
      <c r="BV8" s="68"/>
      <c r="BW8" s="68"/>
      <c r="BX8" s="68"/>
      <c r="BY8" s="68"/>
      <c r="BZ8" s="68"/>
      <c r="CA8" s="68"/>
      <c r="CB8" s="68"/>
      <c r="CC8" s="68"/>
      <c r="CD8" s="68"/>
      <c r="CE8" s="68"/>
      <c r="CF8" s="68"/>
      <c r="CG8" s="68"/>
      <c r="CH8" s="68"/>
      <c r="CI8" s="68"/>
      <c r="CJ8" s="68"/>
      <c r="CK8" s="68"/>
      <c r="CL8" s="68"/>
      <c r="CM8" s="68"/>
      <c r="CN8" s="68"/>
      <c r="CO8" s="68"/>
      <c r="CP8" s="68"/>
      <c r="CQ8" s="68"/>
      <c r="CR8" s="68"/>
      <c r="CS8" s="68"/>
      <c r="CT8" s="68"/>
      <c r="CU8" s="68"/>
      <c r="CV8" s="68"/>
      <c r="CW8" s="68"/>
    </row>
    <row r="9" spans="1:101" ht="15" customHeight="1">
      <c r="C9" s="68"/>
      <c r="D9" s="392"/>
      <c r="E9" s="392"/>
      <c r="F9" s="392"/>
      <c r="G9" s="392"/>
      <c r="H9" s="392"/>
      <c r="I9" s="392"/>
      <c r="J9" s="392"/>
      <c r="K9" s="392"/>
      <c r="L9" s="499"/>
      <c r="M9" s="499"/>
      <c r="N9" s="499"/>
      <c r="O9" s="499"/>
      <c r="P9" s="499"/>
      <c r="Q9" s="499"/>
      <c r="R9" s="499"/>
      <c r="S9" s="499"/>
      <c r="T9" s="499"/>
      <c r="U9" s="499"/>
      <c r="V9" s="499"/>
      <c r="W9" s="499"/>
      <c r="X9" s="499"/>
      <c r="Y9" s="499"/>
      <c r="Z9" s="499"/>
      <c r="AA9" s="499"/>
      <c r="AB9" s="499"/>
      <c r="AC9" s="499"/>
      <c r="AD9" s="499"/>
      <c r="AE9" s="499"/>
      <c r="AF9" s="499"/>
      <c r="AG9" s="499"/>
      <c r="AH9" s="499"/>
      <c r="AI9" s="499"/>
      <c r="AJ9" s="499"/>
      <c r="AK9" s="499"/>
      <c r="AL9" s="499"/>
      <c r="AM9" s="499"/>
      <c r="AN9" s="499"/>
      <c r="AO9" s="499"/>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row>
    <row r="10" spans="1:101" ht="15.75" thickBot="1">
      <c r="C10" s="68"/>
      <c r="D10" s="6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c r="CO10" s="68"/>
      <c r="CP10" s="68"/>
      <c r="CQ10" s="68"/>
      <c r="CR10" s="68"/>
      <c r="CS10" s="68"/>
      <c r="CT10" s="68"/>
      <c r="CU10" s="68"/>
      <c r="CV10" s="68"/>
      <c r="CW10" s="68"/>
    </row>
    <row r="11" spans="1:101" ht="15" customHeight="1">
      <c r="C11" s="68"/>
      <c r="D11" s="461" t="s">
        <v>252</v>
      </c>
      <c r="E11" s="461"/>
      <c r="F11" s="462"/>
      <c r="G11" s="429" t="s">
        <v>253</v>
      </c>
      <c r="H11" s="431"/>
      <c r="I11" s="431"/>
      <c r="J11" s="431"/>
      <c r="K11" s="431"/>
      <c r="L11" s="426"/>
      <c r="M11" s="427"/>
      <c r="N11" s="427" t="str">
        <f>IF(AND('Mapa final'!$K$15="Muy Alta",'Mapa final'!$O$15="Leve"),CONCATENATE("R",'Mapa final'!#REF!),"")</f>
        <v/>
      </c>
      <c r="O11" s="427"/>
      <c r="P11" s="427" t="e">
        <f>IF(AND('Mapa final'!#REF!="Muy Alta",'Mapa final'!#REF!="Leve"),CONCATENATE("R",'Mapa final'!#REF!),"")</f>
        <v>#REF!</v>
      </c>
      <c r="Q11" s="428"/>
      <c r="R11" s="426"/>
      <c r="S11" s="427"/>
      <c r="T11" s="427" t="str">
        <f>IF(AND('Mapa final'!$P$15="Muy Alta",'Mapa final'!$S$15="Menor"),CONCATENATE("R",'Mapa final'!#REF!),"")</f>
        <v/>
      </c>
      <c r="U11" s="427"/>
      <c r="V11" s="427" t="e">
        <f>IF(AND('Mapa final'!#REF!="Muy Alta",'Mapa final'!#REF!="Menor"),CONCATENATE("R",'Mapa final'!#REF!),"")</f>
        <v>#REF!</v>
      </c>
      <c r="W11" s="427"/>
      <c r="X11" s="426"/>
      <c r="Y11" s="427"/>
      <c r="Z11" s="427" t="str">
        <f>IF(AND('Mapa final'!P$15="Muy Alta",'Mapa final'!$S$15="Moderado"),CONCATENATE("R",'Mapa final'!#REF!),"")</f>
        <v/>
      </c>
      <c r="AA11" s="427"/>
      <c r="AB11" s="427" t="e">
        <f>IF(AND('Mapa final'!#REF!="Muy Alta",'Mapa final'!#REF!="Moderado"),CONCATENATE("R",'Mapa final'!#REF!),"")</f>
        <v>#REF!</v>
      </c>
      <c r="AC11" s="427"/>
      <c r="AD11" s="426"/>
      <c r="AE11" s="427"/>
      <c r="AF11" s="427" t="str">
        <f>IF(AND('Mapa final'!$P$15="Muy Alta",'Mapa final'!$S$15="Mayor"),CONCATENATE("R",'Mapa final'!#REF!),"")</f>
        <v/>
      </c>
      <c r="AG11" s="427"/>
      <c r="AH11" s="427" t="e">
        <f>IF(AND('Mapa final'!#REF!="Muy Alta",'Mapa final'!#REF!="Mayor"),CONCATENATE("R",'Mapa final'!#REF!),"")</f>
        <v>#REF!</v>
      </c>
      <c r="AI11" s="427"/>
      <c r="AJ11" s="417"/>
      <c r="AK11" s="418"/>
      <c r="AL11" s="418" t="str">
        <f>IF(AND('Mapa final'!$P$15="Muy Alta",'Mapa final'!$S$15="Catastrófico"),CONCATENATE("R",'Mapa final'!#REF!),"")</f>
        <v/>
      </c>
      <c r="AM11" s="418"/>
      <c r="AN11" s="418" t="e">
        <f>IF(AND('Mapa final'!#REF!="Muy Alta",'Mapa final'!#REF!="Catastrófico"),CONCATENATE("R",'Mapa final'!#REF!),"")</f>
        <v>#REF!</v>
      </c>
      <c r="AO11" s="419"/>
      <c r="AQ11" s="463" t="s">
        <v>254</v>
      </c>
      <c r="AR11" s="464"/>
      <c r="AS11" s="464"/>
      <c r="AT11" s="464"/>
      <c r="AU11" s="464"/>
      <c r="AV11" s="465"/>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row>
    <row r="12" spans="1:101" ht="15" customHeight="1">
      <c r="C12" s="68"/>
      <c r="D12" s="461"/>
      <c r="E12" s="461"/>
      <c r="F12" s="462"/>
      <c r="G12" s="433"/>
      <c r="H12" s="434"/>
      <c r="I12" s="434"/>
      <c r="J12" s="434"/>
      <c r="K12" s="434"/>
      <c r="L12" s="420"/>
      <c r="M12" s="421"/>
      <c r="N12" s="421"/>
      <c r="O12" s="421"/>
      <c r="P12" s="421"/>
      <c r="Q12" s="422"/>
      <c r="R12" s="420"/>
      <c r="S12" s="421"/>
      <c r="T12" s="421"/>
      <c r="U12" s="421"/>
      <c r="V12" s="421"/>
      <c r="W12" s="421"/>
      <c r="X12" s="420"/>
      <c r="Y12" s="421"/>
      <c r="Z12" s="421"/>
      <c r="AA12" s="421"/>
      <c r="AB12" s="421"/>
      <c r="AC12" s="421"/>
      <c r="AD12" s="420"/>
      <c r="AE12" s="421"/>
      <c r="AF12" s="421"/>
      <c r="AG12" s="421"/>
      <c r="AH12" s="421"/>
      <c r="AI12" s="421"/>
      <c r="AJ12" s="411"/>
      <c r="AK12" s="412"/>
      <c r="AL12" s="412"/>
      <c r="AM12" s="412"/>
      <c r="AN12" s="412"/>
      <c r="AO12" s="413"/>
      <c r="AP12" s="68"/>
      <c r="AQ12" s="466"/>
      <c r="AR12" s="467"/>
      <c r="AS12" s="467"/>
      <c r="AT12" s="467"/>
      <c r="AU12" s="467"/>
      <c r="AV12" s="4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68"/>
    </row>
    <row r="13" spans="1:101" ht="15" customHeight="1">
      <c r="C13" s="68"/>
      <c r="D13" s="461"/>
      <c r="E13" s="461"/>
      <c r="F13" s="462"/>
      <c r="G13" s="433"/>
      <c r="H13" s="434"/>
      <c r="I13" s="434"/>
      <c r="J13" s="434"/>
      <c r="K13" s="434"/>
      <c r="L13" s="420" t="e">
        <f>IF(AND('Mapa final'!#REF!="Muy Alta",'Mapa final'!#REF!="Leve"),CONCATENATE("R",'Mapa final'!#REF!),"")</f>
        <v>#REF!</v>
      </c>
      <c r="M13" s="421"/>
      <c r="N13" s="421" t="e">
        <f>IF(AND('Mapa final'!#REF!="Muy Alta",'Mapa final'!#REF!="Leve"),CONCATENATE("R",'Mapa final'!#REF!),"")</f>
        <v>#REF!</v>
      </c>
      <c r="O13" s="421"/>
      <c r="P13" s="421" t="e">
        <f>IF(AND('Mapa final'!#REF!="Muy Alta",'Mapa final'!#REF!="Leve"),CONCATENATE("R",'Mapa final'!#REF!),"")</f>
        <v>#REF!</v>
      </c>
      <c r="Q13" s="422"/>
      <c r="R13" s="420" t="e">
        <f>IF(AND('Mapa final'!#REF!="Muy Alta",'Mapa final'!#REF!="Menor"),CONCATENATE("R",'Mapa final'!#REF!),"")</f>
        <v>#REF!</v>
      </c>
      <c r="S13" s="421"/>
      <c r="T13" s="421" t="e">
        <f>IF(AND('Mapa final'!#REF!="Muy Alta",'Mapa final'!#REF!="Menor"),CONCATENATE("R",'Mapa final'!#REF!),"")</f>
        <v>#REF!</v>
      </c>
      <c r="U13" s="421"/>
      <c r="V13" s="421" t="e">
        <f>IF(AND('Mapa final'!#REF!="Muy Alta",'Mapa final'!#REF!="Menor"),CONCATENATE("R",'Mapa final'!#REF!),"")</f>
        <v>#REF!</v>
      </c>
      <c r="W13" s="421"/>
      <c r="X13" s="420" t="e">
        <f>IF(AND('Mapa final'!#REF!="Muy Alta",'Mapa final'!#REF!="Moderado"),CONCATENATE("R",'Mapa final'!#REF!),"")</f>
        <v>#REF!</v>
      </c>
      <c r="Y13" s="421"/>
      <c r="Z13" s="421" t="e">
        <f>IF(AND('Mapa final'!#REF!="Muy Alta",'Mapa final'!#REF!="Moderado"),CONCATENATE("R",'Mapa final'!#REF!),"")</f>
        <v>#REF!</v>
      </c>
      <c r="AA13" s="421"/>
      <c r="AB13" s="421" t="e">
        <f>IF(AND('Mapa final'!#REF!="Muy Alta",'Mapa final'!#REF!="Moderado"),CONCATENATE("R",'Mapa final'!#REF!),"")</f>
        <v>#REF!</v>
      </c>
      <c r="AC13" s="421"/>
      <c r="AD13" s="420" t="e">
        <f>IF(AND('Mapa final'!#REF!="Muy Alta",'Mapa final'!#REF!="Mayor"),CONCATENATE("R",'Mapa final'!#REF!),"")</f>
        <v>#REF!</v>
      </c>
      <c r="AE13" s="421"/>
      <c r="AF13" s="421" t="e">
        <f>IF(AND('Mapa final'!#REF!="Muy Alta",'Mapa final'!#REF!="Mayor"),CONCATENATE("R",'Mapa final'!#REF!),"")</f>
        <v>#REF!</v>
      </c>
      <c r="AG13" s="421"/>
      <c r="AH13" s="421" t="e">
        <f>IF(AND('Mapa final'!#REF!="Muy Alta",'Mapa final'!#REF!="Mayor"),CONCATENATE("R",'Mapa final'!#REF!),"")</f>
        <v>#REF!</v>
      </c>
      <c r="AI13" s="421"/>
      <c r="AJ13" s="411" t="e">
        <f>IF(AND('Mapa final'!#REF!="Muy Alta",'Mapa final'!#REF!="Catastrófico"),CONCATENATE("R",'Mapa final'!#REF!),"")</f>
        <v>#REF!</v>
      </c>
      <c r="AK13" s="412"/>
      <c r="AL13" s="412" t="e">
        <f>IF(AND('Mapa final'!#REF!="Muy Alta",'Mapa final'!#REF!="Catastrófico"),CONCATENATE("R",'Mapa final'!#REF!),"")</f>
        <v>#REF!</v>
      </c>
      <c r="AM13" s="412"/>
      <c r="AN13" s="412" t="e">
        <f>IF(AND('Mapa final'!#REF!="Muy Alta",'Mapa final'!#REF!="Catastrófico"),CONCATENATE("R",'Mapa final'!#REF!),"")</f>
        <v>#REF!</v>
      </c>
      <c r="AO13" s="413"/>
      <c r="AP13" s="68"/>
      <c r="AQ13" s="466"/>
      <c r="AR13" s="467"/>
      <c r="AS13" s="467"/>
      <c r="AT13" s="467"/>
      <c r="AU13" s="467"/>
      <c r="AV13" s="4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68"/>
    </row>
    <row r="14" spans="1:101" ht="15" customHeight="1">
      <c r="C14" s="68"/>
      <c r="D14" s="461"/>
      <c r="E14" s="461"/>
      <c r="F14" s="462"/>
      <c r="G14" s="433"/>
      <c r="H14" s="434"/>
      <c r="I14" s="434"/>
      <c r="J14" s="434"/>
      <c r="K14" s="434"/>
      <c r="L14" s="420"/>
      <c r="M14" s="421"/>
      <c r="N14" s="421"/>
      <c r="O14" s="421"/>
      <c r="P14" s="421"/>
      <c r="Q14" s="422"/>
      <c r="R14" s="420"/>
      <c r="S14" s="421"/>
      <c r="T14" s="421"/>
      <c r="U14" s="421"/>
      <c r="V14" s="421"/>
      <c r="W14" s="421"/>
      <c r="X14" s="420"/>
      <c r="Y14" s="421"/>
      <c r="Z14" s="421"/>
      <c r="AA14" s="421"/>
      <c r="AB14" s="421"/>
      <c r="AC14" s="421"/>
      <c r="AD14" s="420"/>
      <c r="AE14" s="421"/>
      <c r="AF14" s="421"/>
      <c r="AG14" s="421"/>
      <c r="AH14" s="421"/>
      <c r="AI14" s="421"/>
      <c r="AJ14" s="411"/>
      <c r="AK14" s="412"/>
      <c r="AL14" s="412"/>
      <c r="AM14" s="412"/>
      <c r="AN14" s="412"/>
      <c r="AO14" s="413"/>
      <c r="AP14" s="68"/>
      <c r="AQ14" s="466"/>
      <c r="AR14" s="467"/>
      <c r="AS14" s="467"/>
      <c r="AT14" s="467"/>
      <c r="AU14" s="467"/>
      <c r="AV14" s="4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row>
    <row r="15" spans="1:101" ht="15" customHeight="1">
      <c r="C15" s="68"/>
      <c r="D15" s="461"/>
      <c r="E15" s="461"/>
      <c r="F15" s="462"/>
      <c r="G15" s="433"/>
      <c r="H15" s="434"/>
      <c r="I15" s="434"/>
      <c r="J15" s="434"/>
      <c r="K15" s="434"/>
      <c r="L15" s="420" t="e">
        <f>IF(AND('Mapa final'!#REF!="Muy Alta",'Mapa final'!#REF!="Leve"),CONCATENATE("R",'Mapa final'!#REF!),"")</f>
        <v>#REF!</v>
      </c>
      <c r="M15" s="421"/>
      <c r="N15" s="421" t="e">
        <f>IF(AND('Mapa final'!#REF!="Muy Alta",'Mapa final'!#REF!="Leve"),CONCATENATE("R",'Mapa final'!#REF!),"")</f>
        <v>#REF!</v>
      </c>
      <c r="O15" s="421"/>
      <c r="P15" s="421" t="str">
        <f>IF(AND('Mapa final'!$K$22="Muy Alta",'Mapa final'!$O$22="Leve"),CONCATENATE("R",'Mapa final'!$A$22),"")</f>
        <v/>
      </c>
      <c r="Q15" s="422"/>
      <c r="R15" s="420" t="e">
        <f>IF(AND('Mapa final'!#REF!="Muy Alta",'Mapa final'!#REF!="Menor"),CONCATENATE("R",'Mapa final'!#REF!),"")</f>
        <v>#REF!</v>
      </c>
      <c r="S15" s="421"/>
      <c r="T15" s="421" t="e">
        <f>IF(AND('Mapa final'!#REF!="Muy Alta",'Mapa final'!#REF!="Menor"),CONCATENATE("R",'Mapa final'!#REF!),"")</f>
        <v>#REF!</v>
      </c>
      <c r="U15" s="421"/>
      <c r="V15" s="421" t="str">
        <f>IF(AND('Mapa final'!$P$22="Muy Alta",'Mapa final'!$S$22="Menor"),CONCATENATE("R",'Mapa final'!$A$22),"")</f>
        <v/>
      </c>
      <c r="W15" s="421"/>
      <c r="X15" s="420" t="e">
        <f>IF(AND('Mapa final'!#REF!="Muy Alta",'Mapa final'!#REF!="Moderado"),CONCATENATE("R",'Mapa final'!#REF!),"")</f>
        <v>#REF!</v>
      </c>
      <c r="Y15" s="421"/>
      <c r="Z15" s="421" t="e">
        <f>IF(AND('Mapa final'!#REF!="Muy Alta",'Mapa final'!#REF!="Moderado"),CONCATENATE("R",'Mapa final'!#REF!),"")</f>
        <v>#REF!</v>
      </c>
      <c r="AA15" s="421"/>
      <c r="AB15" s="421" t="str">
        <f>IF(AND('Mapa final'!$P$22="Muy Alta",'Mapa final'!$S$22="Moderado"),CONCATENATE("R",'Mapa final'!$A$22),"")</f>
        <v/>
      </c>
      <c r="AC15" s="421"/>
      <c r="AD15" s="420" t="e">
        <f>IF(AND('Mapa final'!#REF!="Muy Alta",'Mapa final'!#REF!="Mayor"),CONCATENATE("R",'Mapa final'!#REF!),"")</f>
        <v>#REF!</v>
      </c>
      <c r="AE15" s="421"/>
      <c r="AF15" s="421" t="e">
        <f>IF(AND('Mapa final'!#REF!="Muy Alta",'Mapa final'!#REF!="Mayor"),CONCATENATE("R",'Mapa final'!#REF!),"")</f>
        <v>#REF!</v>
      </c>
      <c r="AG15" s="421"/>
      <c r="AH15" s="421" t="str">
        <f>IF(AND('Mapa final'!$P$22="Muy Alta",'Mapa final'!$S$22="Mayor"),CONCATENATE("R",'Mapa final'!$A$22),"")</f>
        <v/>
      </c>
      <c r="AI15" s="421"/>
      <c r="AJ15" s="411" t="e">
        <f>IF(AND('Mapa final'!#REF!="Muy Alta",'Mapa final'!#REF!="Catastrófico"),CONCATENATE("R",'Mapa final'!#REF!),"")</f>
        <v>#REF!</v>
      </c>
      <c r="AK15" s="412"/>
      <c r="AL15" s="412" t="e">
        <f>IF(AND('Mapa final'!#REF!="Muy Alta",'Mapa final'!#REF!="Catastrófico"),CONCATENATE("R",'Mapa final'!#REF!),"")</f>
        <v>#REF!</v>
      </c>
      <c r="AM15" s="412"/>
      <c r="AN15" s="412" t="str">
        <f>IF(AND('Mapa final'!$P$22="Muy Alta",'Mapa final'!$S$22="Catastrófico"),CONCATENATE("R",'Mapa final'!$A$22),"")</f>
        <v/>
      </c>
      <c r="AO15" s="413"/>
      <c r="AP15" s="68"/>
      <c r="AQ15" s="466"/>
      <c r="AR15" s="467"/>
      <c r="AS15" s="467"/>
      <c r="AT15" s="467"/>
      <c r="AU15" s="467"/>
      <c r="AV15" s="4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row>
    <row r="16" spans="1:101" ht="15" customHeight="1">
      <c r="C16" s="68"/>
      <c r="D16" s="461"/>
      <c r="E16" s="461"/>
      <c r="F16" s="462"/>
      <c r="G16" s="433"/>
      <c r="H16" s="434"/>
      <c r="I16" s="434"/>
      <c r="J16" s="434"/>
      <c r="K16" s="434"/>
      <c r="L16" s="420"/>
      <c r="M16" s="421"/>
      <c r="N16" s="421"/>
      <c r="O16" s="421"/>
      <c r="P16" s="421"/>
      <c r="Q16" s="422"/>
      <c r="R16" s="420"/>
      <c r="S16" s="421"/>
      <c r="T16" s="421"/>
      <c r="U16" s="421"/>
      <c r="V16" s="421"/>
      <c r="W16" s="421"/>
      <c r="X16" s="420"/>
      <c r="Y16" s="421"/>
      <c r="Z16" s="421"/>
      <c r="AA16" s="421"/>
      <c r="AB16" s="421"/>
      <c r="AC16" s="421"/>
      <c r="AD16" s="420"/>
      <c r="AE16" s="421"/>
      <c r="AF16" s="421"/>
      <c r="AG16" s="421"/>
      <c r="AH16" s="421"/>
      <c r="AI16" s="421"/>
      <c r="AJ16" s="411"/>
      <c r="AK16" s="412"/>
      <c r="AL16" s="412"/>
      <c r="AM16" s="412"/>
      <c r="AN16" s="412"/>
      <c r="AO16" s="413"/>
      <c r="AP16" s="68"/>
      <c r="AQ16" s="466"/>
      <c r="AR16" s="467"/>
      <c r="AS16" s="467"/>
      <c r="AT16" s="467"/>
      <c r="AU16" s="467"/>
      <c r="AV16" s="4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row>
    <row r="17" spans="3:82" ht="15" customHeight="1">
      <c r="C17" s="68"/>
      <c r="D17" s="461"/>
      <c r="E17" s="461"/>
      <c r="F17" s="462"/>
      <c r="G17" s="433"/>
      <c r="H17" s="434"/>
      <c r="I17" s="434"/>
      <c r="J17" s="434"/>
      <c r="K17" s="434"/>
      <c r="L17" s="420" t="str">
        <f>IF(AND('Mapa final'!$P$23="Muy Alta",'Mapa final'!$S$23="Leve"),CONCATENATE("R",'Mapa final'!$A$23),"")</f>
        <v/>
      </c>
      <c r="M17" s="421"/>
      <c r="N17" s="421" t="str">
        <f>IF(AND('Mapa final'!$K$24="Muy Alta",'Mapa final'!$O$24="Leve"),CONCATENATE("R",'Mapa final'!$A$24),"")</f>
        <v/>
      </c>
      <c r="O17" s="421"/>
      <c r="P17" s="421" t="str">
        <f>IF(AND('Mapa final'!$K$25="Muy Alta",'Mapa final'!$O$25="Leve"),CONCATENATE("R",'Mapa final'!$A$25),"")</f>
        <v/>
      </c>
      <c r="Q17" s="422"/>
      <c r="R17" s="420" t="str">
        <f>IF(AND('Mapa final'!$P$23="Muy Alta",'Mapa final'!$S$23="Menor"),CONCATENATE("R",'Mapa final'!$A$23),"")</f>
        <v/>
      </c>
      <c r="S17" s="421"/>
      <c r="T17" s="421" t="str">
        <f>IF(AND('Mapa final'!$P$24="Muy Alta",'Mapa final'!$S$24="Menor"),CONCATENATE("R",'Mapa final'!$A$24),"")</f>
        <v/>
      </c>
      <c r="U17" s="421"/>
      <c r="V17" s="421" t="str">
        <f>IF(AND('Mapa final'!$P$25="Muy Alta",'Mapa final'!$S$25="Menor"),CONCATENATE("R",'Mapa final'!$A$25),"")</f>
        <v/>
      </c>
      <c r="W17" s="421"/>
      <c r="X17" s="420" t="str">
        <f>IF(AND('Mapa final'!$P$23="Muy Alta",'Mapa final'!$S$23="Moderado"),CONCATENATE("R",'Mapa final'!$A$23),"")</f>
        <v/>
      </c>
      <c r="Y17" s="421"/>
      <c r="Z17" s="421" t="str">
        <f>IF(AND('Mapa final'!$P$24="Muy Alta",'Mapa final'!$S$24="Moderado"),CONCATENATE("R",'Mapa final'!$A$24),"")</f>
        <v/>
      </c>
      <c r="AA17" s="421"/>
      <c r="AB17" s="421" t="str">
        <f>IF(AND('Mapa final'!$P$25="Muy Alta",'Mapa final'!$S$25="Moderado"),CONCATENATE("R",'Mapa final'!$A$25),"")</f>
        <v/>
      </c>
      <c r="AC17" s="421"/>
      <c r="AD17" s="420" t="str">
        <f>IF(AND('Mapa final'!$P$23="Muy Alta",'Mapa final'!$S$23="Mayor"),CONCATENATE("R",'Mapa final'!$A$23),"")</f>
        <v/>
      </c>
      <c r="AE17" s="421"/>
      <c r="AF17" s="421" t="str">
        <f>IF(AND('Mapa final'!$P$24="Muy Alta",'Mapa final'!$S$24="Mayor"),CONCATENATE("R",'Mapa final'!$A$24),"")</f>
        <v/>
      </c>
      <c r="AG17" s="421"/>
      <c r="AH17" s="421" t="str">
        <f>IF(AND('Mapa final'!$P$25="Muy Alta",'Mapa final'!$S$25="Mayor"),CONCATENATE("R",'Mapa final'!$A$25),"")</f>
        <v/>
      </c>
      <c r="AI17" s="421"/>
      <c r="AJ17" s="411" t="str">
        <f>IF(AND('Mapa final'!$P$23="Muy Alta",'Mapa final'!$S$23="Catastrófico"),CONCATENATE("R",'Mapa final'!$A$23),"")</f>
        <v/>
      </c>
      <c r="AK17" s="412"/>
      <c r="AL17" s="412" t="str">
        <f>IF(AND('Mapa final'!$P$24="Muy Alta",'Mapa final'!$S$24="Catastrófico"),CONCATENATE("R",'Mapa final'!$A$24),"")</f>
        <v/>
      </c>
      <c r="AM17" s="412"/>
      <c r="AN17" s="412" t="str">
        <f>IF(AND('Mapa final'!$P$25="Muy Alta",'Mapa final'!$S$25="Catastrófico"),CONCATENATE("R",'Mapa final'!$A$25),"")</f>
        <v/>
      </c>
      <c r="AO17" s="413"/>
      <c r="AP17" s="68"/>
      <c r="AQ17" s="466"/>
      <c r="AR17" s="467"/>
      <c r="AS17" s="467"/>
      <c r="AT17" s="467"/>
      <c r="AU17" s="467"/>
      <c r="AV17" s="4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c r="BZ17" s="68"/>
      <c r="CA17" s="68"/>
      <c r="CB17" s="68"/>
      <c r="CC17" s="68"/>
      <c r="CD17" s="68"/>
    </row>
    <row r="18" spans="3:82" ht="15.75" customHeight="1" thickBot="1">
      <c r="C18" s="68"/>
      <c r="D18" s="461"/>
      <c r="E18" s="461"/>
      <c r="F18" s="462"/>
      <c r="G18" s="436"/>
      <c r="H18" s="437"/>
      <c r="I18" s="437"/>
      <c r="J18" s="437"/>
      <c r="K18" s="437"/>
      <c r="L18" s="423"/>
      <c r="M18" s="424"/>
      <c r="N18" s="424"/>
      <c r="O18" s="424"/>
      <c r="P18" s="424"/>
      <c r="Q18" s="425"/>
      <c r="R18" s="423"/>
      <c r="S18" s="424"/>
      <c r="T18" s="424"/>
      <c r="U18" s="424"/>
      <c r="V18" s="424"/>
      <c r="W18" s="424"/>
      <c r="X18" s="420"/>
      <c r="Y18" s="421"/>
      <c r="Z18" s="421"/>
      <c r="AA18" s="421"/>
      <c r="AB18" s="421"/>
      <c r="AC18" s="421"/>
      <c r="AD18" s="420"/>
      <c r="AE18" s="421"/>
      <c r="AF18" s="421"/>
      <c r="AG18" s="421"/>
      <c r="AH18" s="421"/>
      <c r="AI18" s="421"/>
      <c r="AJ18" s="411"/>
      <c r="AK18" s="412"/>
      <c r="AL18" s="412"/>
      <c r="AM18" s="412"/>
      <c r="AN18" s="412"/>
      <c r="AO18" s="413"/>
      <c r="AP18" s="68"/>
      <c r="AQ18" s="469"/>
      <c r="AR18" s="470"/>
      <c r="AS18" s="470"/>
      <c r="AT18" s="470"/>
      <c r="AU18" s="470"/>
      <c r="AV18" s="471"/>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row>
    <row r="19" spans="3:82" ht="15" customHeight="1">
      <c r="C19" s="68"/>
      <c r="D19" s="461"/>
      <c r="E19" s="461"/>
      <c r="F19" s="462"/>
      <c r="G19" s="429" t="s">
        <v>255</v>
      </c>
      <c r="H19" s="431"/>
      <c r="I19" s="431"/>
      <c r="J19" s="431"/>
      <c r="K19" s="431"/>
      <c r="L19" s="408"/>
      <c r="M19" s="409"/>
      <c r="N19" s="409" t="str">
        <f>IF(AND('Mapa final'!$K$15="Alta",'Mapa final'!$O$15="Leve"),CONCATENATE("R",'Mapa final'!#REF!),"")</f>
        <v/>
      </c>
      <c r="O19" s="409"/>
      <c r="P19" s="409" t="e">
        <f>IF(AND('Mapa final'!#REF!="Alta",'Mapa final'!#REF!="Leve"),CONCATENATE("R",'Mapa final'!#REF!),"")</f>
        <v>#REF!</v>
      </c>
      <c r="Q19" s="410"/>
      <c r="R19" s="408"/>
      <c r="S19" s="409"/>
      <c r="T19" s="403" t="str">
        <f>IF(AND('Mapa final'!$P$15="Alta",'Mapa final'!$S$15="Menor"),CONCATENATE("R",'Mapa final'!#REF!),"")</f>
        <v/>
      </c>
      <c r="U19" s="403"/>
      <c r="V19" s="403" t="e">
        <f>IF(AND('Mapa final'!#REF!="Alta",'Mapa final'!#REF!="Menor"),CONCATENATE("R",'Mapa final'!#REF!),"")</f>
        <v>#REF!</v>
      </c>
      <c r="W19" s="403"/>
      <c r="X19" s="426"/>
      <c r="Y19" s="427"/>
      <c r="Z19" s="427" t="str">
        <f>IF(AND('Mapa final'!P$15="Alta",'Mapa final'!$S$15="Moderado"),CONCATENATE("R",'Mapa final'!#REF!),"")</f>
        <v/>
      </c>
      <c r="AA19" s="427"/>
      <c r="AB19" s="427" t="e">
        <f>IF(AND('Mapa final'!#REF!="Alta",'Mapa final'!#REF!="Moderado"),CONCATENATE("R",'Mapa final'!#REF!),"")</f>
        <v>#REF!</v>
      </c>
      <c r="AC19" s="427"/>
      <c r="AD19" s="426"/>
      <c r="AE19" s="427"/>
      <c r="AF19" s="427" t="str">
        <f>IF(AND('Mapa final'!$P$15="Alta",'Mapa final'!$S$15="Mayor"),CONCATENATE("R",'Mapa final'!#REF!),"")</f>
        <v/>
      </c>
      <c r="AG19" s="427"/>
      <c r="AH19" s="427" t="e">
        <f>IF(AND('Mapa final'!#REF!="Alta",'Mapa final'!#REF!="Mayor"),CONCATENATE("R",'Mapa final'!#REF!),"")</f>
        <v>#REF!</v>
      </c>
      <c r="AI19" s="427"/>
      <c r="AJ19" s="417"/>
      <c r="AK19" s="418"/>
      <c r="AL19" s="418" t="str">
        <f>IF(AND('Mapa final'!$P$15="Alta",'Mapa final'!$S$15="Catastrófico"),CONCATENATE("R",'Mapa final'!#REF!),"")</f>
        <v/>
      </c>
      <c r="AM19" s="418"/>
      <c r="AN19" s="418" t="e">
        <f>IF(AND('Mapa final'!#REF!="Alta",'Mapa final'!#REF!="Catastrófico"),CONCATENATE("R",'Mapa final'!#REF!),"")</f>
        <v>#REF!</v>
      </c>
      <c r="AO19" s="419"/>
      <c r="AP19" s="68"/>
      <c r="AQ19" s="472" t="s">
        <v>256</v>
      </c>
      <c r="AR19" s="473"/>
      <c r="AS19" s="473"/>
      <c r="AT19" s="473"/>
      <c r="AU19" s="473"/>
      <c r="AV19" s="474"/>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68"/>
    </row>
    <row r="20" spans="3:82" ht="15" customHeight="1">
      <c r="C20" s="68"/>
      <c r="D20" s="461"/>
      <c r="E20" s="461"/>
      <c r="F20" s="462"/>
      <c r="G20" s="433"/>
      <c r="H20" s="434"/>
      <c r="I20" s="434"/>
      <c r="J20" s="434"/>
      <c r="K20" s="434"/>
      <c r="L20" s="402"/>
      <c r="M20" s="403"/>
      <c r="N20" s="403"/>
      <c r="O20" s="403"/>
      <c r="P20" s="403"/>
      <c r="Q20" s="404"/>
      <c r="R20" s="402"/>
      <c r="S20" s="403"/>
      <c r="T20" s="403"/>
      <c r="U20" s="403"/>
      <c r="V20" s="403"/>
      <c r="W20" s="403"/>
      <c r="X20" s="420"/>
      <c r="Y20" s="421"/>
      <c r="Z20" s="421"/>
      <c r="AA20" s="421"/>
      <c r="AB20" s="421"/>
      <c r="AC20" s="421"/>
      <c r="AD20" s="420"/>
      <c r="AE20" s="421"/>
      <c r="AF20" s="421"/>
      <c r="AG20" s="421"/>
      <c r="AH20" s="421"/>
      <c r="AI20" s="421"/>
      <c r="AJ20" s="411"/>
      <c r="AK20" s="412"/>
      <c r="AL20" s="412"/>
      <c r="AM20" s="412"/>
      <c r="AN20" s="412"/>
      <c r="AO20" s="413"/>
      <c r="AP20" s="68"/>
      <c r="AQ20" s="475"/>
      <c r="AR20" s="476"/>
      <c r="AS20" s="476"/>
      <c r="AT20" s="476"/>
      <c r="AU20" s="476"/>
      <c r="AV20" s="477"/>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row>
    <row r="21" spans="3:82" ht="15" customHeight="1">
      <c r="C21" s="68"/>
      <c r="D21" s="461"/>
      <c r="E21" s="461"/>
      <c r="F21" s="462"/>
      <c r="G21" s="433"/>
      <c r="H21" s="434"/>
      <c r="I21" s="434"/>
      <c r="J21" s="434"/>
      <c r="K21" s="434"/>
      <c r="L21" s="402" t="e">
        <f>IF(AND('Mapa final'!#REF!="Alta",'Mapa final'!#REF!="Leve"),CONCATENATE("R",'Mapa final'!#REF!),"")</f>
        <v>#REF!</v>
      </c>
      <c r="M21" s="403"/>
      <c r="N21" s="403" t="e">
        <f>IF(AND('Mapa final'!#REF!="Alta",'Mapa final'!#REF!="Leve"),CONCATENATE("R",'Mapa final'!#REF!),"")</f>
        <v>#REF!</v>
      </c>
      <c r="O21" s="403"/>
      <c r="P21" s="403" t="e">
        <f>IF(AND('Mapa final'!#REF!="Alta",'Mapa final'!#REF!="Leve"),CONCATENATE("R",'Mapa final'!#REF!),"")</f>
        <v>#REF!</v>
      </c>
      <c r="Q21" s="404"/>
      <c r="R21" s="402" t="e">
        <f>IF(AND('Mapa final'!#REF!="Alta",'Mapa final'!#REF!="Menor"),CONCATENATE("R",'Mapa final'!#REF!),"")</f>
        <v>#REF!</v>
      </c>
      <c r="S21" s="403"/>
      <c r="T21" s="403" t="e">
        <f>IF(AND('Mapa final'!#REF!="Alta",'Mapa final'!#REF!="Menor"),CONCATENATE("R",'Mapa final'!#REF!),"")</f>
        <v>#REF!</v>
      </c>
      <c r="U21" s="403"/>
      <c r="V21" s="403" t="e">
        <f>IF(AND('Mapa final'!#REF!="Alta",'Mapa final'!#REF!="Menor"),CONCATENATE("R",'Mapa final'!#REF!),"")</f>
        <v>#REF!</v>
      </c>
      <c r="W21" s="403"/>
      <c r="X21" s="420" t="e">
        <f>IF(AND('Mapa final'!#REF!="Alta",'Mapa final'!#REF!="Moderado"),CONCATENATE("R",'Mapa final'!#REF!),"")</f>
        <v>#REF!</v>
      </c>
      <c r="Y21" s="421"/>
      <c r="Z21" s="421" t="e">
        <f>IF(AND('Mapa final'!#REF!="Alta",'Mapa final'!#REF!="Moderado"),CONCATENATE("R",'Mapa final'!#REF!),"")</f>
        <v>#REF!</v>
      </c>
      <c r="AA21" s="421"/>
      <c r="AB21" s="421" t="e">
        <f>IF(AND('Mapa final'!#REF!="Alta",'Mapa final'!#REF!="Moderado"),CONCATENATE("R",'Mapa final'!#REF!),"")</f>
        <v>#REF!</v>
      </c>
      <c r="AC21" s="421"/>
      <c r="AD21" s="420" t="e">
        <f>IF(AND('Mapa final'!#REF!="Alta",'Mapa final'!#REF!="Mayor"),CONCATENATE("R",'Mapa final'!#REF!),"")</f>
        <v>#REF!</v>
      </c>
      <c r="AE21" s="421"/>
      <c r="AF21" s="421" t="e">
        <f>IF(AND('Mapa final'!#REF!="Alta",'Mapa final'!#REF!="Mayor"),CONCATENATE("R",'Mapa final'!#REF!),"")</f>
        <v>#REF!</v>
      </c>
      <c r="AG21" s="421"/>
      <c r="AH21" s="421" t="e">
        <f>IF(AND('Mapa final'!#REF!="Alta",'Mapa final'!#REF!="Mayor"),CONCATENATE("R",'Mapa final'!#REF!),"")</f>
        <v>#REF!</v>
      </c>
      <c r="AI21" s="421"/>
      <c r="AJ21" s="411" t="e">
        <f>IF(AND('Mapa final'!#REF!="Alta",'Mapa final'!#REF!="Catastrófico"),CONCATENATE("R",'Mapa final'!#REF!),"")</f>
        <v>#REF!</v>
      </c>
      <c r="AK21" s="412"/>
      <c r="AL21" s="412" t="e">
        <f>IF(AND('Mapa final'!#REF!="Alta",'Mapa final'!#REF!="Catastrófico"),CONCATENATE("R",'Mapa final'!#REF!),"")</f>
        <v>#REF!</v>
      </c>
      <c r="AM21" s="412"/>
      <c r="AN21" s="412" t="e">
        <f>IF(AND('Mapa final'!#REF!="Alta",'Mapa final'!#REF!="Catastrófico"),CONCATENATE("R",'Mapa final'!#REF!),"")</f>
        <v>#REF!</v>
      </c>
      <c r="AO21" s="413"/>
      <c r="AP21" s="68"/>
      <c r="AQ21" s="475"/>
      <c r="AR21" s="476"/>
      <c r="AS21" s="476"/>
      <c r="AT21" s="476"/>
      <c r="AU21" s="476"/>
      <c r="AV21" s="477"/>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row>
    <row r="22" spans="3:82" ht="15" customHeight="1">
      <c r="C22" s="68"/>
      <c r="D22" s="461"/>
      <c r="E22" s="461"/>
      <c r="F22" s="462"/>
      <c r="G22" s="433"/>
      <c r="H22" s="434"/>
      <c r="I22" s="434"/>
      <c r="J22" s="434"/>
      <c r="K22" s="434"/>
      <c r="L22" s="402"/>
      <c r="M22" s="403"/>
      <c r="N22" s="403"/>
      <c r="O22" s="403"/>
      <c r="P22" s="403"/>
      <c r="Q22" s="404"/>
      <c r="R22" s="402"/>
      <c r="S22" s="403"/>
      <c r="T22" s="403"/>
      <c r="U22" s="403"/>
      <c r="V22" s="403"/>
      <c r="W22" s="403"/>
      <c r="X22" s="420"/>
      <c r="Y22" s="421"/>
      <c r="Z22" s="421"/>
      <c r="AA22" s="421"/>
      <c r="AB22" s="421"/>
      <c r="AC22" s="421"/>
      <c r="AD22" s="420"/>
      <c r="AE22" s="421"/>
      <c r="AF22" s="421"/>
      <c r="AG22" s="421"/>
      <c r="AH22" s="421"/>
      <c r="AI22" s="421"/>
      <c r="AJ22" s="411"/>
      <c r="AK22" s="412"/>
      <c r="AL22" s="412"/>
      <c r="AM22" s="412"/>
      <c r="AN22" s="412"/>
      <c r="AO22" s="413"/>
      <c r="AP22" s="68"/>
      <c r="AQ22" s="475"/>
      <c r="AR22" s="476"/>
      <c r="AS22" s="476"/>
      <c r="AT22" s="476"/>
      <c r="AU22" s="476"/>
      <c r="AV22" s="477"/>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row>
    <row r="23" spans="3:82" ht="15" customHeight="1">
      <c r="C23" s="68"/>
      <c r="D23" s="461"/>
      <c r="E23" s="461"/>
      <c r="F23" s="462"/>
      <c r="G23" s="433"/>
      <c r="H23" s="434"/>
      <c r="I23" s="434"/>
      <c r="J23" s="434"/>
      <c r="K23" s="434"/>
      <c r="L23" s="402" t="e">
        <f>IF(AND('Mapa final'!#REF!="Alta",'Mapa final'!#REF!="Leve"),CONCATENATE("R",'Mapa final'!#REF!),"")</f>
        <v>#REF!</v>
      </c>
      <c r="M23" s="403"/>
      <c r="N23" s="403" t="e">
        <f>IF(AND('Mapa final'!#REF!="Alta",'Mapa final'!#REF!="Leve"),CONCATENATE("R",'Mapa final'!#REF!),"")</f>
        <v>#REF!</v>
      </c>
      <c r="O23" s="403"/>
      <c r="P23" s="403" t="str">
        <f>IF(AND('Mapa final'!$K$22="Alta",'Mapa final'!$O$22="Leve"),CONCATENATE("R",'Mapa final'!$A$22),"")</f>
        <v/>
      </c>
      <c r="Q23" s="404"/>
      <c r="R23" s="402" t="e">
        <f>IF(AND('Mapa final'!#REF!="Alta",'Mapa final'!#REF!="Menor"),CONCATENATE("R",'Mapa final'!#REF!),"")</f>
        <v>#REF!</v>
      </c>
      <c r="S23" s="403"/>
      <c r="T23" s="403" t="e">
        <f>IF(AND('Mapa final'!#REF!="Alta",'Mapa final'!#REF!="Menor"),CONCATENATE("R",'Mapa final'!#REF!),"")</f>
        <v>#REF!</v>
      </c>
      <c r="U23" s="403"/>
      <c r="V23" s="403" t="str">
        <f>IF(AND('Mapa final'!$P$22="Alta",'Mapa final'!$S$22="Menor"),CONCATENATE("R",'Mapa final'!$A$22),"")</f>
        <v/>
      </c>
      <c r="W23" s="403"/>
      <c r="X23" s="420" t="e">
        <f>IF(AND('Mapa final'!#REF!="Alta",'Mapa final'!#REF!="Moderado"),CONCATENATE("R",'Mapa final'!#REF!),"")</f>
        <v>#REF!</v>
      </c>
      <c r="Y23" s="421"/>
      <c r="Z23" s="421" t="e">
        <f>IF(AND('Mapa final'!#REF!="Alta",'Mapa final'!#REF!="Moderado"),CONCATENATE("R",'Mapa final'!#REF!),"")</f>
        <v>#REF!</v>
      </c>
      <c r="AA23" s="421"/>
      <c r="AB23" s="421" t="str">
        <f>IF(AND('Mapa final'!$P$22="Alta",'Mapa final'!$S$22="Moderado"),CONCATENATE("R",'Mapa final'!$A$22),"")</f>
        <v/>
      </c>
      <c r="AC23" s="421"/>
      <c r="AD23" s="420" t="e">
        <f>IF(AND('Mapa final'!#REF!="Alta",'Mapa final'!#REF!="Mayor"),CONCATENATE("R",'Mapa final'!#REF!),"")</f>
        <v>#REF!</v>
      </c>
      <c r="AE23" s="421"/>
      <c r="AF23" s="421" t="e">
        <f>IF(AND('Mapa final'!#REF!="Alta",'Mapa final'!#REF!="Mayor"),CONCATENATE("R",'Mapa final'!#REF!),"")</f>
        <v>#REF!</v>
      </c>
      <c r="AG23" s="421"/>
      <c r="AH23" s="421" t="str">
        <f>IF(AND('Mapa final'!$P$22="Alta",'Mapa final'!$S$22="Mayor"),CONCATENATE("R",'Mapa final'!$A$22),"")</f>
        <v/>
      </c>
      <c r="AI23" s="421"/>
      <c r="AJ23" s="411" t="e">
        <f>IF(AND('Mapa final'!#REF!="Alta",'Mapa final'!#REF!="Catastrófico"),CONCATENATE("R",'Mapa final'!#REF!),"")</f>
        <v>#REF!</v>
      </c>
      <c r="AK23" s="412"/>
      <c r="AL23" s="412" t="e">
        <f>IF(AND('Mapa final'!#REF!="Alta",'Mapa final'!#REF!="Catastrófico"),CONCATENATE("R",'Mapa final'!#REF!),"")</f>
        <v>#REF!</v>
      </c>
      <c r="AM23" s="412"/>
      <c r="AN23" s="412" t="str">
        <f>IF(AND('Mapa final'!$P$22="Alta",'Mapa final'!$S$22="Catastrófico"),CONCATENATE("R",'Mapa final'!$A$22),"")</f>
        <v/>
      </c>
      <c r="AO23" s="413"/>
      <c r="AP23" s="68"/>
      <c r="AQ23" s="475"/>
      <c r="AR23" s="476"/>
      <c r="AS23" s="476"/>
      <c r="AT23" s="476"/>
      <c r="AU23" s="476"/>
      <c r="AV23" s="477"/>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c r="CC23" s="68"/>
      <c r="CD23" s="68"/>
    </row>
    <row r="24" spans="3:82" ht="15" customHeight="1">
      <c r="C24" s="68"/>
      <c r="D24" s="461"/>
      <c r="E24" s="461"/>
      <c r="F24" s="462"/>
      <c r="G24" s="433"/>
      <c r="H24" s="434"/>
      <c r="I24" s="434"/>
      <c r="J24" s="434"/>
      <c r="K24" s="434"/>
      <c r="L24" s="402"/>
      <c r="M24" s="403"/>
      <c r="N24" s="403"/>
      <c r="O24" s="403"/>
      <c r="P24" s="403"/>
      <c r="Q24" s="404"/>
      <c r="R24" s="402"/>
      <c r="S24" s="403"/>
      <c r="T24" s="403"/>
      <c r="U24" s="403"/>
      <c r="V24" s="403"/>
      <c r="W24" s="403"/>
      <c r="X24" s="420"/>
      <c r="Y24" s="421"/>
      <c r="Z24" s="421"/>
      <c r="AA24" s="421"/>
      <c r="AB24" s="421"/>
      <c r="AC24" s="421"/>
      <c r="AD24" s="420"/>
      <c r="AE24" s="421"/>
      <c r="AF24" s="421"/>
      <c r="AG24" s="421"/>
      <c r="AH24" s="421"/>
      <c r="AI24" s="421"/>
      <c r="AJ24" s="411"/>
      <c r="AK24" s="412"/>
      <c r="AL24" s="412"/>
      <c r="AM24" s="412"/>
      <c r="AN24" s="412"/>
      <c r="AO24" s="413"/>
      <c r="AP24" s="68"/>
      <c r="AQ24" s="475"/>
      <c r="AR24" s="476"/>
      <c r="AS24" s="476"/>
      <c r="AT24" s="476"/>
      <c r="AU24" s="476"/>
      <c r="AV24" s="477"/>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8"/>
      <c r="CC24" s="68"/>
      <c r="CD24" s="68"/>
    </row>
    <row r="25" spans="3:82" ht="15" customHeight="1">
      <c r="C25" s="68"/>
      <c r="D25" s="461"/>
      <c r="E25" s="461"/>
      <c r="F25" s="462"/>
      <c r="G25" s="433"/>
      <c r="H25" s="434"/>
      <c r="I25" s="434"/>
      <c r="J25" s="434"/>
      <c r="K25" s="434"/>
      <c r="L25" s="402" t="str">
        <f>IF(AND('Mapa final'!$P$23="Alta",'Mapa final'!$S$23="Leve"),CONCATENATE("R",'Mapa final'!$A$23),"")</f>
        <v/>
      </c>
      <c r="M25" s="403"/>
      <c r="N25" s="403" t="str">
        <f>IF(AND('Mapa final'!$K$24="Alta",'Mapa final'!$O$24="Leve"),CONCATENATE("R",'Mapa final'!$A$24),"")</f>
        <v/>
      </c>
      <c r="O25" s="403"/>
      <c r="P25" s="403" t="str">
        <f>IF(AND('Mapa final'!$K$25="Alta",'Mapa final'!$O$25="Leve"),CONCATENATE("R",'Mapa final'!$A$25),"")</f>
        <v/>
      </c>
      <c r="Q25" s="404"/>
      <c r="R25" s="402" t="str">
        <f>IF(AND('Mapa final'!$P$23="Alta",'Mapa final'!$S$23="Menor"),CONCATENATE("R",'Mapa final'!$A$23),"")</f>
        <v/>
      </c>
      <c r="S25" s="403"/>
      <c r="T25" s="403" t="str">
        <f>IF(AND('Mapa final'!$P$24="Alta",'Mapa final'!$S$24="Menor"),CONCATENATE("R",'Mapa final'!$A$24),"")</f>
        <v/>
      </c>
      <c r="U25" s="403"/>
      <c r="V25" s="403" t="str">
        <f>IF(AND('Mapa final'!$P$25="Alta",'Mapa final'!$S$25="Menor"),CONCATENATE("R",'Mapa final'!$A$25),"")</f>
        <v/>
      </c>
      <c r="W25" s="403"/>
      <c r="X25" s="420" t="str">
        <f>IF(AND('Mapa final'!$P$23="Alta",'Mapa final'!$S$23="Moderado"),CONCATENATE("R",'Mapa final'!$A$23),"")</f>
        <v/>
      </c>
      <c r="Y25" s="421"/>
      <c r="Z25" s="421" t="str">
        <f>IF(AND('Mapa final'!$P$24="Alta",'Mapa final'!$S$24="Moderado"),CONCATENATE("R",'Mapa final'!$A$24),"")</f>
        <v/>
      </c>
      <c r="AA25" s="421"/>
      <c r="AB25" s="421" t="str">
        <f>IF(AND('Mapa final'!$P$25="Alta",'Mapa final'!$S$25="Moderado"),CONCATENATE("R",'Mapa final'!$A$25),"")</f>
        <v/>
      </c>
      <c r="AC25" s="421"/>
      <c r="AD25" s="420" t="str">
        <f>IF(AND('Mapa final'!$P$23="Alta",'Mapa final'!$S$23="Mayor"),CONCATENATE("R",'Mapa final'!$A$23),"")</f>
        <v/>
      </c>
      <c r="AE25" s="421"/>
      <c r="AF25" s="421" t="str">
        <f>IF(AND('Mapa final'!$P$24="Alta",'Mapa final'!$S$24="Mayor"),CONCATENATE("R",'Mapa final'!$A$24),"")</f>
        <v/>
      </c>
      <c r="AG25" s="421"/>
      <c r="AH25" s="421" t="str">
        <f>IF(AND('Mapa final'!$P$25="Alta",'Mapa final'!$S$25="Mayor"),CONCATENATE("R",'Mapa final'!$A$25),"")</f>
        <v/>
      </c>
      <c r="AI25" s="421"/>
      <c r="AJ25" s="411" t="str">
        <f>IF(AND('Mapa final'!$P$23="Alta",'Mapa final'!$S$23="Catastrófico"),CONCATENATE("R",'Mapa final'!$A$23),"")</f>
        <v/>
      </c>
      <c r="AK25" s="412"/>
      <c r="AL25" s="412" t="str">
        <f>IF(AND('Mapa final'!$P$24="Alta",'Mapa final'!$S$24="Catastrófico"),CONCATENATE("R",'Mapa final'!$A$24),"")</f>
        <v/>
      </c>
      <c r="AM25" s="412"/>
      <c r="AN25" s="412" t="str">
        <f>IF(AND('Mapa final'!$P$25="Alta",'Mapa final'!$S$25="Catastrófico"),CONCATENATE("R",'Mapa final'!$A$25),"")</f>
        <v/>
      </c>
      <c r="AO25" s="413"/>
      <c r="AP25" s="68"/>
      <c r="AQ25" s="475"/>
      <c r="AR25" s="476"/>
      <c r="AS25" s="476"/>
      <c r="AT25" s="476"/>
      <c r="AU25" s="476"/>
      <c r="AV25" s="477"/>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row>
    <row r="26" spans="3:82" ht="15.75" customHeight="1" thickBot="1">
      <c r="C26" s="68"/>
      <c r="D26" s="461"/>
      <c r="E26" s="461"/>
      <c r="F26" s="462"/>
      <c r="G26" s="436"/>
      <c r="H26" s="437"/>
      <c r="I26" s="437"/>
      <c r="J26" s="437"/>
      <c r="K26" s="437"/>
      <c r="L26" s="405"/>
      <c r="M26" s="406"/>
      <c r="N26" s="406"/>
      <c r="O26" s="406"/>
      <c r="P26" s="406"/>
      <c r="Q26" s="407"/>
      <c r="R26" s="405"/>
      <c r="S26" s="406"/>
      <c r="T26" s="403"/>
      <c r="U26" s="403"/>
      <c r="V26" s="403"/>
      <c r="W26" s="403"/>
      <c r="X26" s="420"/>
      <c r="Y26" s="421"/>
      <c r="Z26" s="421"/>
      <c r="AA26" s="421"/>
      <c r="AB26" s="421"/>
      <c r="AC26" s="421"/>
      <c r="AD26" s="420"/>
      <c r="AE26" s="421"/>
      <c r="AF26" s="421"/>
      <c r="AG26" s="421"/>
      <c r="AH26" s="421"/>
      <c r="AI26" s="421"/>
      <c r="AJ26" s="411"/>
      <c r="AK26" s="412"/>
      <c r="AL26" s="412"/>
      <c r="AM26" s="412"/>
      <c r="AN26" s="412"/>
      <c r="AO26" s="413"/>
      <c r="AP26" s="68"/>
      <c r="AQ26" s="478"/>
      <c r="AR26" s="479"/>
      <c r="AS26" s="479"/>
      <c r="AT26" s="479"/>
      <c r="AU26" s="479"/>
      <c r="AV26" s="480"/>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c r="BZ26" s="68"/>
      <c r="CA26" s="68"/>
      <c r="CB26" s="68"/>
      <c r="CC26" s="68"/>
      <c r="CD26" s="68"/>
    </row>
    <row r="27" spans="3:82" ht="15" customHeight="1">
      <c r="C27" s="68"/>
      <c r="D27" s="461"/>
      <c r="E27" s="461"/>
      <c r="F27" s="462"/>
      <c r="G27" s="429" t="s">
        <v>257</v>
      </c>
      <c r="H27" s="431"/>
      <c r="I27" s="431"/>
      <c r="J27" s="431"/>
      <c r="K27" s="431"/>
      <c r="L27" s="408"/>
      <c r="M27" s="409"/>
      <c r="N27" s="409" t="str">
        <f>IF(AND('Mapa final'!$K$15="Media",'Mapa final'!$O$15="Leve"),CONCATENATE("R",'Mapa final'!#REF!),"")</f>
        <v/>
      </c>
      <c r="O27" s="409"/>
      <c r="P27" s="409" t="e">
        <f>IF(AND('Mapa final'!#REF!="Media",'Mapa final'!#REF!="Leve"),CONCATENATE("R",'Mapa final'!#REF!),"")</f>
        <v>#REF!</v>
      </c>
      <c r="Q27" s="410"/>
      <c r="R27" s="408"/>
      <c r="S27" s="409"/>
      <c r="T27" s="409" t="str">
        <f>IF(AND('Mapa final'!$P$15="Media",'Mapa final'!$S$15="Menor"),CONCATENATE("R",'Mapa final'!#REF!),"")</f>
        <v/>
      </c>
      <c r="U27" s="409"/>
      <c r="V27" s="409" t="e">
        <f>IF(AND('Mapa final'!#REF!="Media",'Mapa final'!#REF!="Menor"),CONCATENATE("R",'Mapa final'!#REF!),"")</f>
        <v>#REF!</v>
      </c>
      <c r="W27" s="409"/>
      <c r="X27" s="408"/>
      <c r="Y27" s="409"/>
      <c r="Z27" s="409" t="e">
        <f>IF(AND('Mapa final'!P$15="Media",'Mapa final'!$S$15="Moderado"),CONCATENATE("R",'Mapa final'!#REF!),"")</f>
        <v>#REF!</v>
      </c>
      <c r="AA27" s="409"/>
      <c r="AB27" s="409" t="e">
        <f>IF(AND('Mapa final'!#REF!="Media",'Mapa final'!#REF!="Moderado"),CONCATENATE("R",'Mapa final'!#REF!),"")</f>
        <v>#REF!</v>
      </c>
      <c r="AC27" s="409"/>
      <c r="AD27" s="426"/>
      <c r="AE27" s="427"/>
      <c r="AF27" s="427" t="str">
        <f>IF(AND('Mapa final'!$P$15="Media",'Mapa final'!$S$15="Mayor"),CONCATENATE("R",'Mapa final'!#REF!),"")</f>
        <v/>
      </c>
      <c r="AG27" s="427"/>
      <c r="AH27" s="427" t="e">
        <f>IF(AND('Mapa final'!#REF!="Media",'Mapa final'!#REF!="Mayor"),CONCATENATE("R",'Mapa final'!#REF!),"")</f>
        <v>#REF!</v>
      </c>
      <c r="AI27" s="427"/>
      <c r="AJ27" s="417"/>
      <c r="AK27" s="418"/>
      <c r="AL27" s="418" t="str">
        <f>IF(AND('Mapa final'!$P$15="Media",'Mapa final'!$S$15="Catastrófico"),CONCATENATE("R",'Mapa final'!#REF!),"")</f>
        <v/>
      </c>
      <c r="AM27" s="418"/>
      <c r="AN27" s="418" t="e">
        <f>IF(AND('Mapa final'!#REF!="Media",'Mapa final'!#REF!="Catastrófico"),CONCATENATE("R",'Mapa final'!#REF!),"")</f>
        <v>#REF!</v>
      </c>
      <c r="AO27" s="419"/>
      <c r="AP27" s="68"/>
      <c r="AQ27" s="481" t="s">
        <v>121</v>
      </c>
      <c r="AR27" s="482"/>
      <c r="AS27" s="482"/>
      <c r="AT27" s="482"/>
      <c r="AU27" s="482"/>
      <c r="AV27" s="483"/>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row>
    <row r="28" spans="3:82" ht="15" customHeight="1">
      <c r="C28" s="68"/>
      <c r="D28" s="461"/>
      <c r="E28" s="461"/>
      <c r="F28" s="462"/>
      <c r="G28" s="433"/>
      <c r="H28" s="434"/>
      <c r="I28" s="434"/>
      <c r="J28" s="434"/>
      <c r="K28" s="434"/>
      <c r="L28" s="402"/>
      <c r="M28" s="403"/>
      <c r="N28" s="403"/>
      <c r="O28" s="403"/>
      <c r="P28" s="403"/>
      <c r="Q28" s="404"/>
      <c r="R28" s="402"/>
      <c r="S28" s="403"/>
      <c r="T28" s="403"/>
      <c r="U28" s="403"/>
      <c r="V28" s="403"/>
      <c r="W28" s="403"/>
      <c r="X28" s="402"/>
      <c r="Y28" s="403"/>
      <c r="Z28" s="403"/>
      <c r="AA28" s="403"/>
      <c r="AB28" s="403"/>
      <c r="AC28" s="403"/>
      <c r="AD28" s="420"/>
      <c r="AE28" s="421"/>
      <c r="AF28" s="421"/>
      <c r="AG28" s="421"/>
      <c r="AH28" s="421"/>
      <c r="AI28" s="421"/>
      <c r="AJ28" s="411"/>
      <c r="AK28" s="412"/>
      <c r="AL28" s="412"/>
      <c r="AM28" s="412"/>
      <c r="AN28" s="412"/>
      <c r="AO28" s="413"/>
      <c r="AP28" s="68"/>
      <c r="AQ28" s="484"/>
      <c r="AR28" s="485"/>
      <c r="AS28" s="485"/>
      <c r="AT28" s="485"/>
      <c r="AU28" s="485"/>
      <c r="AV28" s="486"/>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row>
    <row r="29" spans="3:82" ht="15" customHeight="1">
      <c r="C29" s="68"/>
      <c r="D29" s="461"/>
      <c r="E29" s="461"/>
      <c r="F29" s="462"/>
      <c r="G29" s="433"/>
      <c r="H29" s="434"/>
      <c r="I29" s="434"/>
      <c r="J29" s="434"/>
      <c r="K29" s="434"/>
      <c r="L29" s="402" t="e">
        <f>IF(AND('Mapa final'!#REF!="Media",'Mapa final'!#REF!="Leve"),CONCATENATE("R",'Mapa final'!#REF!),"")</f>
        <v>#REF!</v>
      </c>
      <c r="M29" s="403"/>
      <c r="N29" s="403" t="e">
        <f>IF(AND('Mapa final'!#REF!="Media",'Mapa final'!#REF!="Leve"),CONCATENATE("R",'Mapa final'!#REF!),"")</f>
        <v>#REF!</v>
      </c>
      <c r="O29" s="403"/>
      <c r="P29" s="403" t="e">
        <f>IF(AND('Mapa final'!#REF!="Media",'Mapa final'!#REF!="Leve"),CONCATENATE("R",'Mapa final'!#REF!),"")</f>
        <v>#REF!</v>
      </c>
      <c r="Q29" s="404"/>
      <c r="R29" s="402" t="e">
        <f>IF(AND('Mapa final'!#REF!="Media",'Mapa final'!#REF!="Menor"),CONCATENATE("R",'Mapa final'!#REF!),"")</f>
        <v>#REF!</v>
      </c>
      <c r="S29" s="403"/>
      <c r="T29" s="403" t="e">
        <f>IF(AND('Mapa final'!#REF!="Media",'Mapa final'!#REF!="Menor"),CONCATENATE("R",'Mapa final'!#REF!),"")</f>
        <v>#REF!</v>
      </c>
      <c r="U29" s="403"/>
      <c r="V29" s="403" t="e">
        <f>IF(AND('Mapa final'!#REF!="Media",'Mapa final'!#REF!="Menor"),CONCATENATE("R",'Mapa final'!#REF!),"")</f>
        <v>#REF!</v>
      </c>
      <c r="W29" s="403"/>
      <c r="X29" s="402" t="e">
        <f>IF(AND('Mapa final'!#REF!="Media",'Mapa final'!#REF!="Moderado"),CONCATENATE("R",'Mapa final'!#REF!),"")</f>
        <v>#REF!</v>
      </c>
      <c r="Y29" s="403"/>
      <c r="Z29" s="403" t="e">
        <f>IF(AND('Mapa final'!#REF!="Media",'Mapa final'!#REF!="Moderado"),CONCATENATE("R",'Mapa final'!#REF!),"")</f>
        <v>#REF!</v>
      </c>
      <c r="AA29" s="403"/>
      <c r="AB29" s="403" t="e">
        <f>IF(AND('Mapa final'!#REF!="Media",'Mapa final'!#REF!="Moderado"),CONCATENATE("R",'Mapa final'!#REF!),"")</f>
        <v>#REF!</v>
      </c>
      <c r="AC29" s="403"/>
      <c r="AD29" s="420" t="e">
        <f>IF(AND('Mapa final'!#REF!="Media",'Mapa final'!#REF!="Mayor"),CONCATENATE("R",'Mapa final'!#REF!),"")</f>
        <v>#REF!</v>
      </c>
      <c r="AE29" s="421"/>
      <c r="AF29" s="421" t="e">
        <f>IF(AND('Mapa final'!#REF!="Media",'Mapa final'!#REF!="Mayor"),CONCATENATE("R",'Mapa final'!#REF!),"")</f>
        <v>#REF!</v>
      </c>
      <c r="AG29" s="421"/>
      <c r="AH29" s="421" t="e">
        <f>IF(AND('Mapa final'!#REF!="Media",'Mapa final'!#REF!="Mayor"),CONCATENATE("R",'Mapa final'!#REF!),"")</f>
        <v>#REF!</v>
      </c>
      <c r="AI29" s="421"/>
      <c r="AJ29" s="411" t="e">
        <f>IF(AND('Mapa final'!#REF!="Media",'Mapa final'!#REF!="Catastrófico"),CONCATENATE("R",'Mapa final'!#REF!),"")</f>
        <v>#REF!</v>
      </c>
      <c r="AK29" s="412"/>
      <c r="AL29" s="412" t="e">
        <f>IF(AND('Mapa final'!#REF!="Media",'Mapa final'!#REF!="Catastrófico"),CONCATENATE("R",'Mapa final'!#REF!),"")</f>
        <v>#REF!</v>
      </c>
      <c r="AM29" s="412"/>
      <c r="AN29" s="412" t="e">
        <f>IF(AND('Mapa final'!#REF!="Media",'Mapa final'!#REF!="Catastrófico"),CONCATENATE("R",'Mapa final'!#REF!),"")</f>
        <v>#REF!</v>
      </c>
      <c r="AO29" s="413"/>
      <c r="AP29" s="68"/>
      <c r="AQ29" s="484"/>
      <c r="AR29" s="485"/>
      <c r="AS29" s="485"/>
      <c r="AT29" s="485"/>
      <c r="AU29" s="485"/>
      <c r="AV29" s="486"/>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row>
    <row r="30" spans="3:82" ht="15" customHeight="1">
      <c r="C30" s="68"/>
      <c r="D30" s="461"/>
      <c r="E30" s="461"/>
      <c r="F30" s="462"/>
      <c r="G30" s="433"/>
      <c r="H30" s="434"/>
      <c r="I30" s="434"/>
      <c r="J30" s="434"/>
      <c r="K30" s="434"/>
      <c r="L30" s="402"/>
      <c r="M30" s="403"/>
      <c r="N30" s="403"/>
      <c r="O30" s="403"/>
      <c r="P30" s="403"/>
      <c r="Q30" s="404"/>
      <c r="R30" s="402"/>
      <c r="S30" s="403"/>
      <c r="T30" s="403"/>
      <c r="U30" s="403"/>
      <c r="V30" s="403"/>
      <c r="W30" s="403"/>
      <c r="X30" s="402"/>
      <c r="Y30" s="403"/>
      <c r="Z30" s="403"/>
      <c r="AA30" s="403"/>
      <c r="AB30" s="403"/>
      <c r="AC30" s="403"/>
      <c r="AD30" s="420"/>
      <c r="AE30" s="421"/>
      <c r="AF30" s="421"/>
      <c r="AG30" s="421"/>
      <c r="AH30" s="421"/>
      <c r="AI30" s="421"/>
      <c r="AJ30" s="411"/>
      <c r="AK30" s="412"/>
      <c r="AL30" s="412"/>
      <c r="AM30" s="412"/>
      <c r="AN30" s="412"/>
      <c r="AO30" s="413"/>
      <c r="AP30" s="68"/>
      <c r="AQ30" s="484"/>
      <c r="AR30" s="485"/>
      <c r="AS30" s="485"/>
      <c r="AT30" s="485"/>
      <c r="AU30" s="485"/>
      <c r="AV30" s="486"/>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row>
    <row r="31" spans="3:82" ht="15" customHeight="1">
      <c r="C31" s="68"/>
      <c r="D31" s="461"/>
      <c r="E31" s="461"/>
      <c r="F31" s="462"/>
      <c r="G31" s="433"/>
      <c r="H31" s="434"/>
      <c r="I31" s="434"/>
      <c r="J31" s="434"/>
      <c r="K31" s="434"/>
      <c r="L31" s="402" t="e">
        <f>IF(AND('Mapa final'!#REF!="Media",'Mapa final'!#REF!="Leve"),CONCATENATE("R",'Mapa final'!#REF!),"")</f>
        <v>#REF!</v>
      </c>
      <c r="M31" s="403"/>
      <c r="N31" s="403" t="e">
        <f>IF(AND('Mapa final'!#REF!="Media",'Mapa final'!#REF!="Leve"),CONCATENATE("R",'Mapa final'!#REF!),"")</f>
        <v>#REF!</v>
      </c>
      <c r="O31" s="403"/>
      <c r="P31" s="403" t="str">
        <f>IF(AND('Mapa final'!$K$22="Media",'Mapa final'!$O$22="Leve"),CONCATENATE("R",'Mapa final'!$A$22),"")</f>
        <v/>
      </c>
      <c r="Q31" s="404"/>
      <c r="R31" s="402" t="e">
        <f>IF(AND('Mapa final'!#REF!="Media",'Mapa final'!#REF!="Menor"),CONCATENATE("R",'Mapa final'!#REF!),"")</f>
        <v>#REF!</v>
      </c>
      <c r="S31" s="403"/>
      <c r="T31" s="403" t="e">
        <f>IF(AND('Mapa final'!#REF!="Media",'Mapa final'!#REF!="Menor"),CONCATENATE("R",'Mapa final'!#REF!),"")</f>
        <v>#REF!</v>
      </c>
      <c r="U31" s="403"/>
      <c r="V31" s="403" t="str">
        <f>IF(AND('Mapa final'!$P$22="Media",'Mapa final'!$S$22="Menor"),CONCATENATE("R",'Mapa final'!$A$22),"")</f>
        <v/>
      </c>
      <c r="W31" s="403"/>
      <c r="X31" s="402" t="e">
        <f>IF(AND('Mapa final'!#REF!="Media",'Mapa final'!#REF!="Moderado"),CONCATENATE("R",'Mapa final'!#REF!),"")</f>
        <v>#REF!</v>
      </c>
      <c r="Y31" s="403"/>
      <c r="Z31" s="403" t="e">
        <f>IF(AND('Mapa final'!#REF!="Media",'Mapa final'!#REF!="Moderado"),CONCATENATE("R",'Mapa final'!#REF!),"")</f>
        <v>#REF!</v>
      </c>
      <c r="AA31" s="403"/>
      <c r="AB31" s="403" t="str">
        <f>IF(AND('Mapa final'!$P$22="Media",'Mapa final'!$S$22="Moderado"),CONCATENATE("R",'Mapa final'!$A$22),"")</f>
        <v/>
      </c>
      <c r="AC31" s="403"/>
      <c r="AD31" s="420" t="e">
        <f>IF(AND('Mapa final'!#REF!="Media",'Mapa final'!#REF!="Mayor"),CONCATENATE("R",'Mapa final'!#REF!),"")</f>
        <v>#REF!</v>
      </c>
      <c r="AE31" s="421"/>
      <c r="AF31" s="421" t="e">
        <f>IF(AND('Mapa final'!#REF!="Media",'Mapa final'!#REF!="Mayor"),CONCATENATE("R",'Mapa final'!#REF!),"")</f>
        <v>#REF!</v>
      </c>
      <c r="AG31" s="421"/>
      <c r="AH31" s="421" t="str">
        <f>IF(AND('Mapa final'!$P$22="Media",'Mapa final'!$S$22="Mayor"),CONCATENATE("R",'Mapa final'!$A$22),"")</f>
        <v/>
      </c>
      <c r="AI31" s="421"/>
      <c r="AJ31" s="411" t="e">
        <f>IF(AND('Mapa final'!#REF!="Media",'Mapa final'!#REF!="Catastrófico"),CONCATENATE("R",'Mapa final'!#REF!),"")</f>
        <v>#REF!</v>
      </c>
      <c r="AK31" s="412"/>
      <c r="AL31" s="412" t="e">
        <f>IF(AND('Mapa final'!#REF!="Media",'Mapa final'!#REF!="Catastrófico"),CONCATENATE("R",'Mapa final'!#REF!),"")</f>
        <v>#REF!</v>
      </c>
      <c r="AM31" s="412"/>
      <c r="AN31" s="412" t="str">
        <f>IF(AND('Mapa final'!$P$22="Media",'Mapa final'!$S$22="Catastrófico"),CONCATENATE("R",'Mapa final'!$A$22),"")</f>
        <v/>
      </c>
      <c r="AO31" s="413"/>
      <c r="AP31" s="68"/>
      <c r="AQ31" s="484"/>
      <c r="AR31" s="485"/>
      <c r="AS31" s="485"/>
      <c r="AT31" s="485"/>
      <c r="AU31" s="485"/>
      <c r="AV31" s="486"/>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68"/>
    </row>
    <row r="32" spans="3:82" ht="15" customHeight="1">
      <c r="C32" s="68"/>
      <c r="D32" s="461"/>
      <c r="E32" s="461"/>
      <c r="F32" s="462"/>
      <c r="G32" s="433"/>
      <c r="H32" s="434"/>
      <c r="I32" s="434"/>
      <c r="J32" s="434"/>
      <c r="K32" s="434"/>
      <c r="L32" s="402"/>
      <c r="M32" s="403"/>
      <c r="N32" s="403"/>
      <c r="O32" s="403"/>
      <c r="P32" s="403"/>
      <c r="Q32" s="404"/>
      <c r="R32" s="402"/>
      <c r="S32" s="403"/>
      <c r="T32" s="403"/>
      <c r="U32" s="403"/>
      <c r="V32" s="403"/>
      <c r="W32" s="403"/>
      <c r="X32" s="402"/>
      <c r="Y32" s="403"/>
      <c r="Z32" s="403"/>
      <c r="AA32" s="403"/>
      <c r="AB32" s="403"/>
      <c r="AC32" s="403"/>
      <c r="AD32" s="420"/>
      <c r="AE32" s="421"/>
      <c r="AF32" s="421"/>
      <c r="AG32" s="421"/>
      <c r="AH32" s="421"/>
      <c r="AI32" s="421"/>
      <c r="AJ32" s="411"/>
      <c r="AK32" s="412"/>
      <c r="AL32" s="412"/>
      <c r="AM32" s="412"/>
      <c r="AN32" s="412"/>
      <c r="AO32" s="413"/>
      <c r="AP32" s="68"/>
      <c r="AQ32" s="484"/>
      <c r="AR32" s="485"/>
      <c r="AS32" s="485"/>
      <c r="AT32" s="485"/>
      <c r="AU32" s="485"/>
      <c r="AV32" s="486"/>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68"/>
    </row>
    <row r="33" spans="3:82" ht="15" customHeight="1">
      <c r="C33" s="68"/>
      <c r="D33" s="461"/>
      <c r="E33" s="461"/>
      <c r="F33" s="462"/>
      <c r="G33" s="433"/>
      <c r="H33" s="434"/>
      <c r="I33" s="434"/>
      <c r="J33" s="434"/>
      <c r="K33" s="434"/>
      <c r="L33" s="402" t="str">
        <f>IF(AND('Mapa final'!$P$23="Mediaa",'Mapa final'!$S$23="Leve"),CONCATENATE("R",'Mapa final'!$A$23),"")</f>
        <v/>
      </c>
      <c r="M33" s="403"/>
      <c r="N33" s="403" t="str">
        <f>IF(AND('Mapa final'!$K$24="Media",'Mapa final'!$O$24="Leve"),CONCATENATE("R",'Mapa final'!$A$24),"")</f>
        <v/>
      </c>
      <c r="O33" s="403"/>
      <c r="P33" s="403" t="str">
        <f>IF(AND('Mapa final'!$K$25="Media",'Mapa final'!$O$25="Leve"),CONCATENATE("R",'Mapa final'!$A$25),"")</f>
        <v/>
      </c>
      <c r="Q33" s="404"/>
      <c r="R33" s="402" t="str">
        <f>IF(AND('Mapa final'!$P$23="Media",'Mapa final'!$S$23="Menor"),CONCATENATE("R",'Mapa final'!$A$23),"")</f>
        <v/>
      </c>
      <c r="S33" s="403"/>
      <c r="T33" s="403" t="str">
        <f>IF(AND('Mapa final'!$P$24="Media",'Mapa final'!$S$24="Menor"),CONCATENATE("R",'Mapa final'!$A$24),"")</f>
        <v/>
      </c>
      <c r="U33" s="403"/>
      <c r="V33" s="403" t="str">
        <f>IF(AND('Mapa final'!$P$25="Media",'Mapa final'!$S$25="Menor"),CONCATENATE("R",'Mapa final'!$A$25),"")</f>
        <v/>
      </c>
      <c r="W33" s="403"/>
      <c r="X33" s="402" t="str">
        <f>IF(AND('Mapa final'!$P$23="Media",'Mapa final'!$S$23="Moderado"),CONCATENATE("R",'Mapa final'!$A$23),"")</f>
        <v/>
      </c>
      <c r="Y33" s="403"/>
      <c r="Z33" s="403" t="str">
        <f>IF(AND('Mapa final'!$P$24="Media",'Mapa final'!$S$24="Moderado"),CONCATENATE("R",'Mapa final'!$A$24),"")</f>
        <v/>
      </c>
      <c r="AA33" s="403"/>
      <c r="AB33" s="403" t="str">
        <f>IF(AND('Mapa final'!$P$25="Media",'Mapa final'!$S$25="Moderado"),CONCATENATE("R",'Mapa final'!$A$25),"")</f>
        <v/>
      </c>
      <c r="AC33" s="403"/>
      <c r="AD33" s="420" t="str">
        <f>IF(AND('Mapa final'!$P$23="Media",'Mapa final'!$S$23="Mayor"),CONCATENATE("R",'Mapa final'!$A$23),"")</f>
        <v/>
      </c>
      <c r="AE33" s="421"/>
      <c r="AF33" s="421" t="str">
        <f>IF(AND('Mapa final'!$P$24="Media",'Mapa final'!$S$24="Mayor"),CONCATENATE("R",'Mapa final'!$A$24),"")</f>
        <v/>
      </c>
      <c r="AG33" s="421"/>
      <c r="AH33" s="421" t="str">
        <f>IF(AND('Mapa final'!$P$25="Media",'Mapa final'!$S$25="Mayor"),CONCATENATE("R",'Mapa final'!$A$25),"")</f>
        <v/>
      </c>
      <c r="AI33" s="421"/>
      <c r="AJ33" s="411" t="str">
        <f>IF(AND('Mapa final'!$P$23="Media",'Mapa final'!$S$23="Catastrófico"),CONCATENATE("R",'Mapa final'!$A$23),"")</f>
        <v/>
      </c>
      <c r="AK33" s="412"/>
      <c r="AL33" s="412" t="str">
        <f>IF(AND('Mapa final'!$P$24="Media",'Mapa final'!$S$24="Catastrófico"),CONCATENATE("R",'Mapa final'!$A$24),"")</f>
        <v/>
      </c>
      <c r="AM33" s="412"/>
      <c r="AN33" s="412" t="str">
        <f>IF(AND('Mapa final'!$P$25="Media",'Mapa final'!$S$25="Catastrófico"),CONCATENATE("R",'Mapa final'!$A$25),"")</f>
        <v/>
      </c>
      <c r="AO33" s="413"/>
      <c r="AP33" s="68"/>
      <c r="AQ33" s="484"/>
      <c r="AR33" s="485"/>
      <c r="AS33" s="485"/>
      <c r="AT33" s="485"/>
      <c r="AU33" s="485"/>
      <c r="AV33" s="486"/>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68"/>
    </row>
    <row r="34" spans="3:82" ht="15.75" customHeight="1" thickBot="1">
      <c r="C34" s="68"/>
      <c r="D34" s="461"/>
      <c r="E34" s="461"/>
      <c r="F34" s="462"/>
      <c r="G34" s="436"/>
      <c r="H34" s="437"/>
      <c r="I34" s="437"/>
      <c r="J34" s="437"/>
      <c r="K34" s="437"/>
      <c r="L34" s="405"/>
      <c r="M34" s="406"/>
      <c r="N34" s="406"/>
      <c r="O34" s="406"/>
      <c r="P34" s="406"/>
      <c r="Q34" s="407"/>
      <c r="R34" s="405"/>
      <c r="S34" s="406"/>
      <c r="T34" s="406"/>
      <c r="U34" s="406"/>
      <c r="V34" s="406"/>
      <c r="W34" s="406"/>
      <c r="X34" s="405"/>
      <c r="Y34" s="406"/>
      <c r="Z34" s="406"/>
      <c r="AA34" s="406"/>
      <c r="AB34" s="406"/>
      <c r="AC34" s="406"/>
      <c r="AD34" s="423"/>
      <c r="AE34" s="424"/>
      <c r="AF34" s="424"/>
      <c r="AG34" s="424"/>
      <c r="AH34" s="424"/>
      <c r="AI34" s="424"/>
      <c r="AJ34" s="411"/>
      <c r="AK34" s="412"/>
      <c r="AL34" s="412"/>
      <c r="AM34" s="412"/>
      <c r="AN34" s="412"/>
      <c r="AO34" s="413"/>
      <c r="AP34" s="68"/>
      <c r="AQ34" s="487"/>
      <c r="AR34" s="488"/>
      <c r="AS34" s="488"/>
      <c r="AT34" s="488"/>
      <c r="AU34" s="488"/>
      <c r="AV34" s="489"/>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68"/>
    </row>
    <row r="35" spans="3:82" ht="15" customHeight="1">
      <c r="C35" s="68"/>
      <c r="D35" s="461"/>
      <c r="E35" s="461"/>
      <c r="F35" s="462"/>
      <c r="G35" s="429" t="s">
        <v>258</v>
      </c>
      <c r="H35" s="431"/>
      <c r="I35" s="431"/>
      <c r="J35" s="431"/>
      <c r="K35" s="431"/>
      <c r="L35" s="398"/>
      <c r="M35" s="399"/>
      <c r="N35" s="399" t="str">
        <f>IF(AND('Mapa final'!$K$15="Baja",'Mapa final'!$O$15="Leve"),CONCATENATE("R",'Mapa final'!#REF!),"")</f>
        <v/>
      </c>
      <c r="O35" s="399"/>
      <c r="P35" s="399" t="e">
        <f>IF(AND('Mapa final'!#REF!="Baja",'Mapa final'!#REF!="Leve"),CONCATENATE("R",'Mapa final'!#REF!),"")</f>
        <v>#REF!</v>
      </c>
      <c r="Q35" s="400"/>
      <c r="R35" s="408"/>
      <c r="S35" s="409"/>
      <c r="T35" s="403" t="str">
        <f>IF(AND('Mapa final'!$P$15="Baja",'Mapa final'!$S$15="Menor"),CONCATENATE("R",'Mapa final'!#REF!),"")</f>
        <v/>
      </c>
      <c r="U35" s="403"/>
      <c r="V35" s="403" t="e">
        <f>IF(AND('Mapa final'!#REF!="Baja",'Mapa final'!#REF!="Menor"),CONCATENATE("R",'Mapa final'!#REF!),"")</f>
        <v>#REF!</v>
      </c>
      <c r="W35" s="404"/>
      <c r="X35" s="402"/>
      <c r="Y35" s="403"/>
      <c r="Z35" s="403" t="str">
        <f>IF(AND('Mapa final'!P$15="Baja",'Mapa final'!$S$15="Moderado"),CONCATENATE("R",'Mapa final'!#REF!),"")</f>
        <v/>
      </c>
      <c r="AA35" s="403"/>
      <c r="AB35" s="403" t="e">
        <f>IF(AND('Mapa final'!#REF!="Baja",'Mapa final'!#REF!="Moderado"),CONCATENATE("R",'Mapa final'!#REF!),"")</f>
        <v>#REF!</v>
      </c>
      <c r="AC35" s="404"/>
      <c r="AD35" s="420"/>
      <c r="AE35" s="421"/>
      <c r="AF35" s="421" t="str">
        <f>IF(AND('Mapa final'!$P$15="Baja",'Mapa final'!$S$15="Mayor"),CONCATENATE("R",'Mapa final'!#REF!),"")</f>
        <v/>
      </c>
      <c r="AG35" s="421"/>
      <c r="AH35" s="421" t="e">
        <f>IF(AND('Mapa final'!#REF!="Baja",'Mapa final'!#REF!="Mayor"),CONCATENATE("R",'Mapa final'!#REF!),"")</f>
        <v>#REF!</v>
      </c>
      <c r="AI35" s="421"/>
      <c r="AJ35" s="417"/>
      <c r="AK35" s="418"/>
      <c r="AL35" s="418" t="str">
        <f>IF(AND('Mapa final'!$P$15="Baja",'Mapa final'!$S$15="Catastrófico"),CONCATENATE("R",'Mapa final'!#REF!),"")</f>
        <v/>
      </c>
      <c r="AM35" s="418"/>
      <c r="AN35" s="418" t="e">
        <f>IF(AND('Mapa final'!#REF!="Baja",'Mapa final'!#REF!="Catastrófico"),CONCATENATE("R",'Mapa final'!#REF!),"")</f>
        <v>#REF!</v>
      </c>
      <c r="AO35" s="419"/>
      <c r="AP35" s="68"/>
      <c r="AQ35" s="490" t="s">
        <v>259</v>
      </c>
      <c r="AR35" s="491"/>
      <c r="AS35" s="491"/>
      <c r="AT35" s="491"/>
      <c r="AU35" s="491"/>
      <c r="AV35" s="492"/>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c r="BZ35" s="68"/>
      <c r="CA35" s="68"/>
      <c r="CB35" s="68"/>
      <c r="CC35" s="68"/>
      <c r="CD35" s="68"/>
    </row>
    <row r="36" spans="3:82" ht="15" customHeight="1">
      <c r="C36" s="68"/>
      <c r="D36" s="461"/>
      <c r="E36" s="461"/>
      <c r="F36" s="462"/>
      <c r="G36" s="433"/>
      <c r="H36" s="434"/>
      <c r="I36" s="434"/>
      <c r="J36" s="434"/>
      <c r="K36" s="434"/>
      <c r="L36" s="393"/>
      <c r="M36" s="394"/>
      <c r="N36" s="394"/>
      <c r="O36" s="394"/>
      <c r="P36" s="394"/>
      <c r="Q36" s="395"/>
      <c r="R36" s="402"/>
      <c r="S36" s="403"/>
      <c r="T36" s="403"/>
      <c r="U36" s="403"/>
      <c r="V36" s="403"/>
      <c r="W36" s="404"/>
      <c r="X36" s="402"/>
      <c r="Y36" s="403"/>
      <c r="Z36" s="403"/>
      <c r="AA36" s="403"/>
      <c r="AB36" s="403"/>
      <c r="AC36" s="404"/>
      <c r="AD36" s="420"/>
      <c r="AE36" s="421"/>
      <c r="AF36" s="421"/>
      <c r="AG36" s="421"/>
      <c r="AH36" s="421"/>
      <c r="AI36" s="421"/>
      <c r="AJ36" s="411"/>
      <c r="AK36" s="412"/>
      <c r="AL36" s="412"/>
      <c r="AM36" s="412"/>
      <c r="AN36" s="412"/>
      <c r="AO36" s="413"/>
      <c r="AP36" s="68"/>
      <c r="AQ36" s="493"/>
      <c r="AR36" s="494"/>
      <c r="AS36" s="494"/>
      <c r="AT36" s="494"/>
      <c r="AU36" s="494"/>
      <c r="AV36" s="495"/>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c r="CA36" s="68"/>
      <c r="CB36" s="68"/>
      <c r="CC36" s="68"/>
      <c r="CD36" s="68"/>
    </row>
    <row r="37" spans="3:82" ht="15" customHeight="1">
      <c r="C37" s="68"/>
      <c r="D37" s="461"/>
      <c r="E37" s="461"/>
      <c r="F37" s="462"/>
      <c r="G37" s="433"/>
      <c r="H37" s="434"/>
      <c r="I37" s="434"/>
      <c r="J37" s="434"/>
      <c r="K37" s="434"/>
      <c r="L37" s="393" t="e">
        <f>IF(AND('Mapa final'!#REF!="Baja",'Mapa final'!#REF!="Leve"),CONCATENATE("R",'Mapa final'!#REF!),"")</f>
        <v>#REF!</v>
      </c>
      <c r="M37" s="394"/>
      <c r="N37" s="394" t="e">
        <f>IF(AND('Mapa final'!#REF!="Baja",'Mapa final'!#REF!="Leve"),CONCATENATE("R",'Mapa final'!#REF!),"")</f>
        <v>#REF!</v>
      </c>
      <c r="O37" s="394"/>
      <c r="P37" s="394" t="e">
        <f>IF(AND('Mapa final'!#REF!="Baja",'Mapa final'!#REF!="Leve"),CONCATENATE("R",'Mapa final'!#REF!),"")</f>
        <v>#REF!</v>
      </c>
      <c r="Q37" s="395"/>
      <c r="R37" s="402" t="e">
        <f>IF(AND('Mapa final'!#REF!="Baja",'Mapa final'!#REF!="Menor"),CONCATENATE("R",'Mapa final'!#REF!),"")</f>
        <v>#REF!</v>
      </c>
      <c r="S37" s="403"/>
      <c r="T37" s="403" t="e">
        <f>IF(AND('Mapa final'!#REF!="Baja",'Mapa final'!#REF!="Menor"),CONCATENATE("R",'Mapa final'!#REF!),"")</f>
        <v>#REF!</v>
      </c>
      <c r="U37" s="403"/>
      <c r="V37" s="403" t="e">
        <f>IF(AND('Mapa final'!#REF!="Baja",'Mapa final'!#REF!="Menor"),CONCATENATE("R",'Mapa final'!#REF!),"")</f>
        <v>#REF!</v>
      </c>
      <c r="W37" s="404"/>
      <c r="X37" s="402" t="e">
        <f>IF(AND('Mapa final'!#REF!="Baja",'Mapa final'!#REF!="Moderado"),CONCATENATE("R",'Mapa final'!#REF!),"")</f>
        <v>#REF!</v>
      </c>
      <c r="Y37" s="403"/>
      <c r="Z37" s="403" t="e">
        <f>IF(AND('Mapa final'!#REF!="Baja",'Mapa final'!#REF!="Moderado"),CONCATENATE("R",'Mapa final'!#REF!),"")</f>
        <v>#REF!</v>
      </c>
      <c r="AA37" s="403"/>
      <c r="AB37" s="403" t="e">
        <f>IF(AND('Mapa final'!#REF!="Baja",'Mapa final'!#REF!="Moderado"),CONCATENATE("R",'Mapa final'!#REF!),"")</f>
        <v>#REF!</v>
      </c>
      <c r="AC37" s="404"/>
      <c r="AD37" s="420" t="e">
        <f>IF(AND('Mapa final'!#REF!="Baja",'Mapa final'!#REF!="Mayor"),CONCATENATE("R",'Mapa final'!#REF!),"")</f>
        <v>#REF!</v>
      </c>
      <c r="AE37" s="421"/>
      <c r="AF37" s="421" t="e">
        <f>IF(AND('Mapa final'!#REF!="Baja",'Mapa final'!#REF!="Mayor"),CONCATENATE("R",'Mapa final'!#REF!),"")</f>
        <v>#REF!</v>
      </c>
      <c r="AG37" s="421"/>
      <c r="AH37" s="421" t="e">
        <f>IF(AND('Mapa final'!#REF!="Baja",'Mapa final'!#REF!="Mayor"),CONCATENATE("R",'Mapa final'!#REF!),"")</f>
        <v>#REF!</v>
      </c>
      <c r="AI37" s="421"/>
      <c r="AJ37" s="411" t="e">
        <f>IF(AND('Mapa final'!#REF!="Baja",'Mapa final'!#REF!="Catastrófico"),CONCATENATE("R",'Mapa final'!#REF!),"")</f>
        <v>#REF!</v>
      </c>
      <c r="AK37" s="412"/>
      <c r="AL37" s="412" t="e">
        <f>IF(AND('Mapa final'!#REF!="Baja",'Mapa final'!#REF!="Catastrófico"),CONCATENATE("R",'Mapa final'!#REF!),"")</f>
        <v>#REF!</v>
      </c>
      <c r="AM37" s="412"/>
      <c r="AN37" s="412" t="e">
        <f>IF(AND('Mapa final'!#REF!="Baja",'Mapa final'!#REF!="Catastrófico"),CONCATENATE("R",'Mapa final'!#REF!),"")</f>
        <v>#REF!</v>
      </c>
      <c r="AO37" s="413"/>
      <c r="AP37" s="68"/>
      <c r="AQ37" s="493"/>
      <c r="AR37" s="494"/>
      <c r="AS37" s="494"/>
      <c r="AT37" s="494"/>
      <c r="AU37" s="494"/>
      <c r="AV37" s="495"/>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c r="CA37" s="68"/>
      <c r="CB37" s="68"/>
      <c r="CC37" s="68"/>
      <c r="CD37" s="68"/>
    </row>
    <row r="38" spans="3:82" ht="15" customHeight="1">
      <c r="C38" s="68"/>
      <c r="D38" s="461"/>
      <c r="E38" s="461"/>
      <c r="F38" s="462"/>
      <c r="G38" s="433"/>
      <c r="H38" s="434"/>
      <c r="I38" s="434"/>
      <c r="J38" s="434"/>
      <c r="K38" s="434"/>
      <c r="L38" s="393"/>
      <c r="M38" s="394"/>
      <c r="N38" s="394"/>
      <c r="O38" s="394"/>
      <c r="P38" s="394"/>
      <c r="Q38" s="395"/>
      <c r="R38" s="402"/>
      <c r="S38" s="403"/>
      <c r="T38" s="403"/>
      <c r="U38" s="403"/>
      <c r="V38" s="403"/>
      <c r="W38" s="404"/>
      <c r="X38" s="402"/>
      <c r="Y38" s="403"/>
      <c r="Z38" s="403"/>
      <c r="AA38" s="403"/>
      <c r="AB38" s="403"/>
      <c r="AC38" s="404"/>
      <c r="AD38" s="420"/>
      <c r="AE38" s="421"/>
      <c r="AF38" s="421"/>
      <c r="AG38" s="421"/>
      <c r="AH38" s="421"/>
      <c r="AI38" s="421"/>
      <c r="AJ38" s="411"/>
      <c r="AK38" s="412"/>
      <c r="AL38" s="412"/>
      <c r="AM38" s="412"/>
      <c r="AN38" s="412"/>
      <c r="AO38" s="413"/>
      <c r="AP38" s="68"/>
      <c r="AQ38" s="493"/>
      <c r="AR38" s="494"/>
      <c r="AS38" s="494"/>
      <c r="AT38" s="494"/>
      <c r="AU38" s="494"/>
      <c r="AV38" s="495"/>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68"/>
    </row>
    <row r="39" spans="3:82" ht="15" customHeight="1">
      <c r="C39" s="68"/>
      <c r="D39" s="461"/>
      <c r="E39" s="461"/>
      <c r="F39" s="462"/>
      <c r="G39" s="433"/>
      <c r="H39" s="434"/>
      <c r="I39" s="434"/>
      <c r="J39" s="434"/>
      <c r="K39" s="434"/>
      <c r="L39" s="393" t="e">
        <f>IF(AND('Mapa final'!#REF!="Baja",'Mapa final'!#REF!="Leve"),CONCATENATE("R",'Mapa final'!#REF!),"")</f>
        <v>#REF!</v>
      </c>
      <c r="M39" s="394"/>
      <c r="N39" s="394" t="e">
        <f>IF(AND('Mapa final'!#REF!="Baja",'Mapa final'!#REF!="Leve"),CONCATENATE("R",'Mapa final'!#REF!),"")</f>
        <v>#REF!</v>
      </c>
      <c r="O39" s="394"/>
      <c r="P39" s="394" t="str">
        <f>IF(AND('Mapa final'!$K$22="Baja",'Mapa final'!$O$22="Leve"),CONCATENATE("R",'Mapa final'!$A$22),"")</f>
        <v/>
      </c>
      <c r="Q39" s="395"/>
      <c r="R39" s="402" t="e">
        <f>IF(AND('Mapa final'!#REF!="Baja",'Mapa final'!#REF!="Menor"),CONCATENATE("R",'Mapa final'!#REF!),"")</f>
        <v>#REF!</v>
      </c>
      <c r="S39" s="403"/>
      <c r="T39" s="403" t="e">
        <f>IF(AND('Mapa final'!#REF!="Baja",'Mapa final'!#REF!="Menor"),CONCATENATE("R",'Mapa final'!#REF!),"")</f>
        <v>#REF!</v>
      </c>
      <c r="U39" s="403"/>
      <c r="V39" s="403" t="str">
        <f>IF(AND('Mapa final'!$P$22="Baja",'Mapa final'!$S$22="Menor"),CONCATENATE("R",'Mapa final'!$A$22),"")</f>
        <v/>
      </c>
      <c r="W39" s="404"/>
      <c r="X39" s="402" t="e">
        <f>IF(AND('Mapa final'!#REF!="Baja",'Mapa final'!#REF!="Moderado"),CONCATENATE("R",'Mapa final'!#REF!),"")</f>
        <v>#REF!</v>
      </c>
      <c r="Y39" s="403"/>
      <c r="Z39" s="403" t="e">
        <f>IF(AND('Mapa final'!#REF!="Baja",'Mapa final'!#REF!="Moderado"),CONCATENATE("R",'Mapa final'!#REF!),"")</f>
        <v>#REF!</v>
      </c>
      <c r="AA39" s="403"/>
      <c r="AB39" s="403" t="str">
        <f>IF(AND('Mapa final'!$P$22="Baja",'Mapa final'!$S$22="Moderado"),CONCATENATE("R",'Mapa final'!$A$22),"")</f>
        <v/>
      </c>
      <c r="AC39" s="404"/>
      <c r="AD39" s="420" t="e">
        <f>IF(AND('Mapa final'!#REF!="Baja",'Mapa final'!#REF!="Mayor"),CONCATENATE("R",'Mapa final'!#REF!),"")</f>
        <v>#REF!</v>
      </c>
      <c r="AE39" s="421"/>
      <c r="AF39" s="421" t="e">
        <f>IF(AND('Mapa final'!#REF!="Baja",'Mapa final'!#REF!="Mayor"),CONCATENATE("R",'Mapa final'!#REF!),"")</f>
        <v>#REF!</v>
      </c>
      <c r="AG39" s="421"/>
      <c r="AH39" s="421" t="str">
        <f>IF(AND('Mapa final'!$P$22="Baja",'Mapa final'!$S$22="Mayor"),CONCATENATE("R",'Mapa final'!$A$22),"")</f>
        <v/>
      </c>
      <c r="AI39" s="421"/>
      <c r="AJ39" s="411" t="e">
        <f>IF(AND('Mapa final'!#REF!="Baja",'Mapa final'!#REF!="Catastrófico"),CONCATENATE("R",'Mapa final'!#REF!),"")</f>
        <v>#REF!</v>
      </c>
      <c r="AK39" s="412"/>
      <c r="AL39" s="412" t="e">
        <f>IF(AND('Mapa final'!#REF!="Baja",'Mapa final'!#REF!="Catastrófico"),CONCATENATE("R",'Mapa final'!#REF!),"")</f>
        <v>#REF!</v>
      </c>
      <c r="AM39" s="412"/>
      <c r="AN39" s="412" t="str">
        <f>IF(AND('Mapa final'!$P$22="Baja",'Mapa final'!$S$22="Catastrófico"),CONCATENATE("R",'Mapa final'!$A$22),"")</f>
        <v/>
      </c>
      <c r="AO39" s="413"/>
      <c r="AP39" s="68"/>
      <c r="AQ39" s="493"/>
      <c r="AR39" s="494"/>
      <c r="AS39" s="494"/>
      <c r="AT39" s="494"/>
      <c r="AU39" s="494"/>
      <c r="AV39" s="495"/>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row>
    <row r="40" spans="3:82" ht="15" customHeight="1">
      <c r="C40" s="68"/>
      <c r="D40" s="461"/>
      <c r="E40" s="461"/>
      <c r="F40" s="462"/>
      <c r="G40" s="433"/>
      <c r="H40" s="434"/>
      <c r="I40" s="434"/>
      <c r="J40" s="434"/>
      <c r="K40" s="434"/>
      <c r="L40" s="393"/>
      <c r="M40" s="394"/>
      <c r="N40" s="394"/>
      <c r="O40" s="394"/>
      <c r="P40" s="394"/>
      <c r="Q40" s="395"/>
      <c r="R40" s="402"/>
      <c r="S40" s="403"/>
      <c r="T40" s="403"/>
      <c r="U40" s="403"/>
      <c r="V40" s="403"/>
      <c r="W40" s="404"/>
      <c r="X40" s="402"/>
      <c r="Y40" s="403"/>
      <c r="Z40" s="403"/>
      <c r="AA40" s="403"/>
      <c r="AB40" s="403"/>
      <c r="AC40" s="404"/>
      <c r="AD40" s="420"/>
      <c r="AE40" s="421"/>
      <c r="AF40" s="421"/>
      <c r="AG40" s="421"/>
      <c r="AH40" s="421"/>
      <c r="AI40" s="421"/>
      <c r="AJ40" s="411"/>
      <c r="AK40" s="412"/>
      <c r="AL40" s="412"/>
      <c r="AM40" s="412"/>
      <c r="AN40" s="412"/>
      <c r="AO40" s="413"/>
      <c r="AP40" s="68"/>
      <c r="AQ40" s="493"/>
      <c r="AR40" s="494"/>
      <c r="AS40" s="494"/>
      <c r="AT40" s="494"/>
      <c r="AU40" s="494"/>
      <c r="AV40" s="495"/>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68"/>
    </row>
    <row r="41" spans="3:82" ht="15" customHeight="1">
      <c r="C41" s="68"/>
      <c r="D41" s="461"/>
      <c r="E41" s="461"/>
      <c r="F41" s="462"/>
      <c r="G41" s="433"/>
      <c r="H41" s="434"/>
      <c r="I41" s="434"/>
      <c r="J41" s="434"/>
      <c r="K41" s="434"/>
      <c r="L41" s="393" t="str">
        <f>IF(AND('Mapa final'!$P$23="Baja",'Mapa final'!$S$23="Leve"),CONCATENATE("R",'Mapa final'!$A$23),"")</f>
        <v/>
      </c>
      <c r="M41" s="394"/>
      <c r="N41" s="394" t="str">
        <f>IF(AND('Mapa final'!$K$24="Baja",'Mapa final'!$O$24="Leve"),CONCATENATE("R",'Mapa final'!$A$24),"")</f>
        <v/>
      </c>
      <c r="O41" s="394"/>
      <c r="P41" s="394" t="str">
        <f>IF(AND('Mapa final'!$K$25="Baja",'Mapa final'!$O$25="Leve"),CONCATENATE("R",'Mapa final'!$A$25),"")</f>
        <v/>
      </c>
      <c r="Q41" s="395"/>
      <c r="R41" s="402" t="str">
        <f>IF(AND('Mapa final'!$P$23="Baja",'Mapa final'!$S$23="Menor"),CONCATENATE("R",'Mapa final'!$A$23),"")</f>
        <v/>
      </c>
      <c r="S41" s="403"/>
      <c r="T41" s="403" t="str">
        <f>IF(AND('Mapa final'!$P$24="Baja",'Mapa final'!$S$24="Menor"),CONCATENATE("R",'Mapa final'!$A$24),"")</f>
        <v/>
      </c>
      <c r="U41" s="403"/>
      <c r="V41" s="403" t="str">
        <f>IF(AND('Mapa final'!$P$25="Baja",'Mapa final'!$S$25="Menor"),CONCATENATE("R",'Mapa final'!$A$25),"")</f>
        <v/>
      </c>
      <c r="W41" s="404"/>
      <c r="X41" s="402" t="str">
        <f>IF(AND('Mapa final'!$P$23="Baja",'Mapa final'!$S$23="Moderado"),CONCATENATE("R",'Mapa final'!$A$23),"")</f>
        <v/>
      </c>
      <c r="Y41" s="403"/>
      <c r="Z41" s="403" t="str">
        <f>IF(AND('Mapa final'!$P$24="Baja",'Mapa final'!$S$24="Moderado"),CONCATENATE("R",'Mapa final'!$A$24),"")</f>
        <v/>
      </c>
      <c r="AA41" s="403"/>
      <c r="AB41" s="403" t="str">
        <f>IF(AND('Mapa final'!$P$25="Baja",'Mapa final'!$S$25="Moderado"),CONCATENATE("R",'Mapa final'!$A$25),"")</f>
        <v/>
      </c>
      <c r="AC41" s="404"/>
      <c r="AD41" s="420" t="str">
        <f>IF(AND('Mapa final'!$P$23="Baja",'Mapa final'!$S$23="Mayor"),CONCATENATE("R",'Mapa final'!$A$23),"")</f>
        <v/>
      </c>
      <c r="AE41" s="421"/>
      <c r="AF41" s="421" t="str">
        <f>IF(AND('Mapa final'!$P$24="Baja",'Mapa final'!$S$24="Mayor"),CONCATENATE("R",'Mapa final'!$A$24),"")</f>
        <v/>
      </c>
      <c r="AG41" s="421"/>
      <c r="AH41" s="421" t="str">
        <f>IF(AND('Mapa final'!$P$25="Baja",'Mapa final'!$S$25="Mayor"),CONCATENATE("R",'Mapa final'!$A$25),"")</f>
        <v/>
      </c>
      <c r="AI41" s="421"/>
      <c r="AJ41" s="411" t="str">
        <f>IF(AND('Mapa final'!$P$23="Baja",'Mapa final'!$S$23="Catastrófico"),CONCATENATE("R",'Mapa final'!$A$23),"")</f>
        <v/>
      </c>
      <c r="AK41" s="412"/>
      <c r="AL41" s="412" t="str">
        <f>IF(AND('Mapa final'!$P$24="Baja",'Mapa final'!$S$24="Catastrófico"),CONCATENATE("R",'Mapa final'!$A$24),"")</f>
        <v/>
      </c>
      <c r="AM41" s="412"/>
      <c r="AN41" s="412" t="str">
        <f>IF(AND('Mapa final'!$P$25="Baja",'Mapa final'!$S$25="Catastrófico"),CONCATENATE("R",'Mapa final'!$A$25),"")</f>
        <v/>
      </c>
      <c r="AO41" s="413"/>
      <c r="AP41" s="68"/>
      <c r="AQ41" s="493"/>
      <c r="AR41" s="494"/>
      <c r="AS41" s="494"/>
      <c r="AT41" s="494"/>
      <c r="AU41" s="494"/>
      <c r="AV41" s="495"/>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row>
    <row r="42" spans="3:82" ht="15.75" customHeight="1" thickBot="1">
      <c r="C42" s="68"/>
      <c r="D42" s="461"/>
      <c r="E42" s="461"/>
      <c r="F42" s="462"/>
      <c r="G42" s="436"/>
      <c r="H42" s="437"/>
      <c r="I42" s="437"/>
      <c r="J42" s="437"/>
      <c r="K42" s="437"/>
      <c r="L42" s="401"/>
      <c r="M42" s="396"/>
      <c r="N42" s="396"/>
      <c r="O42" s="396"/>
      <c r="P42" s="396"/>
      <c r="Q42" s="397"/>
      <c r="R42" s="405"/>
      <c r="S42" s="406"/>
      <c r="T42" s="406"/>
      <c r="U42" s="406"/>
      <c r="V42" s="406"/>
      <c r="W42" s="407"/>
      <c r="X42" s="405"/>
      <c r="Y42" s="406"/>
      <c r="Z42" s="406"/>
      <c r="AA42" s="406"/>
      <c r="AB42" s="406"/>
      <c r="AC42" s="407"/>
      <c r="AD42" s="423"/>
      <c r="AE42" s="424"/>
      <c r="AF42" s="424"/>
      <c r="AG42" s="424"/>
      <c r="AH42" s="424"/>
      <c r="AI42" s="424"/>
      <c r="AJ42" s="414"/>
      <c r="AK42" s="415"/>
      <c r="AL42" s="415"/>
      <c r="AM42" s="415"/>
      <c r="AN42" s="415"/>
      <c r="AO42" s="416"/>
      <c r="AP42" s="68"/>
      <c r="AQ42" s="496"/>
      <c r="AR42" s="497"/>
      <c r="AS42" s="497"/>
      <c r="AT42" s="497"/>
      <c r="AU42" s="497"/>
      <c r="AV42" s="49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68"/>
    </row>
    <row r="43" spans="3:82" ht="15" customHeight="1">
      <c r="C43" s="68"/>
      <c r="D43" s="461"/>
      <c r="E43" s="461"/>
      <c r="F43" s="462"/>
      <c r="G43" s="429" t="s">
        <v>260</v>
      </c>
      <c r="H43" s="431"/>
      <c r="I43" s="431"/>
      <c r="J43" s="431"/>
      <c r="K43" s="431"/>
      <c r="L43" s="398"/>
      <c r="M43" s="399"/>
      <c r="N43" s="399" t="str">
        <f>IF(AND('Mapa final'!$K$15="Muy Baja",'Mapa final'!$O$15="Leve"),CONCATENATE("R",'Mapa final'!#REF!),"")</f>
        <v/>
      </c>
      <c r="O43" s="399"/>
      <c r="P43" s="399" t="e">
        <f>IF(AND('Mapa final'!#REF!="Muy Baja",'Mapa final'!#REF!="Leve"),CONCATENATE("R",'Mapa final'!#REF!),"")</f>
        <v>#REF!</v>
      </c>
      <c r="Q43" s="400"/>
      <c r="R43" s="398"/>
      <c r="S43" s="399"/>
      <c r="T43" s="399" t="str">
        <f>IF(AND('Mapa final'!$P$15="Muy Baja",'Mapa final'!$S$15="Menor"),CONCATENATE("R",'Mapa final'!#REF!),"")</f>
        <v/>
      </c>
      <c r="U43" s="399"/>
      <c r="V43" s="399" t="e">
        <f>IF(AND('Mapa final'!#REF!="Muy Baja",'Mapa final'!#REF!="Menor"),CONCATENATE("R",'Mapa final'!#REF!),"")</f>
        <v>#REF!</v>
      </c>
      <c r="W43" s="400"/>
      <c r="X43" s="408"/>
      <c r="Y43" s="409"/>
      <c r="Z43" s="409" t="str">
        <f>IF(AND('Mapa final'!P$15="Muy Baja",'Mapa final'!$S$15="Moderado"),CONCATENATE("R",'Mapa final'!$D$15),"")</f>
        <v/>
      </c>
      <c r="AA43" s="409"/>
      <c r="AB43" s="409" t="e">
        <f>IF(AND('Mapa final'!#REF!="Muy Baja",'Mapa final'!#REF!="Moderado"),CONCATENATE("R",'Mapa final'!#REF!),"")</f>
        <v>#REF!</v>
      </c>
      <c r="AC43" s="410"/>
      <c r="AD43" s="426"/>
      <c r="AE43" s="427"/>
      <c r="AF43" s="427" t="str">
        <f>IF(AND('Mapa final'!$P$15="Muy Baja",'Mapa final'!$S$15="Mayor"),CONCATENATE("R",'Mapa final'!#REF!),"")</f>
        <v/>
      </c>
      <c r="AG43" s="427"/>
      <c r="AH43" s="427" t="e">
        <f>IF(AND('Mapa final'!#REF!="Muy Baja",'Mapa final'!#REF!="Mayor"),CONCATENATE("R",'Mapa final'!#REF!),"")</f>
        <v>#REF!</v>
      </c>
      <c r="AI43" s="428"/>
      <c r="AJ43" s="411"/>
      <c r="AK43" s="412"/>
      <c r="AL43" s="412" t="str">
        <f>IF(AND('Mapa final'!$P$15="Muy Baja",'Mapa final'!$S$15="Catastrófico"),CONCATENATE("R",'Mapa final'!$D$15),"")</f>
        <v/>
      </c>
      <c r="AM43" s="412"/>
      <c r="AN43" s="412" t="e">
        <f>IF(AND('Mapa final'!#REF!="Muy Baja",'Mapa final'!#REF!="Catastrófico"),CONCATENATE("R",'Mapa final'!#REF!),"")</f>
        <v>#REF!</v>
      </c>
      <c r="AO43" s="413"/>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68"/>
    </row>
    <row r="44" spans="3:82" ht="15" customHeight="1">
      <c r="C44" s="68"/>
      <c r="D44" s="461"/>
      <c r="E44" s="461"/>
      <c r="F44" s="462"/>
      <c r="G44" s="433"/>
      <c r="H44" s="434"/>
      <c r="I44" s="434"/>
      <c r="J44" s="434"/>
      <c r="K44" s="434"/>
      <c r="L44" s="393"/>
      <c r="M44" s="394"/>
      <c r="N44" s="394"/>
      <c r="O44" s="394"/>
      <c r="P44" s="394"/>
      <c r="Q44" s="395"/>
      <c r="R44" s="393"/>
      <c r="S44" s="394"/>
      <c r="T44" s="394"/>
      <c r="U44" s="394"/>
      <c r="V44" s="394"/>
      <c r="W44" s="395"/>
      <c r="X44" s="402"/>
      <c r="Y44" s="403"/>
      <c r="Z44" s="403"/>
      <c r="AA44" s="403"/>
      <c r="AB44" s="403"/>
      <c r="AC44" s="404"/>
      <c r="AD44" s="420"/>
      <c r="AE44" s="421"/>
      <c r="AF44" s="421"/>
      <c r="AG44" s="421"/>
      <c r="AH44" s="421"/>
      <c r="AI44" s="422"/>
      <c r="AJ44" s="411"/>
      <c r="AK44" s="412"/>
      <c r="AL44" s="412"/>
      <c r="AM44" s="412"/>
      <c r="AN44" s="412"/>
      <c r="AO44" s="413"/>
      <c r="AP44" s="68"/>
      <c r="AQ44" s="68"/>
      <c r="AR44" s="68"/>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c r="BZ44" s="68"/>
      <c r="CA44" s="68"/>
      <c r="CB44" s="68"/>
      <c r="CC44" s="68"/>
      <c r="CD44" s="68"/>
    </row>
    <row r="45" spans="3:82" ht="15" customHeight="1">
      <c r="C45" s="68"/>
      <c r="D45" s="461"/>
      <c r="E45" s="461"/>
      <c r="F45" s="462"/>
      <c r="G45" s="433"/>
      <c r="H45" s="434"/>
      <c r="I45" s="434"/>
      <c r="J45" s="434"/>
      <c r="K45" s="434"/>
      <c r="L45" s="393" t="e">
        <f>IF(AND('Mapa final'!#REF!="Muy Baja",'Mapa final'!#REF!="Leve"),CONCATENATE("R",'Mapa final'!#REF!),"")</f>
        <v>#REF!</v>
      </c>
      <c r="M45" s="394"/>
      <c r="N45" s="394" t="e">
        <f>IF(AND('Mapa final'!#REF!="Muy Baja",'Mapa final'!#REF!="Leve"),CONCATENATE("R",'Mapa final'!#REF!),"")</f>
        <v>#REF!</v>
      </c>
      <c r="O45" s="394"/>
      <c r="P45" s="394" t="e">
        <f>IF(AND('Mapa final'!#REF!="Muy Baja",'Mapa final'!#REF!="Leve"),CONCATENATE("R",'Mapa final'!#REF!),"")</f>
        <v>#REF!</v>
      </c>
      <c r="Q45" s="395"/>
      <c r="R45" s="393" t="e">
        <f>IF(AND('Mapa final'!#REF!="Muy Baja",'Mapa final'!#REF!="Menor"),CONCATENATE("R",'Mapa final'!#REF!),"")</f>
        <v>#REF!</v>
      </c>
      <c r="S45" s="394"/>
      <c r="T45" s="394" t="e">
        <f>IF(AND('Mapa final'!#REF!="Muy Baja",'Mapa final'!#REF!="Menor"),CONCATENATE("R",'Mapa final'!#REF!),"")</f>
        <v>#REF!</v>
      </c>
      <c r="U45" s="394"/>
      <c r="V45" s="394" t="e">
        <f>IF(AND('Mapa final'!#REF!="Muy Baja",'Mapa final'!#REF!="Menor"),CONCATENATE("R",'Mapa final'!#REF!),"")</f>
        <v>#REF!</v>
      </c>
      <c r="W45" s="395"/>
      <c r="X45" s="402" t="e">
        <f>IF(AND('Mapa final'!#REF!="Muy Baja",'Mapa final'!#REF!="Moderado"),CONCATENATE("R",'Mapa final'!#REF!),"")</f>
        <v>#REF!</v>
      </c>
      <c r="Y45" s="403"/>
      <c r="Z45" s="403" t="e">
        <f>IF(AND('Mapa final'!#REF!="Muy Baja",'Mapa final'!#REF!="Moderado"),CONCATENATE("R",'Mapa final'!#REF!),"")</f>
        <v>#REF!</v>
      </c>
      <c r="AA45" s="403"/>
      <c r="AB45" s="403" t="e">
        <f>IF(AND('Mapa final'!#REF!="Muy Baja",'Mapa final'!#REF!="Moderado"),CONCATENATE("R",'Mapa final'!#REF!),"")</f>
        <v>#REF!</v>
      </c>
      <c r="AC45" s="404"/>
      <c r="AD45" s="420" t="e">
        <f>IF(AND('Mapa final'!#REF!="Muy Baja",'Mapa final'!#REF!="Mayor"),CONCATENATE("R",'Mapa final'!#REF!),"")</f>
        <v>#REF!</v>
      </c>
      <c r="AE45" s="421"/>
      <c r="AF45" s="421" t="e">
        <f>IF(AND('Mapa final'!#REF!="Muy Baja",'Mapa final'!#REF!="Mayor"),CONCATENATE("R",'Mapa final'!#REF!),"")</f>
        <v>#REF!</v>
      </c>
      <c r="AG45" s="421"/>
      <c r="AH45" s="421" t="e">
        <f>IF(AND('Mapa final'!#REF!="Muy Baja",'Mapa final'!#REF!="Mayor"),CONCATENATE("R",'Mapa final'!#REF!),"")</f>
        <v>#REF!</v>
      </c>
      <c r="AI45" s="422"/>
      <c r="AJ45" s="411" t="e">
        <f>IF(AND('Mapa final'!#REF!="Muy Baja",'Mapa final'!#REF!="Catastrófico"),CONCATENATE("R",'Mapa final'!#REF!),"")</f>
        <v>#REF!</v>
      </c>
      <c r="AK45" s="412"/>
      <c r="AL45" s="412" t="e">
        <f>IF(AND('Mapa final'!#REF!="Muy Baja",'Mapa final'!#REF!="Catastrófico"),CONCATENATE("R",'Mapa final'!#REF!),"")</f>
        <v>#REF!</v>
      </c>
      <c r="AM45" s="412"/>
      <c r="AN45" s="412" t="e">
        <f>IF(AND('Mapa final'!#REF!="Muy Baja",'Mapa final'!#REF!="Catastrófico"),CONCATENATE("R",'Mapa final'!#REF!),"")</f>
        <v>#REF!</v>
      </c>
      <c r="AO45" s="413"/>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c r="CA45" s="68"/>
      <c r="CB45" s="68"/>
      <c r="CC45" s="68"/>
      <c r="CD45" s="68"/>
    </row>
    <row r="46" spans="3:82" ht="15" customHeight="1">
      <c r="C46" s="68"/>
      <c r="D46" s="461"/>
      <c r="E46" s="461"/>
      <c r="F46" s="462"/>
      <c r="G46" s="433"/>
      <c r="H46" s="434"/>
      <c r="I46" s="434"/>
      <c r="J46" s="434"/>
      <c r="K46" s="434"/>
      <c r="L46" s="393"/>
      <c r="M46" s="394"/>
      <c r="N46" s="394"/>
      <c r="O46" s="394"/>
      <c r="P46" s="394"/>
      <c r="Q46" s="395"/>
      <c r="R46" s="393"/>
      <c r="S46" s="394"/>
      <c r="T46" s="394"/>
      <c r="U46" s="394"/>
      <c r="V46" s="394"/>
      <c r="W46" s="395"/>
      <c r="X46" s="402"/>
      <c r="Y46" s="403"/>
      <c r="Z46" s="403"/>
      <c r="AA46" s="403"/>
      <c r="AB46" s="403"/>
      <c r="AC46" s="404"/>
      <c r="AD46" s="420"/>
      <c r="AE46" s="421"/>
      <c r="AF46" s="421"/>
      <c r="AG46" s="421"/>
      <c r="AH46" s="421"/>
      <c r="AI46" s="422"/>
      <c r="AJ46" s="411"/>
      <c r="AK46" s="412"/>
      <c r="AL46" s="412"/>
      <c r="AM46" s="412"/>
      <c r="AN46" s="412"/>
      <c r="AO46" s="413"/>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c r="CA46" s="68"/>
      <c r="CB46" s="68"/>
      <c r="CC46" s="68"/>
      <c r="CD46" s="68"/>
    </row>
    <row r="47" spans="3:82" ht="15" customHeight="1">
      <c r="C47" s="68"/>
      <c r="D47" s="461"/>
      <c r="E47" s="461"/>
      <c r="F47" s="462"/>
      <c r="G47" s="433"/>
      <c r="H47" s="434"/>
      <c r="I47" s="434"/>
      <c r="J47" s="434"/>
      <c r="K47" s="434"/>
      <c r="L47" s="393" t="e">
        <f>IF(AND('Mapa final'!#REF!="Muy Baja",'Mapa final'!#REF!="Leve"),CONCATENATE("R",'Mapa final'!#REF!),"")</f>
        <v>#REF!</v>
      </c>
      <c r="M47" s="394"/>
      <c r="N47" s="394" t="e">
        <f>IF(AND('Mapa final'!#REF!="Muy Baja",'Mapa final'!#REF!="Leve"),CONCATENATE("R",'Mapa final'!#REF!),"")</f>
        <v>#REF!</v>
      </c>
      <c r="O47" s="394"/>
      <c r="P47" s="394" t="str">
        <f>IF(AND('Mapa final'!$K$22="Muy Baja",'Mapa final'!$O$22="Leve"),CONCATENATE("R",'Mapa final'!$A$22),"")</f>
        <v/>
      </c>
      <c r="Q47" s="395"/>
      <c r="R47" s="393" t="e">
        <f>IF(AND('Mapa final'!#REF!="Muy Baja",'Mapa final'!#REF!="Menor"),CONCATENATE("R",'Mapa final'!#REF!),"")</f>
        <v>#REF!</v>
      </c>
      <c r="S47" s="394"/>
      <c r="T47" s="394" t="e">
        <f>IF(AND('Mapa final'!#REF!="Muy Baja",'Mapa final'!#REF!="Menor"),CONCATENATE("R",'Mapa final'!#REF!),"")</f>
        <v>#REF!</v>
      </c>
      <c r="U47" s="394"/>
      <c r="V47" s="394" t="str">
        <f>IF(AND('Mapa final'!$P$22="Muy Baja",'Mapa final'!$S$22="Menor"),CONCATENATE("R",'Mapa final'!$A$22),"")</f>
        <v/>
      </c>
      <c r="W47" s="395"/>
      <c r="X47" s="402" t="e">
        <f>IF(AND('Mapa final'!#REF!="Muy Baja",'Mapa final'!#REF!="Moderado"),CONCATENATE("R",'Mapa final'!#REF!),"")</f>
        <v>#REF!</v>
      </c>
      <c r="Y47" s="403"/>
      <c r="Z47" s="403" t="e">
        <f>IF(AND('Mapa final'!#REF!="Muy Baja",'Mapa final'!#REF!="Moderado"),CONCATENATE("R",'Mapa final'!#REF!),"")</f>
        <v>#REF!</v>
      </c>
      <c r="AA47" s="403"/>
      <c r="AB47" s="403" t="str">
        <f>IF(AND('Mapa final'!$P$22="Muy Baja",'Mapa final'!$S$22="Moderado"),CONCATENATE("R",'Mapa final'!$A$22),"")</f>
        <v/>
      </c>
      <c r="AC47" s="404"/>
      <c r="AD47" s="420" t="e">
        <f>IF(AND('Mapa final'!#REF!="Muy Baja",'Mapa final'!#REF!="Mayor"),CONCATENATE("R",'Mapa final'!#REF!),"")</f>
        <v>#REF!</v>
      </c>
      <c r="AE47" s="421"/>
      <c r="AF47" s="421" t="e">
        <f>IF(AND('Mapa final'!#REF!="Muy Baja",'Mapa final'!#REF!="Mayor"),CONCATENATE("R",'Mapa final'!#REF!),"")</f>
        <v>#REF!</v>
      </c>
      <c r="AG47" s="421"/>
      <c r="AH47" s="421" t="str">
        <f>IF(AND('Mapa final'!$P$22="Muy Baja",'Mapa final'!$S$22="Mayor"),CONCATENATE("R",'Mapa final'!$A$22),"")</f>
        <v/>
      </c>
      <c r="AI47" s="422"/>
      <c r="AJ47" s="411" t="e">
        <f>IF(AND('Mapa final'!#REF!="Muy Baja",'Mapa final'!#REF!="Catastrófico"),CONCATENATE("R",'Mapa final'!#REF!),"")</f>
        <v>#REF!</v>
      </c>
      <c r="AK47" s="412"/>
      <c r="AL47" s="412" t="e">
        <f>IF(AND('Mapa final'!#REF!="Muy Baja",'Mapa final'!#REF!="Catastrófico"),CONCATENATE("R",'Mapa final'!#REF!),"")</f>
        <v>#REF!</v>
      </c>
      <c r="AM47" s="412"/>
      <c r="AN47" s="412" t="str">
        <f>IF(AND('Mapa final'!$P$22="Muy Baja",'Mapa final'!$S$22="Catastrófico"),CONCATENATE("R",'Mapa final'!$A$22),"")</f>
        <v/>
      </c>
      <c r="AO47" s="413"/>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c r="CA47" s="68"/>
      <c r="CB47" s="68"/>
      <c r="CC47" s="68"/>
      <c r="CD47" s="68"/>
    </row>
    <row r="48" spans="3:82" ht="15" customHeight="1">
      <c r="C48" s="68"/>
      <c r="D48" s="461"/>
      <c r="E48" s="461"/>
      <c r="F48" s="462"/>
      <c r="G48" s="433"/>
      <c r="H48" s="434"/>
      <c r="I48" s="434"/>
      <c r="J48" s="434"/>
      <c r="K48" s="434"/>
      <c r="L48" s="393"/>
      <c r="M48" s="394"/>
      <c r="N48" s="394"/>
      <c r="O48" s="394"/>
      <c r="P48" s="394"/>
      <c r="Q48" s="395"/>
      <c r="R48" s="393"/>
      <c r="S48" s="394"/>
      <c r="T48" s="394"/>
      <c r="U48" s="394"/>
      <c r="V48" s="394"/>
      <c r="W48" s="395"/>
      <c r="X48" s="402"/>
      <c r="Y48" s="403"/>
      <c r="Z48" s="403"/>
      <c r="AA48" s="403"/>
      <c r="AB48" s="403"/>
      <c r="AC48" s="404"/>
      <c r="AD48" s="420"/>
      <c r="AE48" s="421"/>
      <c r="AF48" s="421"/>
      <c r="AG48" s="421"/>
      <c r="AH48" s="421"/>
      <c r="AI48" s="422"/>
      <c r="AJ48" s="411"/>
      <c r="AK48" s="412"/>
      <c r="AL48" s="412"/>
      <c r="AM48" s="412"/>
      <c r="AN48" s="412"/>
      <c r="AO48" s="413"/>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68"/>
    </row>
    <row r="49" spans="3:82" ht="15" customHeight="1">
      <c r="C49" s="68"/>
      <c r="D49" s="461"/>
      <c r="E49" s="461"/>
      <c r="F49" s="462"/>
      <c r="G49" s="433"/>
      <c r="H49" s="434"/>
      <c r="I49" s="434"/>
      <c r="J49" s="434"/>
      <c r="K49" s="434"/>
      <c r="L49" s="393" t="str">
        <f>IF(AND('Mapa final'!$P$23="Muy Baja",'Mapa final'!$S$23="Leve"),CONCATENATE("R",'Mapa final'!$A$23),"")</f>
        <v/>
      </c>
      <c r="M49" s="394"/>
      <c r="N49" s="394" t="str">
        <f>IF(AND('Mapa final'!$K$24="Muy Baja",'Mapa final'!$O$24="Leve"),CONCATENATE("R",'Mapa final'!$A$24),"")</f>
        <v/>
      </c>
      <c r="O49" s="394"/>
      <c r="P49" s="394" t="str">
        <f>IF(AND('Mapa final'!$K$25="Muy Baja",'Mapa final'!$O$25="Leve"),CONCATENATE("R",'Mapa final'!$A$25),"")</f>
        <v/>
      </c>
      <c r="Q49" s="395"/>
      <c r="R49" s="394" t="str">
        <f>IF(AND('Mapa final'!$P$23="Muy Baja",'Mapa final'!$S$23="Menor"),CONCATENATE("R",'Mapa final'!$A$23),"")</f>
        <v/>
      </c>
      <c r="S49" s="394"/>
      <c r="T49" s="394" t="str">
        <f>IF(AND('Mapa final'!$P$24="Muy Baja",'Mapa final'!$S$24="Menor"),CONCATENATE("R",'Mapa final'!$A$24),"")</f>
        <v/>
      </c>
      <c r="U49" s="394"/>
      <c r="V49" s="394" t="str">
        <f>IF(AND('Mapa final'!$P$25="Muy Baja",'Mapa final'!$S$25="Menor"),CONCATENATE("R",'Mapa final'!$A$25),"")</f>
        <v/>
      </c>
      <c r="W49" s="395"/>
      <c r="X49" s="402" t="str">
        <f>IF(AND('Mapa final'!$P$23="Muy Baja",'Mapa final'!$S$23="Moderado"),CONCATENATE("R",'Mapa final'!$A$23),"")</f>
        <v/>
      </c>
      <c r="Y49" s="403"/>
      <c r="Z49" s="403" t="str">
        <f>IF(AND('Mapa final'!$P$24="Muy Baja",'Mapa final'!$S$24="Moderado"),CONCATENATE("R",'Mapa final'!$A$24),"")</f>
        <v/>
      </c>
      <c r="AA49" s="403"/>
      <c r="AB49" s="403" t="str">
        <f>IF(AND('Mapa final'!$P$25="Muy Baja",'Mapa final'!$S$25="Moderado"),CONCATENATE("R",'Mapa final'!$A$25),"")</f>
        <v/>
      </c>
      <c r="AC49" s="404"/>
      <c r="AD49" s="420" t="str">
        <f>IF(AND('Mapa final'!$P$23="Muy Baja",'Mapa final'!$S$23="Mayor"),CONCATENATE("R",'Mapa final'!$A$23),"")</f>
        <v/>
      </c>
      <c r="AE49" s="421"/>
      <c r="AF49" s="421" t="str">
        <f>IF(AND('Mapa final'!$P$24="Muy Baja",'Mapa final'!$S$24="Mayor"),CONCATENATE("R",'Mapa final'!$A$24),"")</f>
        <v/>
      </c>
      <c r="AG49" s="421"/>
      <c r="AH49" s="421" t="str">
        <f>IF(AND('Mapa final'!$P$25="Muy Baja",'Mapa final'!$S$25="Mayor"),CONCATENATE("R",'Mapa final'!$A$25),"")</f>
        <v/>
      </c>
      <c r="AI49" s="422"/>
      <c r="AJ49" s="411" t="str">
        <f>IF(AND('Mapa final'!$P$23="Muy Baja",'Mapa final'!$S$23="Catastrófico"),CONCATENATE("R",'Mapa final'!$A$23),"")</f>
        <v/>
      </c>
      <c r="AK49" s="412"/>
      <c r="AL49" s="412" t="str">
        <f>IF(AND('Mapa final'!$P$24="Muy Baja",'Mapa final'!$S$24="Catastrófico"),CONCATENATE("R",'Mapa final'!$A$24),"")</f>
        <v/>
      </c>
      <c r="AM49" s="412"/>
      <c r="AN49" s="412" t="str">
        <f>IF(AND('Mapa final'!$P$25="Muy Baja",'Mapa final'!$S$25="Catastrófico"),CONCATENATE("R",'Mapa final'!$A$25),"")</f>
        <v/>
      </c>
      <c r="AO49" s="413"/>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c r="CA49" s="68"/>
      <c r="CB49" s="68"/>
      <c r="CC49" s="68"/>
      <c r="CD49" s="68"/>
    </row>
    <row r="50" spans="3:82" ht="15.75" customHeight="1" thickBot="1">
      <c r="C50" s="68"/>
      <c r="D50" s="461"/>
      <c r="E50" s="461"/>
      <c r="F50" s="462"/>
      <c r="G50" s="436"/>
      <c r="H50" s="437"/>
      <c r="I50" s="437"/>
      <c r="J50" s="437"/>
      <c r="K50" s="437"/>
      <c r="L50" s="401"/>
      <c r="M50" s="396"/>
      <c r="N50" s="396"/>
      <c r="O50" s="396"/>
      <c r="P50" s="396"/>
      <c r="Q50" s="397"/>
      <c r="R50" s="396"/>
      <c r="S50" s="396"/>
      <c r="T50" s="396"/>
      <c r="U50" s="396"/>
      <c r="V50" s="396"/>
      <c r="W50" s="397"/>
      <c r="X50" s="405"/>
      <c r="Y50" s="406"/>
      <c r="Z50" s="406"/>
      <c r="AA50" s="406"/>
      <c r="AB50" s="406"/>
      <c r="AC50" s="407"/>
      <c r="AD50" s="423"/>
      <c r="AE50" s="424"/>
      <c r="AF50" s="424"/>
      <c r="AG50" s="424"/>
      <c r="AH50" s="424"/>
      <c r="AI50" s="425"/>
      <c r="AJ50" s="414"/>
      <c r="AK50" s="415"/>
      <c r="AL50" s="415"/>
      <c r="AM50" s="415"/>
      <c r="AN50" s="415"/>
      <c r="AO50" s="416"/>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row>
    <row r="51" spans="3:82">
      <c r="C51" s="68"/>
      <c r="D51" s="68"/>
      <c r="E51" s="68"/>
      <c r="F51" s="68"/>
      <c r="G51" s="68"/>
      <c r="H51" s="68"/>
      <c r="I51" s="68"/>
      <c r="J51" s="68"/>
      <c r="K51" s="68"/>
      <c r="L51" s="439" t="s">
        <v>261</v>
      </c>
      <c r="M51" s="434"/>
      <c r="N51" s="434"/>
      <c r="O51" s="434"/>
      <c r="P51" s="434"/>
      <c r="Q51" s="435"/>
      <c r="R51" s="429" t="s">
        <v>262</v>
      </c>
      <c r="S51" s="431"/>
      <c r="T51" s="431"/>
      <c r="U51" s="431"/>
      <c r="V51" s="431"/>
      <c r="W51" s="432"/>
      <c r="X51" s="429" t="s">
        <v>263</v>
      </c>
      <c r="Y51" s="431"/>
      <c r="Z51" s="431"/>
      <c r="AA51" s="431"/>
      <c r="AB51" s="431"/>
      <c r="AC51" s="432"/>
      <c r="AD51" s="429" t="s">
        <v>264</v>
      </c>
      <c r="AE51" s="430"/>
      <c r="AF51" s="431"/>
      <c r="AG51" s="431"/>
      <c r="AH51" s="431"/>
      <c r="AI51" s="432"/>
      <c r="AJ51" s="429" t="s">
        <v>265</v>
      </c>
      <c r="AK51" s="431"/>
      <c r="AL51" s="431"/>
      <c r="AM51" s="431"/>
      <c r="AN51" s="431"/>
      <c r="AO51" s="432"/>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68"/>
    </row>
    <row r="52" spans="3:82">
      <c r="C52" s="68"/>
      <c r="D52" s="68"/>
      <c r="E52" s="68"/>
      <c r="F52" s="68"/>
      <c r="G52" s="68"/>
      <c r="H52" s="68"/>
      <c r="I52" s="68"/>
      <c r="J52" s="68"/>
      <c r="K52" s="68"/>
      <c r="L52" s="433"/>
      <c r="M52" s="434"/>
      <c r="N52" s="434"/>
      <c r="O52" s="434"/>
      <c r="P52" s="434"/>
      <c r="Q52" s="435"/>
      <c r="R52" s="433"/>
      <c r="S52" s="434"/>
      <c r="T52" s="434"/>
      <c r="U52" s="434"/>
      <c r="V52" s="434"/>
      <c r="W52" s="435"/>
      <c r="X52" s="433"/>
      <c r="Y52" s="434"/>
      <c r="Z52" s="434"/>
      <c r="AA52" s="434"/>
      <c r="AB52" s="434"/>
      <c r="AC52" s="435"/>
      <c r="AD52" s="433"/>
      <c r="AE52" s="434"/>
      <c r="AF52" s="434"/>
      <c r="AG52" s="434"/>
      <c r="AH52" s="434"/>
      <c r="AI52" s="435"/>
      <c r="AJ52" s="433"/>
      <c r="AK52" s="434"/>
      <c r="AL52" s="434"/>
      <c r="AM52" s="434"/>
      <c r="AN52" s="434"/>
      <c r="AO52" s="435"/>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c r="CA52" s="68"/>
      <c r="CB52" s="68"/>
      <c r="CC52" s="68"/>
      <c r="CD52" s="68"/>
    </row>
    <row r="53" spans="3:82">
      <c r="C53" s="68"/>
      <c r="D53" s="68"/>
      <c r="E53" s="68"/>
      <c r="F53" s="68"/>
      <c r="G53" s="68"/>
      <c r="H53" s="68"/>
      <c r="I53" s="68"/>
      <c r="J53" s="68"/>
      <c r="K53" s="68"/>
      <c r="L53" s="433"/>
      <c r="M53" s="434"/>
      <c r="N53" s="434"/>
      <c r="O53" s="434"/>
      <c r="P53" s="434"/>
      <c r="Q53" s="435"/>
      <c r="R53" s="433"/>
      <c r="S53" s="434"/>
      <c r="T53" s="434"/>
      <c r="U53" s="434"/>
      <c r="V53" s="434"/>
      <c r="W53" s="435"/>
      <c r="X53" s="433"/>
      <c r="Y53" s="434"/>
      <c r="Z53" s="434"/>
      <c r="AA53" s="434"/>
      <c r="AB53" s="434"/>
      <c r="AC53" s="435"/>
      <c r="AD53" s="433"/>
      <c r="AE53" s="434"/>
      <c r="AF53" s="434"/>
      <c r="AG53" s="434"/>
      <c r="AH53" s="434"/>
      <c r="AI53" s="435"/>
      <c r="AJ53" s="433"/>
      <c r="AK53" s="434"/>
      <c r="AL53" s="434"/>
      <c r="AM53" s="434"/>
      <c r="AN53" s="434"/>
      <c r="AO53" s="435"/>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row>
    <row r="54" spans="3:82">
      <c r="C54" s="68"/>
      <c r="D54" s="68"/>
      <c r="E54" s="68"/>
      <c r="F54" s="68"/>
      <c r="G54" s="68"/>
      <c r="H54" s="68"/>
      <c r="I54" s="68"/>
      <c r="J54" s="68"/>
      <c r="K54" s="68"/>
      <c r="L54" s="433"/>
      <c r="M54" s="434"/>
      <c r="N54" s="434"/>
      <c r="O54" s="434"/>
      <c r="P54" s="434"/>
      <c r="Q54" s="435"/>
      <c r="R54" s="433"/>
      <c r="S54" s="434"/>
      <c r="T54" s="434"/>
      <c r="U54" s="434"/>
      <c r="V54" s="434"/>
      <c r="W54" s="435"/>
      <c r="X54" s="433"/>
      <c r="Y54" s="434"/>
      <c r="Z54" s="434"/>
      <c r="AA54" s="434"/>
      <c r="AB54" s="434"/>
      <c r="AC54" s="435"/>
      <c r="AD54" s="433"/>
      <c r="AE54" s="434"/>
      <c r="AF54" s="434"/>
      <c r="AG54" s="434"/>
      <c r="AH54" s="434"/>
      <c r="AI54" s="435"/>
      <c r="AJ54" s="433"/>
      <c r="AK54" s="434"/>
      <c r="AL54" s="434"/>
      <c r="AM54" s="434"/>
      <c r="AN54" s="434"/>
      <c r="AO54" s="435"/>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row>
    <row r="55" spans="3:82">
      <c r="C55" s="68"/>
      <c r="D55" s="68"/>
      <c r="E55" s="68"/>
      <c r="F55" s="68"/>
      <c r="G55" s="68"/>
      <c r="H55" s="68"/>
      <c r="I55" s="68"/>
      <c r="J55" s="68"/>
      <c r="K55" s="68"/>
      <c r="L55" s="433"/>
      <c r="M55" s="434"/>
      <c r="N55" s="434"/>
      <c r="O55" s="434"/>
      <c r="P55" s="434"/>
      <c r="Q55" s="435"/>
      <c r="R55" s="433"/>
      <c r="S55" s="434"/>
      <c r="T55" s="434"/>
      <c r="U55" s="434"/>
      <c r="V55" s="434"/>
      <c r="W55" s="435"/>
      <c r="X55" s="433"/>
      <c r="Y55" s="434"/>
      <c r="Z55" s="434"/>
      <c r="AA55" s="434"/>
      <c r="AB55" s="434"/>
      <c r="AC55" s="435"/>
      <c r="AD55" s="433"/>
      <c r="AE55" s="434"/>
      <c r="AF55" s="434"/>
      <c r="AG55" s="434"/>
      <c r="AH55" s="434"/>
      <c r="AI55" s="435"/>
      <c r="AJ55" s="433"/>
      <c r="AK55" s="434"/>
      <c r="AL55" s="434"/>
      <c r="AM55" s="434"/>
      <c r="AN55" s="434"/>
      <c r="AO55" s="435"/>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c r="CA55" s="68"/>
      <c r="CB55" s="68"/>
      <c r="CC55" s="68"/>
      <c r="CD55" s="68"/>
    </row>
    <row r="56" spans="3:82" ht="15.75" thickBot="1">
      <c r="C56" s="68"/>
      <c r="D56" s="68"/>
      <c r="E56" s="68"/>
      <c r="F56" s="68"/>
      <c r="G56" s="68"/>
      <c r="H56" s="68"/>
      <c r="I56" s="68"/>
      <c r="J56" s="68"/>
      <c r="K56" s="68"/>
      <c r="L56" s="436"/>
      <c r="M56" s="437"/>
      <c r="N56" s="437"/>
      <c r="O56" s="437"/>
      <c r="P56" s="437"/>
      <c r="Q56" s="438"/>
      <c r="R56" s="436"/>
      <c r="S56" s="437"/>
      <c r="T56" s="437"/>
      <c r="U56" s="437"/>
      <c r="V56" s="437"/>
      <c r="W56" s="438"/>
      <c r="X56" s="436"/>
      <c r="Y56" s="437"/>
      <c r="Z56" s="437"/>
      <c r="AA56" s="437"/>
      <c r="AB56" s="437"/>
      <c r="AC56" s="438"/>
      <c r="AD56" s="436"/>
      <c r="AE56" s="437"/>
      <c r="AF56" s="437"/>
      <c r="AG56" s="437"/>
      <c r="AH56" s="437"/>
      <c r="AI56" s="438"/>
      <c r="AJ56" s="436"/>
      <c r="AK56" s="437"/>
      <c r="AL56" s="437"/>
      <c r="AM56" s="437"/>
      <c r="AN56" s="437"/>
      <c r="AO56" s="43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c r="CA56" s="68"/>
      <c r="CB56" s="68"/>
      <c r="CC56" s="68"/>
      <c r="CD56" s="68"/>
    </row>
    <row r="57" spans="3:82">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c r="CA57" s="68"/>
      <c r="CB57" s="68"/>
      <c r="CC57" s="68"/>
      <c r="CD57" s="68"/>
    </row>
    <row r="58" spans="3:82" ht="15" customHeight="1">
      <c r="C58" s="68"/>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c r="CA58" s="68"/>
      <c r="CB58" s="68"/>
      <c r="CC58" s="68"/>
      <c r="CD58" s="68"/>
    </row>
    <row r="59" spans="3:82" ht="15" customHeight="1">
      <c r="C59" s="68"/>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2"/>
      <c r="AQ59" s="72"/>
      <c r="AR59" s="72"/>
      <c r="AS59" s="72"/>
      <c r="AT59" s="72"/>
      <c r="AU59" s="72"/>
      <c r="AV59" s="72"/>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c r="CA59" s="68"/>
      <c r="CB59" s="68"/>
      <c r="CC59" s="68"/>
      <c r="CD59" s="68"/>
    </row>
    <row r="60" spans="3:82">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c r="CD60" s="68"/>
    </row>
    <row r="61" spans="3:82">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68"/>
      <c r="CD61" s="68"/>
    </row>
    <row r="62" spans="3:82">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8"/>
      <c r="CC62" s="68"/>
      <c r="CD62" s="68"/>
    </row>
    <row r="63" spans="3:82">
      <c r="C63" s="68"/>
      <c r="D63" s="68"/>
      <c r="E63" s="68"/>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8"/>
      <c r="CC63" s="68"/>
      <c r="CD63" s="68"/>
    </row>
    <row r="64" spans="3:82">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row>
    <row r="65" spans="3:82">
      <c r="C65" s="68"/>
      <c r="D65" s="68"/>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c r="CD65" s="68"/>
    </row>
    <row r="66" spans="3:82">
      <c r="C66" s="68"/>
      <c r="D66" s="68"/>
      <c r="E66" s="68"/>
      <c r="F66" s="68"/>
      <c r="G66" s="68"/>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c r="CD66" s="68"/>
    </row>
    <row r="67" spans="3:82">
      <c r="C67" s="68"/>
      <c r="D67" s="68"/>
      <c r="E67" s="68"/>
      <c r="F67" s="68"/>
      <c r="G67" s="68"/>
      <c r="H67" s="68" t="s">
        <v>266</v>
      </c>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c r="CD67" s="68"/>
    </row>
    <row r="68" spans="3:82">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c r="BZ68" s="68"/>
      <c r="CA68" s="68"/>
      <c r="CB68" s="68"/>
      <c r="CC68" s="68"/>
      <c r="CD68" s="68"/>
    </row>
    <row r="69" spans="3:82">
      <c r="C69" s="68"/>
      <c r="D69" s="68"/>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row>
    <row r="70" spans="3:82">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row>
    <row r="71" spans="3:82">
      <c r="C71" s="68"/>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c r="CA71" s="68"/>
      <c r="CB71" s="68"/>
      <c r="CC71" s="68"/>
      <c r="CD71" s="68"/>
    </row>
    <row r="72" spans="3:82">
      <c r="C72" s="68"/>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row>
    <row r="73" spans="3:82">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c r="CA73" s="68"/>
      <c r="CB73" s="68"/>
      <c r="CC73" s="68"/>
      <c r="CD73" s="68"/>
    </row>
    <row r="74" spans="3:82">
      <c r="C74" s="68"/>
      <c r="D74" s="68"/>
      <c r="E74" s="68"/>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c r="CA74" s="68"/>
      <c r="CB74" s="68"/>
      <c r="CC74" s="68"/>
      <c r="CD74" s="68"/>
    </row>
    <row r="75" spans="3:82">
      <c r="C75" s="68"/>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8"/>
      <c r="CC75" s="68"/>
      <c r="CD75" s="68"/>
    </row>
    <row r="76" spans="3:82">
      <c r="C76" s="68"/>
      <c r="D76" s="68"/>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c r="CA76" s="68"/>
      <c r="CB76" s="68"/>
      <c r="CC76" s="68"/>
      <c r="CD76" s="68"/>
    </row>
    <row r="77" spans="3:82">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c r="BU77" s="68"/>
      <c r="BV77" s="68"/>
      <c r="BW77" s="68"/>
      <c r="BX77" s="68"/>
      <c r="BY77" s="68"/>
      <c r="BZ77" s="68"/>
      <c r="CA77" s="68"/>
      <c r="CB77" s="68"/>
      <c r="CC77" s="68"/>
      <c r="CD77" s="68"/>
    </row>
    <row r="78" spans="3:82">
      <c r="C78" s="68"/>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c r="CA78" s="68"/>
      <c r="CB78" s="68"/>
      <c r="CC78" s="68"/>
      <c r="CD78" s="68"/>
    </row>
    <row r="79" spans="3:82">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68"/>
      <c r="CC79" s="68"/>
      <c r="CD79" s="68"/>
    </row>
    <row r="80" spans="3:82">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8"/>
      <c r="CC80" s="68"/>
      <c r="CD80" s="68"/>
    </row>
    <row r="81" spans="3:82">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c r="CA81" s="68"/>
      <c r="CB81" s="68"/>
      <c r="CC81" s="68"/>
      <c r="CD81" s="68"/>
    </row>
    <row r="82" spans="3:82">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row>
    <row r="83" spans="3:82">
      <c r="C83" s="68"/>
      <c r="D83" s="68"/>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c r="CA83" s="68"/>
      <c r="CB83" s="68"/>
      <c r="CC83" s="68"/>
      <c r="CD83" s="68"/>
    </row>
    <row r="84" spans="3:82">
      <c r="C84" s="68"/>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row>
    <row r="85" spans="3:82">
      <c r="C85" s="68"/>
      <c r="D85" s="68"/>
      <c r="E85" s="68"/>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row>
    <row r="86" spans="3:82">
      <c r="C86" s="68"/>
      <c r="D86" s="68"/>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row>
    <row r="87" spans="3:82">
      <c r="C87" s="68"/>
      <c r="D87" s="68"/>
      <c r="E87" s="68"/>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row>
    <row r="88" spans="3:82">
      <c r="C88" s="68"/>
      <c r="D88" s="68"/>
      <c r="E88" s="68"/>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row>
    <row r="89" spans="3:82">
      <c r="C89" s="68"/>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row>
    <row r="90" spans="3:82">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row>
    <row r="91" spans="3:82">
      <c r="C91" s="68"/>
      <c r="D91" s="68"/>
      <c r="E91" s="68"/>
      <c r="F91" s="68"/>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row>
    <row r="92" spans="3:82">
      <c r="C92" s="68"/>
      <c r="D92" s="68"/>
      <c r="E92" s="68"/>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row>
    <row r="93" spans="3:82">
      <c r="C93" s="68"/>
      <c r="D93" s="68"/>
      <c r="E93" s="68"/>
      <c r="F93" s="68"/>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row>
    <row r="94" spans="3:82">
      <c r="C94" s="68"/>
      <c r="D94" s="68"/>
      <c r="E94" s="68"/>
      <c r="F94" s="6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row>
    <row r="95" spans="3:82">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row>
    <row r="96" spans="3:82">
      <c r="C96" s="68"/>
      <c r="D96" s="68"/>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row>
    <row r="97" spans="3:65">
      <c r="C97" s="68"/>
      <c r="D97" s="68"/>
      <c r="E97" s="68"/>
      <c r="F97" s="68"/>
      <c r="G97" s="68"/>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row>
    <row r="98" spans="3:65">
      <c r="C98" s="68"/>
      <c r="D98" s="68"/>
      <c r="E98" s="68"/>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row>
    <row r="99" spans="3:65">
      <c r="C99" s="68"/>
      <c r="D99" s="68"/>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row>
    <row r="100" spans="3:65">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row>
    <row r="101" spans="3:65">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row>
    <row r="102" spans="3:65">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row>
    <row r="103" spans="3:65">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row>
    <row r="104" spans="3:65">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row>
    <row r="105" spans="3:65">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row>
    <row r="106" spans="3:65">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row>
    <row r="107" spans="3:65">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row>
    <row r="108" spans="3:65">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row>
    <row r="109" spans="3:65">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row>
    <row r="110" spans="3:65">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row>
    <row r="111" spans="3:65">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row>
    <row r="112" spans="3:65">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row>
    <row r="113" spans="3:65">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row>
    <row r="114" spans="3:65">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row>
    <row r="115" spans="3:65">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row>
    <row r="116" spans="3:65">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row>
    <row r="117" spans="3:65">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row>
    <row r="118" spans="3:65">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row>
    <row r="119" spans="3:65">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row>
    <row r="120" spans="3:65">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row>
    <row r="121" spans="3:65">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row>
    <row r="122" spans="3:65">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row>
    <row r="123" spans="3:65">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row>
    <row r="124" spans="3:65">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row>
    <row r="125" spans="3:65">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row>
    <row r="126" spans="3:65">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row>
    <row r="127" spans="3:65">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row>
    <row r="128" spans="3:65">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row>
    <row r="129" spans="4:65">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row>
    <row r="130" spans="4:65">
      <c r="D130" s="68"/>
      <c r="E130" s="68"/>
      <c r="F130" s="68"/>
      <c r="G130" s="68"/>
      <c r="H130" s="68"/>
      <c r="I130" s="68"/>
      <c r="J130" s="68"/>
      <c r="K130" s="68"/>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row>
    <row r="131" spans="4:65">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row>
    <row r="132" spans="4:65">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row>
    <row r="133" spans="4:65">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row>
    <row r="134" spans="4:65">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row>
    <row r="135" spans="4:65">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row>
    <row r="136" spans="4:65">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c r="BJ136" s="68"/>
      <c r="BK136" s="68"/>
      <c r="BL136" s="68"/>
      <c r="BM136" s="68"/>
    </row>
    <row r="137" spans="4:65">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c r="BG137" s="68"/>
      <c r="BH137" s="68"/>
      <c r="BI137" s="68"/>
      <c r="BJ137" s="68"/>
      <c r="BK137" s="68"/>
      <c r="BL137" s="68"/>
      <c r="BM137" s="68"/>
    </row>
    <row r="138" spans="4:65">
      <c r="D138" s="68"/>
      <c r="E138" s="68"/>
      <c r="F138" s="68"/>
      <c r="G138" s="68"/>
      <c r="H138" s="68"/>
      <c r="I138" s="68"/>
      <c r="J138" s="68"/>
      <c r="K138" s="68"/>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c r="BG138" s="68"/>
      <c r="BH138" s="68"/>
      <c r="BI138" s="68"/>
      <c r="BJ138" s="68"/>
      <c r="BK138" s="68"/>
      <c r="BL138" s="68"/>
      <c r="BM138" s="68"/>
    </row>
    <row r="139" spans="4:65">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8"/>
      <c r="BF139" s="68"/>
      <c r="BG139" s="68"/>
      <c r="BH139" s="68"/>
      <c r="BI139" s="68"/>
      <c r="BJ139" s="68"/>
      <c r="BK139" s="68"/>
      <c r="BL139" s="68"/>
      <c r="BM139" s="68"/>
    </row>
    <row r="140" spans="4:65">
      <c r="D140" s="68"/>
      <c r="E140" s="68"/>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c r="BG140" s="68"/>
      <c r="BH140" s="68"/>
      <c r="BI140" s="68"/>
      <c r="BJ140" s="68"/>
      <c r="BK140" s="68"/>
      <c r="BL140" s="68"/>
      <c r="BM140" s="68"/>
    </row>
    <row r="141" spans="4:65">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c r="BG141" s="68"/>
      <c r="BH141" s="68"/>
      <c r="BI141" s="68"/>
      <c r="BJ141" s="68"/>
      <c r="BK141" s="68"/>
      <c r="BL141" s="68"/>
      <c r="BM141" s="68"/>
    </row>
    <row r="142" spans="4:65">
      <c r="D142" s="68"/>
      <c r="E142" s="68"/>
      <c r="F142" s="68"/>
      <c r="G142" s="68"/>
      <c r="H142" s="68"/>
      <c r="I142" s="68"/>
      <c r="J142" s="68"/>
      <c r="K142" s="68"/>
    </row>
    <row r="143" spans="4:65">
      <c r="D143" s="68"/>
      <c r="E143" s="68"/>
      <c r="F143" s="68"/>
      <c r="G143" s="68"/>
      <c r="H143" s="68"/>
      <c r="I143" s="68"/>
      <c r="J143" s="68"/>
      <c r="K143" s="68"/>
    </row>
    <row r="144" spans="4:65">
      <c r="D144" s="68"/>
      <c r="E144" s="68"/>
      <c r="F144" s="68"/>
      <c r="G144" s="68"/>
      <c r="H144" s="68"/>
      <c r="I144" s="68"/>
      <c r="J144" s="68"/>
      <c r="K144" s="68"/>
    </row>
    <row r="145" spans="4:11">
      <c r="D145" s="68"/>
      <c r="E145" s="68"/>
      <c r="F145" s="68"/>
      <c r="G145" s="68"/>
      <c r="H145" s="68"/>
      <c r="I145" s="68"/>
      <c r="J145" s="68"/>
      <c r="K145" s="68"/>
    </row>
  </sheetData>
  <mergeCells count="324">
    <mergeCell ref="AP2:AV2"/>
    <mergeCell ref="AP3:AV3"/>
    <mergeCell ref="AP4:AV4"/>
    <mergeCell ref="AP5:AV5"/>
    <mergeCell ref="L2:AO5"/>
    <mergeCell ref="D2:K5"/>
    <mergeCell ref="D11:F50"/>
    <mergeCell ref="AQ11:AV18"/>
    <mergeCell ref="AQ19:AV26"/>
    <mergeCell ref="AQ27:AV34"/>
    <mergeCell ref="AQ35:AV42"/>
    <mergeCell ref="G27:K34"/>
    <mergeCell ref="G43:K50"/>
    <mergeCell ref="L7:AO9"/>
    <mergeCell ref="G11:K18"/>
    <mergeCell ref="G19:K26"/>
    <mergeCell ref="G35:K42"/>
    <mergeCell ref="AF15:AG16"/>
    <mergeCell ref="AH15:AI16"/>
    <mergeCell ref="AD11:AE12"/>
    <mergeCell ref="AF11:AG12"/>
    <mergeCell ref="AD17:AE18"/>
    <mergeCell ref="AF17:AG18"/>
    <mergeCell ref="AH17:AI18"/>
    <mergeCell ref="L51:Q56"/>
    <mergeCell ref="R51:W56"/>
    <mergeCell ref="X51:AC56"/>
    <mergeCell ref="P15:Q16"/>
    <mergeCell ref="P17:Q18"/>
    <mergeCell ref="T17:U18"/>
    <mergeCell ref="V17:W18"/>
    <mergeCell ref="X11:Y12"/>
    <mergeCell ref="Z11:AA12"/>
    <mergeCell ref="AB11:AC12"/>
    <mergeCell ref="X13:Y14"/>
    <mergeCell ref="Z13:AA14"/>
    <mergeCell ref="AB13:AC14"/>
    <mergeCell ref="X15:Y16"/>
    <mergeCell ref="Z15:AA16"/>
    <mergeCell ref="T11:U12"/>
    <mergeCell ref="V11:W12"/>
    <mergeCell ref="L11:M12"/>
    <mergeCell ref="AB15:AC16"/>
    <mergeCell ref="X17:Y18"/>
    <mergeCell ref="Z17:AA18"/>
    <mergeCell ref="AB17:AC18"/>
    <mergeCell ref="L23:M24"/>
    <mergeCell ref="N23:O24"/>
    <mergeCell ref="AD51:AI56"/>
    <mergeCell ref="AJ51:AO56"/>
    <mergeCell ref="R11:S12"/>
    <mergeCell ref="R17:S18"/>
    <mergeCell ref="N11:O12"/>
    <mergeCell ref="P11:Q12"/>
    <mergeCell ref="P13:Q14"/>
    <mergeCell ref="N13:O14"/>
    <mergeCell ref="L13:M14"/>
    <mergeCell ref="L15:M16"/>
    <mergeCell ref="R13:S14"/>
    <mergeCell ref="T13:U14"/>
    <mergeCell ref="V13:W14"/>
    <mergeCell ref="R15:S16"/>
    <mergeCell ref="T15:U16"/>
    <mergeCell ref="V15:W16"/>
    <mergeCell ref="L17:M18"/>
    <mergeCell ref="N15:O16"/>
    <mergeCell ref="N17:O18"/>
    <mergeCell ref="AH11:AI12"/>
    <mergeCell ref="AD13:AE14"/>
    <mergeCell ref="AF13:AG14"/>
    <mergeCell ref="AH13:AI14"/>
    <mergeCell ref="AD15:AE16"/>
    <mergeCell ref="AD19:AE20"/>
    <mergeCell ref="AF19:AG20"/>
    <mergeCell ref="AH19:AI20"/>
    <mergeCell ref="AD21:AE22"/>
    <mergeCell ref="AF21:AG22"/>
    <mergeCell ref="AH21:AI22"/>
    <mergeCell ref="X25:Y26"/>
    <mergeCell ref="Z25:AA26"/>
    <mergeCell ref="AB25:AC26"/>
    <mergeCell ref="X19:Y20"/>
    <mergeCell ref="Z19:AA20"/>
    <mergeCell ref="AB19:AC20"/>
    <mergeCell ref="X21:Y22"/>
    <mergeCell ref="Z21:AA22"/>
    <mergeCell ref="AB21:AC22"/>
    <mergeCell ref="AD23:AE24"/>
    <mergeCell ref="AF23:AG24"/>
    <mergeCell ref="X23:Y24"/>
    <mergeCell ref="Z23:AA24"/>
    <mergeCell ref="AB23:AC24"/>
    <mergeCell ref="AH23:AI24"/>
    <mergeCell ref="AD25:AE26"/>
    <mergeCell ref="AF25:AG26"/>
    <mergeCell ref="AH25:AI26"/>
    <mergeCell ref="AD31:AE32"/>
    <mergeCell ref="AF31:AG32"/>
    <mergeCell ref="AH31:AI32"/>
    <mergeCell ref="AD33:AE34"/>
    <mergeCell ref="AF33:AG34"/>
    <mergeCell ref="AH33:AI34"/>
    <mergeCell ref="AD27:AE28"/>
    <mergeCell ref="AF27:AG28"/>
    <mergeCell ref="AH27:AI28"/>
    <mergeCell ref="AD29:AE30"/>
    <mergeCell ref="AF29:AG30"/>
    <mergeCell ref="AH29:AI30"/>
    <mergeCell ref="AD39:AE40"/>
    <mergeCell ref="AF39:AG40"/>
    <mergeCell ref="AH39:AI40"/>
    <mergeCell ref="AD41:AE42"/>
    <mergeCell ref="AF41:AG42"/>
    <mergeCell ref="AH41:AI42"/>
    <mergeCell ref="AD35:AE36"/>
    <mergeCell ref="AF35:AG36"/>
    <mergeCell ref="AH35:AI36"/>
    <mergeCell ref="AD37:AE38"/>
    <mergeCell ref="AF37:AG38"/>
    <mergeCell ref="AH37:AI38"/>
    <mergeCell ref="AD47:AE48"/>
    <mergeCell ref="AF47:AG48"/>
    <mergeCell ref="AH47:AI48"/>
    <mergeCell ref="AD49:AE50"/>
    <mergeCell ref="AF49:AG50"/>
    <mergeCell ref="AH49:AI50"/>
    <mergeCell ref="AD43:AE44"/>
    <mergeCell ref="AF43:AG44"/>
    <mergeCell ref="AH43:AI44"/>
    <mergeCell ref="AD45:AE46"/>
    <mergeCell ref="AF45:AG46"/>
    <mergeCell ref="AH45:AI46"/>
    <mergeCell ref="AJ15:AK16"/>
    <mergeCell ref="AL15:AM16"/>
    <mergeCell ref="AN15:AO16"/>
    <mergeCell ref="AJ17:AK18"/>
    <mergeCell ref="AL17:AM18"/>
    <mergeCell ref="AN17:AO18"/>
    <mergeCell ref="AJ11:AK12"/>
    <mergeCell ref="AL11:AM12"/>
    <mergeCell ref="AN11:AO12"/>
    <mergeCell ref="AJ13:AK14"/>
    <mergeCell ref="AL13:AM14"/>
    <mergeCell ref="AN13:AO14"/>
    <mergeCell ref="AJ23:AK24"/>
    <mergeCell ref="AL23:AM24"/>
    <mergeCell ref="AN23:AO24"/>
    <mergeCell ref="AJ25:AK26"/>
    <mergeCell ref="AL25:AM26"/>
    <mergeCell ref="AN25:AO26"/>
    <mergeCell ref="AJ19:AK20"/>
    <mergeCell ref="AL19:AM20"/>
    <mergeCell ref="AN19:AO20"/>
    <mergeCell ref="AJ21:AK22"/>
    <mergeCell ref="AL21:AM22"/>
    <mergeCell ref="AN21:AO22"/>
    <mergeCell ref="AJ31:AK32"/>
    <mergeCell ref="AL31:AM32"/>
    <mergeCell ref="AN31:AO32"/>
    <mergeCell ref="AJ33:AK34"/>
    <mergeCell ref="AL33:AM34"/>
    <mergeCell ref="AN33:AO34"/>
    <mergeCell ref="AJ27:AK28"/>
    <mergeCell ref="AL27:AM28"/>
    <mergeCell ref="AN27:AO28"/>
    <mergeCell ref="AJ29:AK30"/>
    <mergeCell ref="AL29:AM30"/>
    <mergeCell ref="AN29:AO30"/>
    <mergeCell ref="AJ39:AK40"/>
    <mergeCell ref="AL39:AM40"/>
    <mergeCell ref="AN39:AO40"/>
    <mergeCell ref="AJ41:AK42"/>
    <mergeCell ref="AL41:AM42"/>
    <mergeCell ref="AN41:AO42"/>
    <mergeCell ref="AJ35:AK36"/>
    <mergeCell ref="AL35:AM36"/>
    <mergeCell ref="AN35:AO36"/>
    <mergeCell ref="AJ37:AK38"/>
    <mergeCell ref="AL37:AM38"/>
    <mergeCell ref="AN37:AO38"/>
    <mergeCell ref="AJ47:AK48"/>
    <mergeCell ref="AL47:AM48"/>
    <mergeCell ref="AN47:AO48"/>
    <mergeCell ref="AJ49:AK50"/>
    <mergeCell ref="AL49:AM50"/>
    <mergeCell ref="AN49:AO50"/>
    <mergeCell ref="AJ43:AK44"/>
    <mergeCell ref="AL43:AM44"/>
    <mergeCell ref="AN43:AO44"/>
    <mergeCell ref="AJ45:AK46"/>
    <mergeCell ref="AL45:AM46"/>
    <mergeCell ref="AN45:AO46"/>
    <mergeCell ref="P23:Q24"/>
    <mergeCell ref="L25:M26"/>
    <mergeCell ref="N25:O26"/>
    <mergeCell ref="P25:Q26"/>
    <mergeCell ref="L19:M20"/>
    <mergeCell ref="N19:O20"/>
    <mergeCell ref="P19:Q20"/>
    <mergeCell ref="L21:M22"/>
    <mergeCell ref="N21:O22"/>
    <mergeCell ref="P21:Q22"/>
    <mergeCell ref="R23:S24"/>
    <mergeCell ref="T23:U24"/>
    <mergeCell ref="V23:W24"/>
    <mergeCell ref="R25:S26"/>
    <mergeCell ref="T25:U26"/>
    <mergeCell ref="V25:W26"/>
    <mergeCell ref="R19:S20"/>
    <mergeCell ref="T19:U20"/>
    <mergeCell ref="V19:W20"/>
    <mergeCell ref="R21:S22"/>
    <mergeCell ref="T21:U22"/>
    <mergeCell ref="V21:W22"/>
    <mergeCell ref="L31:M32"/>
    <mergeCell ref="N31:O32"/>
    <mergeCell ref="P31:Q32"/>
    <mergeCell ref="L33:M34"/>
    <mergeCell ref="N33:O34"/>
    <mergeCell ref="P33:Q34"/>
    <mergeCell ref="L27:M28"/>
    <mergeCell ref="N27:O28"/>
    <mergeCell ref="P27:Q28"/>
    <mergeCell ref="L29:M30"/>
    <mergeCell ref="N29:O30"/>
    <mergeCell ref="P29:Q30"/>
    <mergeCell ref="R31:S32"/>
    <mergeCell ref="T31:U32"/>
    <mergeCell ref="V31:W32"/>
    <mergeCell ref="R33:S34"/>
    <mergeCell ref="T33:U34"/>
    <mergeCell ref="V33:W34"/>
    <mergeCell ref="R27:S28"/>
    <mergeCell ref="T27:U28"/>
    <mergeCell ref="V27:W28"/>
    <mergeCell ref="R29:S30"/>
    <mergeCell ref="T29:U30"/>
    <mergeCell ref="V29:W30"/>
    <mergeCell ref="X31:Y32"/>
    <mergeCell ref="Z31:AA32"/>
    <mergeCell ref="AB31:AC32"/>
    <mergeCell ref="X33:Y34"/>
    <mergeCell ref="Z33:AA34"/>
    <mergeCell ref="AB33:AC34"/>
    <mergeCell ref="X27:Y28"/>
    <mergeCell ref="Z27:AA28"/>
    <mergeCell ref="AB27:AC28"/>
    <mergeCell ref="X29:Y30"/>
    <mergeCell ref="Z29:AA30"/>
    <mergeCell ref="AB29:AC30"/>
    <mergeCell ref="X39:Y40"/>
    <mergeCell ref="Z39:AA40"/>
    <mergeCell ref="AB39:AC40"/>
    <mergeCell ref="X41:Y42"/>
    <mergeCell ref="Z41:AA42"/>
    <mergeCell ref="AB41:AC42"/>
    <mergeCell ref="X35:Y36"/>
    <mergeCell ref="Z35:AA36"/>
    <mergeCell ref="AB35:AC36"/>
    <mergeCell ref="X37:Y38"/>
    <mergeCell ref="Z37:AA38"/>
    <mergeCell ref="AB37:AC38"/>
    <mergeCell ref="R39:S40"/>
    <mergeCell ref="T39:U40"/>
    <mergeCell ref="V39:W40"/>
    <mergeCell ref="R41:S42"/>
    <mergeCell ref="T41:U42"/>
    <mergeCell ref="V41:W42"/>
    <mergeCell ref="R35:S36"/>
    <mergeCell ref="T35:U36"/>
    <mergeCell ref="V35:W36"/>
    <mergeCell ref="R37:S38"/>
    <mergeCell ref="T37:U38"/>
    <mergeCell ref="V37:W38"/>
    <mergeCell ref="X47:Y48"/>
    <mergeCell ref="Z47:AA48"/>
    <mergeCell ref="AB47:AC48"/>
    <mergeCell ref="X49:Y50"/>
    <mergeCell ref="Z49:AA50"/>
    <mergeCell ref="AB49:AC50"/>
    <mergeCell ref="X43:Y44"/>
    <mergeCell ref="Z43:AA44"/>
    <mergeCell ref="AB43:AC44"/>
    <mergeCell ref="X45:Y46"/>
    <mergeCell ref="Z45:AA46"/>
    <mergeCell ref="AB45:AC46"/>
    <mergeCell ref="N45:O46"/>
    <mergeCell ref="P45:Q46"/>
    <mergeCell ref="L39:M40"/>
    <mergeCell ref="N39:O40"/>
    <mergeCell ref="P39:Q40"/>
    <mergeCell ref="L41:M42"/>
    <mergeCell ref="N41:O42"/>
    <mergeCell ref="P41:Q42"/>
    <mergeCell ref="L35:M36"/>
    <mergeCell ref="N35:O36"/>
    <mergeCell ref="P35:Q36"/>
    <mergeCell ref="L37:M38"/>
    <mergeCell ref="N37:O38"/>
    <mergeCell ref="P37:Q38"/>
    <mergeCell ref="A8:C8"/>
    <mergeCell ref="D7:K9"/>
    <mergeCell ref="R47:S48"/>
    <mergeCell ref="T47:U48"/>
    <mergeCell ref="V47:W48"/>
    <mergeCell ref="R49:S50"/>
    <mergeCell ref="T49:U50"/>
    <mergeCell ref="V49:W50"/>
    <mergeCell ref="R43:S44"/>
    <mergeCell ref="T43:U44"/>
    <mergeCell ref="V43:W44"/>
    <mergeCell ref="R45:S46"/>
    <mergeCell ref="T45:U46"/>
    <mergeCell ref="V45:W46"/>
    <mergeCell ref="L47:M48"/>
    <mergeCell ref="N47:O48"/>
    <mergeCell ref="P47:Q48"/>
    <mergeCell ref="L49:M50"/>
    <mergeCell ref="N49:O50"/>
    <mergeCell ref="P49:Q50"/>
    <mergeCell ref="L43:M44"/>
    <mergeCell ref="N43:O44"/>
    <mergeCell ref="P43:Q44"/>
    <mergeCell ref="L45:M46"/>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CN254"/>
  <sheetViews>
    <sheetView showGridLines="0" topLeftCell="BA1" zoomScale="60" zoomScaleNormal="60" workbookViewId="0">
      <pane ySplit="7" topLeftCell="A41" activePane="bottomLeft" state="frozen"/>
      <selection pane="bottomLeft" activeCell="BL52" sqref="BL52"/>
    </sheetView>
  </sheetViews>
  <sheetFormatPr baseColWidth="10" defaultColWidth="11.42578125" defaultRowHeight="15"/>
  <cols>
    <col min="3" max="19" width="5.7109375" customWidth="1"/>
    <col min="20" max="20" width="6.7109375" customWidth="1"/>
    <col min="21" max="23" width="5.7109375" customWidth="1"/>
    <col min="24" max="24" width="7.42578125" customWidth="1"/>
    <col min="25" max="25" width="8.42578125" customWidth="1"/>
    <col min="26" max="26" width="12" customWidth="1"/>
    <col min="27" max="27" width="5.7109375" customWidth="1"/>
    <col min="28" max="28" width="10.7109375" customWidth="1"/>
    <col min="29" max="29" width="5.7109375" customWidth="1"/>
    <col min="30" max="30" width="7.42578125" customWidth="1"/>
    <col min="31" max="31" width="8.42578125" customWidth="1"/>
    <col min="32" max="34" width="5.7109375" customWidth="1"/>
    <col min="35" max="35" width="8.42578125" customWidth="1"/>
    <col min="36" max="36" width="9.7109375" customWidth="1"/>
    <col min="37" max="40" width="5.7109375" customWidth="1"/>
    <col min="42" max="47" width="5.7109375" customWidth="1"/>
    <col min="51" max="51" width="11.42578125" customWidth="1"/>
    <col min="63" max="63" width="11.42578125" customWidth="1"/>
    <col min="64" max="69" width="35.7109375" customWidth="1"/>
  </cols>
  <sheetData>
    <row r="1" spans="1:92" ht="15.75" thickBot="1"/>
    <row r="2" spans="1:92">
      <c r="C2" s="452" t="s">
        <v>248</v>
      </c>
      <c r="D2" s="453"/>
      <c r="E2" s="453"/>
      <c r="F2" s="453"/>
      <c r="G2" s="453"/>
      <c r="H2" s="453"/>
      <c r="I2" s="453"/>
      <c r="J2" s="454"/>
      <c r="K2" s="443" t="s">
        <v>1</v>
      </c>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5"/>
      <c r="AO2" s="293" t="s">
        <v>8</v>
      </c>
      <c r="AP2" s="440"/>
      <c r="AQ2" s="440"/>
      <c r="AR2" s="440"/>
      <c r="AS2" s="440"/>
      <c r="AT2" s="440"/>
      <c r="AU2" s="267"/>
    </row>
    <row r="3" spans="1:92">
      <c r="C3" s="455"/>
      <c r="D3" s="456"/>
      <c r="E3" s="456"/>
      <c r="F3" s="456"/>
      <c r="G3" s="456"/>
      <c r="H3" s="456"/>
      <c r="I3" s="456"/>
      <c r="J3" s="457"/>
      <c r="K3" s="446"/>
      <c r="L3" s="447"/>
      <c r="M3" s="447"/>
      <c r="N3" s="447"/>
      <c r="O3" s="447"/>
      <c r="P3" s="447"/>
      <c r="Q3" s="447"/>
      <c r="R3" s="447"/>
      <c r="S3" s="447"/>
      <c r="T3" s="447"/>
      <c r="U3" s="447"/>
      <c r="V3" s="447"/>
      <c r="W3" s="447"/>
      <c r="X3" s="447"/>
      <c r="Y3" s="447"/>
      <c r="Z3" s="447"/>
      <c r="AA3" s="447"/>
      <c r="AB3" s="447"/>
      <c r="AC3" s="447"/>
      <c r="AD3" s="447"/>
      <c r="AE3" s="447"/>
      <c r="AF3" s="447"/>
      <c r="AG3" s="447"/>
      <c r="AH3" s="447"/>
      <c r="AI3" s="447"/>
      <c r="AJ3" s="447"/>
      <c r="AK3" s="447"/>
      <c r="AL3" s="447"/>
      <c r="AM3" s="447"/>
      <c r="AN3" s="448"/>
      <c r="AO3" s="294" t="s">
        <v>3</v>
      </c>
      <c r="AP3" s="441"/>
      <c r="AQ3" s="441"/>
      <c r="AR3" s="441"/>
      <c r="AS3" s="441"/>
      <c r="AT3" s="441"/>
      <c r="AU3" s="269"/>
    </row>
    <row r="4" spans="1:92">
      <c r="C4" s="455"/>
      <c r="D4" s="456"/>
      <c r="E4" s="456"/>
      <c r="F4" s="456"/>
      <c r="G4" s="456"/>
      <c r="H4" s="456"/>
      <c r="I4" s="456"/>
      <c r="J4" s="457"/>
      <c r="K4" s="446"/>
      <c r="L4" s="447"/>
      <c r="M4" s="447"/>
      <c r="N4" s="447"/>
      <c r="O4" s="447"/>
      <c r="P4" s="447"/>
      <c r="Q4" s="447"/>
      <c r="R4" s="447"/>
      <c r="S4" s="447"/>
      <c r="T4" s="447"/>
      <c r="U4" s="447"/>
      <c r="V4" s="447"/>
      <c r="W4" s="447"/>
      <c r="X4" s="447"/>
      <c r="Y4" s="447"/>
      <c r="Z4" s="447"/>
      <c r="AA4" s="447"/>
      <c r="AB4" s="447"/>
      <c r="AC4" s="447"/>
      <c r="AD4" s="447"/>
      <c r="AE4" s="447"/>
      <c r="AF4" s="447"/>
      <c r="AG4" s="447"/>
      <c r="AH4" s="447"/>
      <c r="AI4" s="447"/>
      <c r="AJ4" s="447"/>
      <c r="AK4" s="447"/>
      <c r="AL4" s="447"/>
      <c r="AM4" s="447"/>
      <c r="AN4" s="448"/>
      <c r="AO4" s="294" t="s">
        <v>4</v>
      </c>
      <c r="AP4" s="441" t="s">
        <v>250</v>
      </c>
      <c r="AQ4" s="441"/>
      <c r="AR4" s="441"/>
      <c r="AS4" s="441"/>
      <c r="AT4" s="441"/>
      <c r="AU4" s="269"/>
    </row>
    <row r="5" spans="1:92" ht="15.75" thickBot="1">
      <c r="C5" s="458"/>
      <c r="D5" s="459"/>
      <c r="E5" s="459"/>
      <c r="F5" s="459"/>
      <c r="G5" s="459"/>
      <c r="H5" s="459"/>
      <c r="I5" s="459"/>
      <c r="J5" s="460"/>
      <c r="K5" s="449"/>
      <c r="L5" s="450"/>
      <c r="M5" s="450"/>
      <c r="N5" s="450"/>
      <c r="O5" s="450"/>
      <c r="P5" s="450"/>
      <c r="Q5" s="450"/>
      <c r="R5" s="450"/>
      <c r="S5" s="450"/>
      <c r="T5" s="450"/>
      <c r="U5" s="450"/>
      <c r="V5" s="450"/>
      <c r="W5" s="450"/>
      <c r="X5" s="450"/>
      <c r="Y5" s="450"/>
      <c r="Z5" s="450"/>
      <c r="AA5" s="450"/>
      <c r="AB5" s="450"/>
      <c r="AC5" s="450"/>
      <c r="AD5" s="450"/>
      <c r="AE5" s="450"/>
      <c r="AF5" s="450"/>
      <c r="AG5" s="450"/>
      <c r="AH5" s="450"/>
      <c r="AI5" s="450"/>
      <c r="AJ5" s="450"/>
      <c r="AK5" s="450"/>
      <c r="AL5" s="450"/>
      <c r="AM5" s="450"/>
      <c r="AN5" s="451"/>
      <c r="AO5" s="295" t="s">
        <v>5</v>
      </c>
      <c r="AP5" s="442" t="s">
        <v>5</v>
      </c>
      <c r="AQ5" s="442"/>
      <c r="AR5" s="442"/>
      <c r="AS5" s="442"/>
      <c r="AT5" s="442"/>
      <c r="AU5" s="271"/>
    </row>
    <row r="7" spans="1:92">
      <c r="B7" s="68"/>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row>
    <row r="8" spans="1:92" ht="18" customHeight="1">
      <c r="A8" s="500" t="s">
        <v>9</v>
      </c>
      <c r="B8" s="500"/>
      <c r="C8" s="530" t="s">
        <v>267</v>
      </c>
      <c r="D8" s="531"/>
      <c r="E8" s="531"/>
      <c r="F8" s="531"/>
      <c r="G8" s="531"/>
      <c r="H8" s="531"/>
      <c r="I8" s="531"/>
      <c r="J8" s="531"/>
      <c r="K8" s="532" t="s">
        <v>56</v>
      </c>
      <c r="L8" s="532"/>
      <c r="M8" s="532"/>
      <c r="N8" s="532"/>
      <c r="O8" s="532"/>
      <c r="P8" s="532"/>
      <c r="Q8" s="532"/>
      <c r="R8" s="532"/>
      <c r="S8" s="532"/>
      <c r="T8" s="532"/>
      <c r="U8" s="532"/>
      <c r="V8" s="532"/>
      <c r="W8" s="532"/>
      <c r="X8" s="532"/>
      <c r="Y8" s="532"/>
      <c r="Z8" s="532"/>
      <c r="AA8" s="532"/>
      <c r="AB8" s="532"/>
      <c r="AC8" s="532"/>
      <c r="AD8" s="532"/>
      <c r="AE8" s="532"/>
      <c r="AF8" s="532"/>
      <c r="AG8" s="532"/>
      <c r="AH8" s="532"/>
      <c r="AI8" s="532"/>
      <c r="AJ8" s="532"/>
      <c r="AK8" s="532"/>
      <c r="AL8" s="532"/>
      <c r="AM8" s="532"/>
      <c r="AN8" s="532"/>
      <c r="AO8" s="68"/>
      <c r="AP8" s="68"/>
      <c r="AQ8" s="68"/>
      <c r="AR8" s="68"/>
      <c r="AS8" s="68"/>
      <c r="AT8" s="68"/>
      <c r="AU8" s="68"/>
      <c r="AV8" s="68"/>
      <c r="AW8" s="68"/>
      <c r="AX8" s="68"/>
      <c r="AY8" s="68"/>
      <c r="AZ8" s="68"/>
      <c r="BA8" s="68"/>
      <c r="BB8" s="68"/>
      <c r="BC8" s="68"/>
      <c r="BD8" s="68"/>
      <c r="BE8" s="68"/>
      <c r="BF8" s="68"/>
      <c r="BG8" s="68"/>
      <c r="BH8" s="68"/>
      <c r="BI8" s="68"/>
      <c r="BJ8" s="68"/>
      <c r="BK8" s="68"/>
      <c r="BL8" s="68"/>
      <c r="BM8" s="68"/>
      <c r="BN8" s="68"/>
      <c r="BO8" s="68"/>
      <c r="BP8" s="68"/>
      <c r="BQ8" s="68"/>
      <c r="BR8" s="68"/>
      <c r="BS8" s="68"/>
      <c r="BT8" s="68"/>
      <c r="BU8" s="68"/>
      <c r="BV8" s="68"/>
      <c r="BW8" s="68"/>
      <c r="BX8" s="68"/>
      <c r="BY8" s="68"/>
      <c r="BZ8" s="68"/>
      <c r="CA8" s="68"/>
      <c r="CB8" s="68"/>
      <c r="CC8" s="68"/>
      <c r="CD8" s="68"/>
      <c r="CE8" s="68"/>
      <c r="CF8" s="68"/>
      <c r="CG8" s="68"/>
      <c r="CH8" s="68"/>
      <c r="CI8" s="68"/>
      <c r="CJ8" s="68"/>
      <c r="CK8" s="68"/>
      <c r="CL8" s="68"/>
      <c r="CM8" s="68"/>
      <c r="CN8" s="68"/>
    </row>
    <row r="9" spans="1:92" ht="18.75" customHeight="1">
      <c r="B9" s="68"/>
      <c r="C9" s="531"/>
      <c r="D9" s="531"/>
      <c r="E9" s="531"/>
      <c r="F9" s="531"/>
      <c r="G9" s="531"/>
      <c r="H9" s="531"/>
      <c r="I9" s="531"/>
      <c r="J9" s="531"/>
      <c r="K9" s="532"/>
      <c r="L9" s="532"/>
      <c r="M9" s="532"/>
      <c r="N9" s="532"/>
      <c r="O9" s="532"/>
      <c r="P9" s="532"/>
      <c r="Q9" s="532"/>
      <c r="R9" s="532"/>
      <c r="S9" s="532"/>
      <c r="T9" s="532"/>
      <c r="U9" s="532"/>
      <c r="V9" s="532"/>
      <c r="W9" s="532"/>
      <c r="X9" s="532"/>
      <c r="Y9" s="532"/>
      <c r="Z9" s="532"/>
      <c r="AA9" s="532"/>
      <c r="AB9" s="532"/>
      <c r="AC9" s="532"/>
      <c r="AD9" s="532"/>
      <c r="AE9" s="532"/>
      <c r="AF9" s="532"/>
      <c r="AG9" s="532"/>
      <c r="AH9" s="532"/>
      <c r="AI9" s="532"/>
      <c r="AJ9" s="532"/>
      <c r="AK9" s="532"/>
      <c r="AL9" s="532"/>
      <c r="AM9" s="532"/>
      <c r="AN9" s="532"/>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row>
    <row r="10" spans="1:92" ht="15" customHeight="1">
      <c r="B10" s="68"/>
      <c r="C10" s="531"/>
      <c r="D10" s="531"/>
      <c r="E10" s="531"/>
      <c r="F10" s="531"/>
      <c r="G10" s="531"/>
      <c r="H10" s="531"/>
      <c r="I10" s="531"/>
      <c r="J10" s="531"/>
      <c r="K10" s="532"/>
      <c r="L10" s="532"/>
      <c r="M10" s="532"/>
      <c r="N10" s="532"/>
      <c r="O10" s="532"/>
      <c r="P10" s="532"/>
      <c r="Q10" s="532"/>
      <c r="R10" s="532"/>
      <c r="S10" s="532"/>
      <c r="T10" s="532"/>
      <c r="U10" s="532"/>
      <c r="V10" s="532"/>
      <c r="W10" s="532"/>
      <c r="X10" s="532"/>
      <c r="Y10" s="532"/>
      <c r="Z10" s="532"/>
      <c r="AA10" s="532"/>
      <c r="AB10" s="532"/>
      <c r="AC10" s="532"/>
      <c r="AD10" s="532"/>
      <c r="AE10" s="532"/>
      <c r="AF10" s="532"/>
      <c r="AG10" s="532"/>
      <c r="AH10" s="532"/>
      <c r="AI10" s="532"/>
      <c r="AJ10" s="532"/>
      <c r="AK10" s="532"/>
      <c r="AL10" s="532"/>
      <c r="AM10" s="532"/>
      <c r="AN10" s="532"/>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68"/>
      <c r="CE10" s="68"/>
      <c r="CF10" s="68"/>
      <c r="CG10" s="68"/>
      <c r="CH10" s="68"/>
      <c r="CI10" s="68"/>
      <c r="CJ10" s="68"/>
      <c r="CK10" s="68"/>
      <c r="CL10" s="68"/>
      <c r="CM10" s="68"/>
      <c r="CN10" s="68"/>
    </row>
    <row r="11" spans="1:92" ht="15.75" thickBot="1">
      <c r="B11" s="68"/>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row>
    <row r="12" spans="1:92" ht="15" customHeight="1">
      <c r="B12" s="68"/>
      <c r="C12" s="461" t="s">
        <v>252</v>
      </c>
      <c r="D12" s="461"/>
      <c r="E12" s="462"/>
      <c r="F12" s="501" t="s">
        <v>253</v>
      </c>
      <c r="G12" s="502"/>
      <c r="H12" s="502"/>
      <c r="I12" s="502"/>
      <c r="J12" s="502"/>
      <c r="K12" s="32"/>
      <c r="L12" s="33" t="e">
        <f>IF(AND('Mapa final'!#REF!="Muy Alta",'Mapa final'!#REF!="Leve"),CONCATENATE("R2C",'Mapa final'!$R$15),"")</f>
        <v>#REF!</v>
      </c>
      <c r="M12" s="33" t="e">
        <f>IF(AND('Mapa final'!#REF!="Muy Alta",'Mapa final'!#REF!="Leve"),CONCATENATE("R2C",'Mapa final'!#REF!),"")</f>
        <v>#REF!</v>
      </c>
      <c r="N12" s="33" t="e">
        <f>IF(AND('Mapa final'!#REF!="Muy Alta",'Mapa final'!#REF!="Leve"),CONCATENATE("R2C",'Mapa final'!#REF!),"")</f>
        <v>#REF!</v>
      </c>
      <c r="O12" s="33" t="e">
        <f>IF(AND('Mapa final'!#REF!="Muy Alta",'Mapa final'!#REF!="Leve"),CONCATENATE("R2C",'Mapa final'!#REF!),"")</f>
        <v>#REF!</v>
      </c>
      <c r="P12" s="34" t="e">
        <f>IF(AND('Mapa final'!#REF!="Muy Alta",'Mapa final'!#REF!="Leve"),CONCATENATE("R2C",'Mapa final'!#REF!),"")</f>
        <v>#REF!</v>
      </c>
      <c r="Q12" s="33"/>
      <c r="R12" s="33" t="e">
        <f>IF(AND('Mapa final'!#REF!="Muy Alta",'Mapa final'!#REF!="Menore"),CONCATENATE("R2C",'Mapa final'!$R$15),"")</f>
        <v>#REF!</v>
      </c>
      <c r="S12" s="33" t="e">
        <f>IF(AND('Mapa final'!#REF!="Muy Alta",'Mapa final'!#REF!="Menor"),CONCATENATE("R2C",'Mapa final'!#REF!),"")</f>
        <v>#REF!</v>
      </c>
      <c r="T12" s="33" t="e">
        <f>IF(AND('Mapa final'!#REF!="Muy Alta",'Mapa final'!#REF!="Menor"),CONCATENATE("R2C",'Mapa final'!#REF!),"")</f>
        <v>#REF!</v>
      </c>
      <c r="U12" s="33" t="e">
        <f>IF(AND('Mapa final'!#REF!="Muy Alta",'Mapa final'!#REF!="Menor"),CONCATENATE("R2C",'Mapa final'!#REF!),"")</f>
        <v>#REF!</v>
      </c>
      <c r="V12" s="34" t="e">
        <f>IF(AND('Mapa final'!#REF!="Muy Alta",'Mapa final'!#REF!="Menor"),CONCATENATE("R2C",'Mapa final'!#REF!),"")</f>
        <v>#REF!</v>
      </c>
      <c r="W12" s="32"/>
      <c r="X12" s="33" t="e">
        <f>IF(AND('Mapa final'!#REF!="Muy Alta",'Mapa final'!#REF!="Moderado"),CONCATENATE("R2C",'Mapa final'!$R$15),"")</f>
        <v>#REF!</v>
      </c>
      <c r="Y12" s="33"/>
      <c r="Z12" s="33" t="e">
        <f>IF(AND('Mapa final'!#REF!="Muy Alta",'Mapa final'!#REF!="Moderado"),CONCATENATE("R2C",'Mapa final'!#REF!),"")</f>
        <v>#REF!</v>
      </c>
      <c r="AA12" s="33" t="e">
        <f>IF(AND('Mapa final'!#REF!="Muy Alta",'Mapa final'!#REF!="Moderado"),CONCATENATE("R2C",'Mapa final'!#REF!),"")</f>
        <v>#REF!</v>
      </c>
      <c r="AB12" s="34" t="e">
        <f>IF(AND('Mapa final'!#REF!="Muy Alta",'Mapa final'!#REF!="Moderado"),CONCATENATE("R2C",'Mapa final'!#REF!),"")</f>
        <v>#REF!</v>
      </c>
      <c r="AC12" s="32"/>
      <c r="AD12" s="33" t="e">
        <f>IF(AND('Mapa final'!#REF!="Muy Alta",'Mapa final'!#REF!="Mayor"),CONCATENATE("R2C",'Mapa final'!$R$15),"")</f>
        <v>#REF!</v>
      </c>
      <c r="AE12" s="33" t="e">
        <f>IF(AND('Mapa final'!#REF!="Muy Alta",'Mapa final'!#REF!="Mayor"),CONCATENATE("R2C",'Mapa final'!#REF!),"")</f>
        <v>#REF!</v>
      </c>
      <c r="AF12" s="33" t="e">
        <f>IF(AND('Mapa final'!#REF!="Muy Alta",'Mapa final'!#REF!="Mayor"),CONCATENATE("R2C",'Mapa final'!#REF!),"")</f>
        <v>#REF!</v>
      </c>
      <c r="AG12" s="33" t="e">
        <f>IF(AND('Mapa final'!#REF!="Muy Alta",'Mapa final'!#REF!="Mayor"),CONCATENATE("R2C",'Mapa final'!#REF!),"")</f>
        <v>#REF!</v>
      </c>
      <c r="AH12" s="34" t="e">
        <f>IF(AND('Mapa final'!#REF!="Muy Alta",'Mapa final'!#REF!="Mayor"),CONCATENATE("R2C",'Mapa final'!#REF!),"")</f>
        <v>#REF!</v>
      </c>
      <c r="AI12" s="35"/>
      <c r="AJ12" s="36" t="e">
        <f>IF(AND('Mapa final'!#REF!="Muy Alta",'Mapa final'!#REF!="Catastrófico"),CONCATENATE("R2C",'Mapa final'!$R$15),"")</f>
        <v>#REF!</v>
      </c>
      <c r="AK12" s="36" t="e">
        <f>IF(AND('Mapa final'!#REF!="Muy Alta",'Mapa final'!#REF!="Catastrófico"),CONCATENATE("R2C",'Mapa final'!#REF!),"")</f>
        <v>#REF!</v>
      </c>
      <c r="AL12" s="36" t="e">
        <f>IF(AND('Mapa final'!#REF!="Muy Alta",'Mapa final'!#REF!="Catastrófico"),CONCATENATE("R2C",'Mapa final'!#REF!),"")</f>
        <v>#REF!</v>
      </c>
      <c r="AM12" s="36" t="e">
        <f>IF(AND('Mapa final'!#REF!="Muy Alta",'Mapa final'!#REF!="Catastrófico"),CONCATENATE("R2C",'Mapa final'!#REF!),"")</f>
        <v>#REF!</v>
      </c>
      <c r="AN12" s="37" t="e">
        <f>IF(AND('Mapa final'!#REF!="Muy Alta",'Mapa final'!#REF!="Catastrófico"),CONCATENATE("R2C",'Mapa final'!#REF!),"")</f>
        <v>#REF!</v>
      </c>
      <c r="AO12" s="68"/>
      <c r="AP12" s="521" t="s">
        <v>254</v>
      </c>
      <c r="AQ12" s="522"/>
      <c r="AR12" s="522"/>
      <c r="AS12" s="522"/>
      <c r="AT12" s="522"/>
      <c r="AU12" s="523"/>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row>
    <row r="13" spans="1:92" ht="15" customHeight="1">
      <c r="B13" s="68"/>
      <c r="C13" s="461"/>
      <c r="D13" s="461"/>
      <c r="E13" s="462"/>
      <c r="F13" s="504"/>
      <c r="G13" s="505"/>
      <c r="H13" s="505"/>
      <c r="I13" s="505"/>
      <c r="J13" s="505"/>
      <c r="K13" s="38" t="e">
        <f>IF(AND('Mapa final'!#REF!="Muy Alta",'Mapa final'!#REF!="Leve"),CONCATENATE("R2C",'Mapa final'!#REF!),"")</f>
        <v>#REF!</v>
      </c>
      <c r="L13" s="39" t="e">
        <f>IF(AND('Mapa final'!#REF!="Muy Alta",'Mapa final'!#REF!="Leve"),CONCATENATE("R2C",'Mapa final'!#REF!),"")</f>
        <v>#REF!</v>
      </c>
      <c r="M13" s="39" t="str">
        <f>IF(AND('Mapa final'!$AH$22="Muy Alta",'Mapa final'!$AJ$22="Leve"),CONCATENATE("R2C",'Mapa final'!$R$22),"")</f>
        <v/>
      </c>
      <c r="N13" s="39" t="str">
        <f>IF(AND('Mapa final'!$AH$23="Muy Alta",'Mapa final'!$AJ$23="Leve"),CONCATENATE("R2C",'Mapa final'!$R$23),"")</f>
        <v/>
      </c>
      <c r="O13" s="39" t="str">
        <f>IF(AND('Mapa final'!$AH$24="Muy Alta",'Mapa final'!$AJ$24="Leve"),CONCATENATE("R2C",'Mapa final'!$R$24),"")</f>
        <v/>
      </c>
      <c r="P13" s="40" t="str">
        <f>IF(AND('Mapa final'!$AH$25="Muy Alta",'Mapa final'!$AJ$25="Leve"),CONCATENATE("R2C",'Mapa final'!$R$25),"")</f>
        <v/>
      </c>
      <c r="Q13" s="39" t="e">
        <f>IF(AND('Mapa final'!#REF!="Muy Alta",'Mapa final'!#REF!="Menor"),CONCATENATE("R2C",'Mapa final'!#REF!),"")</f>
        <v>#REF!</v>
      </c>
      <c r="R13" s="39" t="e">
        <f>IF(AND('Mapa final'!#REF!="Muy Alta",'Mapa final'!#REF!="Menor"),CONCATENATE("R2C",'Mapa final'!#REF!),"")</f>
        <v>#REF!</v>
      </c>
      <c r="S13" s="39" t="str">
        <f>IF(AND('Mapa final'!$AH$22="Muy Alta",'Mapa final'!$AJ$22="Menor"),CONCATENATE("R2C",'Mapa final'!$R$22),"")</f>
        <v/>
      </c>
      <c r="T13" s="39" t="str">
        <f>IF(AND('Mapa final'!$AH$23="Muy Alta",'Mapa final'!$AJ$23="Menor"),CONCATENATE("R2C",'Mapa final'!$R$23),"")</f>
        <v/>
      </c>
      <c r="U13" s="39" t="str">
        <f>IF(AND('Mapa final'!$AH$24="Muy Alta",'Mapa final'!$AJ$24="Menor"),CONCATENATE("R2C",'Mapa final'!$R$24),"")</f>
        <v/>
      </c>
      <c r="V13" s="40" t="str">
        <f>IF(AND('Mapa final'!$AH$25="Muy Alta",'Mapa final'!$AJ$25="Menor"),CONCATENATE("R2C",'Mapa final'!$R$25),"")</f>
        <v/>
      </c>
      <c r="W13" s="38" t="e">
        <f>IF(AND('Mapa final'!#REF!="Muy Alta",'Mapa final'!#REF!="Moderado"),CONCATENATE("R2C",'Mapa final'!#REF!),"")</f>
        <v>#REF!</v>
      </c>
      <c r="X13" s="39" t="e">
        <f>IF(AND('Mapa final'!#REF!="Muy Alta",'Mapa final'!#REF!="Moderado"),CONCATENATE("R2C",'Mapa final'!#REF!),"")</f>
        <v>#REF!</v>
      </c>
      <c r="Y13" s="39" t="str">
        <f>IF(AND('Mapa final'!$AH$22="Muy Alta",'Mapa final'!$AJ$22="Moderado"),CONCATENATE("R2C",'Mapa final'!$R$22),"")</f>
        <v/>
      </c>
      <c r="Z13" s="39" t="str">
        <f>IF(AND('Mapa final'!$AH$23="Muy Alta",'Mapa final'!$AJ$23="Moderado"),CONCATENATE("R2C",'Mapa final'!$R$23),"")</f>
        <v/>
      </c>
      <c r="AA13" s="39" t="str">
        <f>IF(AND('Mapa final'!$AH$24="Muy Alta",'Mapa final'!$AJ$24="Moderado"),CONCATENATE("R2C",'Mapa final'!$R$24),"")</f>
        <v/>
      </c>
      <c r="AB13" s="40" t="str">
        <f>IF(AND('Mapa final'!$AH$25="Muy Alta",'Mapa final'!$AJ$25="Moderado"),CONCATENATE("R2C",'Mapa final'!$R$25),"")</f>
        <v/>
      </c>
      <c r="AC13" s="38" t="e">
        <f>IF(AND('Mapa final'!#REF!="Muy Alta",'Mapa final'!#REF!="Mayor"),CONCATENATE("R2C",'Mapa final'!#REF!),"")</f>
        <v>#REF!</v>
      </c>
      <c r="AD13" s="39" t="e">
        <f>IF(AND('Mapa final'!#REF!="Muy Alta",'Mapa final'!#REF!="Mayor"),CONCATENATE("R2C",'Mapa final'!#REF!),"")</f>
        <v>#REF!</v>
      </c>
      <c r="AE13" s="39" t="str">
        <f>IF(AND('Mapa final'!$AH$22="Muy Alta",'Mapa final'!$AJ$22="Mayor"),CONCATENATE("R2C",'Mapa final'!$R$22),"")</f>
        <v/>
      </c>
      <c r="AF13" s="39" t="str">
        <f>IF(AND('Mapa final'!$AH$23="Muy Alta",'Mapa final'!$AJ$23="Mayor"),CONCATENATE("R2C",'Mapa final'!$R$23),"")</f>
        <v/>
      </c>
      <c r="AG13" s="39" t="str">
        <f>IF(AND('Mapa final'!$AH$24="Muy Alta",'Mapa final'!$AJ$24="Mayor"),CONCATENATE("R2C",'Mapa final'!$R$24),"")</f>
        <v/>
      </c>
      <c r="AH13" s="40" t="str">
        <f>IF(AND('Mapa final'!$AH$25="Muy Alta",'Mapa final'!$AJ$25="Mayor"),CONCATENATE("R2C",'Mapa final'!$R$25),"")</f>
        <v/>
      </c>
      <c r="AI13" s="41" t="e">
        <f>IF(AND('Mapa final'!#REF!="Muy Alta",'Mapa final'!#REF!="Catastrófico"),CONCATENATE("R2C",'Mapa final'!#REF!),"")</f>
        <v>#REF!</v>
      </c>
      <c r="AJ13" s="42" t="e">
        <f>IF(AND('Mapa final'!#REF!="Muy Alta",'Mapa final'!#REF!="Catastrófico"),CONCATENATE("R2C",'Mapa final'!#REF!),"")</f>
        <v>#REF!</v>
      </c>
      <c r="AK13" s="42" t="str">
        <f>IF(AND('Mapa final'!$AH$22="Muy Alta",'Mapa final'!$AJ$22="Catastrófico"),CONCATENATE("R2C",'Mapa final'!$R$22),"")</f>
        <v/>
      </c>
      <c r="AL13" s="42" t="str">
        <f>IF(AND('Mapa final'!$AH$23="Muy Alta",'Mapa final'!$AJ$23="Catastrófico"),CONCATENATE("R2C",'Mapa final'!$R$23),"")</f>
        <v/>
      </c>
      <c r="AM13" s="42" t="str">
        <f>IF(AND('Mapa final'!$AH$24="Muy Alta",'Mapa final'!$AJ$24="Catastrófico"),CONCATENATE("R2C",'Mapa final'!$R$24),"")</f>
        <v/>
      </c>
      <c r="AN13" s="43" t="str">
        <f>IF(AND('Mapa final'!$AH$25="Muy Alta",'Mapa final'!$AJ$25="Catastrófico"),CONCATENATE("R2C",'Mapa final'!$R$25),"")</f>
        <v/>
      </c>
      <c r="AO13" s="68"/>
      <c r="AP13" s="524"/>
      <c r="AQ13" s="525"/>
      <c r="AR13" s="525"/>
      <c r="AS13" s="525"/>
      <c r="AT13" s="525"/>
      <c r="AU13" s="526"/>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row>
    <row r="14" spans="1:92" ht="15" customHeight="1">
      <c r="B14" s="68"/>
      <c r="C14" s="461"/>
      <c r="D14" s="461"/>
      <c r="E14" s="462"/>
      <c r="F14" s="504"/>
      <c r="G14" s="505"/>
      <c r="H14" s="505"/>
      <c r="I14" s="505"/>
      <c r="J14" s="505"/>
      <c r="K14" s="38" t="str">
        <f>IF(AND('Mapa final'!$AH$26="Muy Alta",'Mapa final'!$AJ$26="Leve"),CONCATENATE("R2C",'Mapa final'!$R$26),"")</f>
        <v/>
      </c>
      <c r="L14" s="39" t="str">
        <f>IF(AND('Mapa final'!$AH$27="Muy Alta",'Mapa final'!$AJ$27="Leve"),CONCATENATE("R2C",'Mapa final'!$R$27),"")</f>
        <v/>
      </c>
      <c r="M14" s="39" t="str">
        <f>IF(AND('Mapa final'!$AH$28="Muy Alta",'Mapa final'!$AJ$28="Leve"),CONCATENATE("R2C",'Mapa final'!$R$28),"")</f>
        <v/>
      </c>
      <c r="N14" s="39" t="str">
        <f>IF(AND('Mapa final'!$AH$29="Muy Alta",'Mapa final'!$AJ$29="Leve"),CONCATENATE("R2C",'Mapa final'!$R$29),"")</f>
        <v/>
      </c>
      <c r="O14" s="39" t="str">
        <f>IF(AND('Mapa final'!$AH$30="Muy Alta",'Mapa final'!$AJ$30="Leve"),CONCATENATE("R2C",'Mapa final'!$R$30),"")</f>
        <v/>
      </c>
      <c r="P14" s="40" t="str">
        <f>IF(AND('Mapa final'!$AH$31="Muy Alta",'Mapa final'!$AJ$31="Leve"),CONCATENATE("R2C",'Mapa final'!$R$31),"")</f>
        <v/>
      </c>
      <c r="Q14" s="39" t="str">
        <f>IF(AND('Mapa final'!$AH$26="Muy Alta",'Mapa final'!$AJ$26="Menor"),CONCATENATE("R2C",'Mapa final'!$R$26),"")</f>
        <v/>
      </c>
      <c r="R14" s="39" t="str">
        <f>IF(AND('Mapa final'!$AH$27="Muy Alta",'Mapa final'!$AJ$27="Menor"),CONCATENATE("R2C",'Mapa final'!$R$27),"")</f>
        <v/>
      </c>
      <c r="S14" s="39" t="str">
        <f>IF(AND('Mapa final'!$AH$28="Muy Alta",'Mapa final'!$AJ$28="Menor"),CONCATENATE("R2C",'Mapa final'!$R$28),"")</f>
        <v/>
      </c>
      <c r="T14" s="39" t="str">
        <f>IF(AND('Mapa final'!$AH$29="Muy Alta",'Mapa final'!$AJ$29="Menor"),CONCATENATE("R2C",'Mapa final'!$R$29),"")</f>
        <v/>
      </c>
      <c r="U14" s="39" t="str">
        <f>IF(AND('Mapa final'!$AH$30="Muy Alta",'Mapa final'!$AJ$30="Menor"),CONCATENATE("R2C",'Mapa final'!$R$30),"")</f>
        <v/>
      </c>
      <c r="V14" s="40" t="str">
        <f>IF(AND('Mapa final'!$AH$31="Muy Alta",'Mapa final'!$AJ$31="Menor"),CONCATENATE("R2C",'Mapa final'!$R$31),"")</f>
        <v/>
      </c>
      <c r="W14" s="38" t="str">
        <f>IF(AND('Mapa final'!$AH$26="Muy Alta",'Mapa final'!$AJ$26="Moderado"),CONCATENATE("R2C",'Mapa final'!$R$26),"")</f>
        <v/>
      </c>
      <c r="X14" s="39" t="str">
        <f>IF(AND('Mapa final'!$AH$27="Muy Alta",'Mapa final'!$AJ$27="Moderado"),CONCATENATE("R2C",'Mapa final'!$R$27),"")</f>
        <v/>
      </c>
      <c r="Y14" s="39" t="str">
        <f>IF(AND('Mapa final'!$AH$28="Muy Alta",'Mapa final'!$AJ$28="Moderado"),CONCATENATE("R2C",'Mapa final'!$R$28),"")</f>
        <v/>
      </c>
      <c r="Z14" s="39" t="str">
        <f>IF(AND('Mapa final'!$AH$29="Muy Alta",'Mapa final'!$AJ$29="Moderado"),CONCATENATE("R2C",'Mapa final'!$R$29),"")</f>
        <v/>
      </c>
      <c r="AA14" s="39" t="str">
        <f>IF(AND('Mapa final'!$AH$30="Muy Alta",'Mapa final'!$AJ$30="Moderado"),CONCATENATE("R2C",'Mapa final'!$R$30),"")</f>
        <v/>
      </c>
      <c r="AB14" s="40" t="str">
        <f>IF(AND('Mapa final'!$AH$31="Muy Alta",'Mapa final'!$AJ$31="Moderado"),CONCATENATE("R2C",'Mapa final'!$R$31),"")</f>
        <v/>
      </c>
      <c r="AC14" s="38" t="str">
        <f>IF(AND('Mapa final'!$AH$26="Muy Alta",'Mapa final'!$AJ$26="Mayor"),CONCATENATE("R2C",'Mapa final'!$R$26),"")</f>
        <v/>
      </c>
      <c r="AD14" s="39" t="str">
        <f>IF(AND('Mapa final'!$AH$27="Muy Alta",'Mapa final'!$AJ$27="Mayor"),CONCATENATE("R2C",'Mapa final'!$R$27),"")</f>
        <v/>
      </c>
      <c r="AE14" s="39" t="str">
        <f>IF(AND('Mapa final'!$AH$28="Muy Alta",'Mapa final'!$AJ$28="Mayor"),CONCATENATE("R2C",'Mapa final'!$R$28),"")</f>
        <v/>
      </c>
      <c r="AF14" s="39" t="str">
        <f>IF(AND('Mapa final'!$AH$29="Muy Alta",'Mapa final'!$AJ$29="Mayor"),CONCATENATE("R2C",'Mapa final'!$R$29),"")</f>
        <v/>
      </c>
      <c r="AG14" s="39" t="str">
        <f>IF(AND('Mapa final'!$AH$30="Muy Alta",'Mapa final'!$AJ$30="Mayor"),CONCATENATE("R2C",'Mapa final'!$R$30),"")</f>
        <v/>
      </c>
      <c r="AH14" s="40" t="str">
        <f>IF(AND('Mapa final'!$AH$31="Muy Alta",'Mapa final'!$AJ$31="Mayor"),CONCATENATE("R2C",'Mapa final'!$R$31),"")</f>
        <v/>
      </c>
      <c r="AI14" s="41" t="str">
        <f>IF(AND('Mapa final'!$AH$26="Muy Alta",'Mapa final'!$AJ$26="Catastrófico"),CONCATENATE("R2C",'Mapa final'!$R$26),"")</f>
        <v/>
      </c>
      <c r="AJ14" s="42" t="str">
        <f>IF(AND('Mapa final'!$AH$27="Muy Alta",'Mapa final'!$AJ$27="Catastrófico"),CONCATENATE("R2C",'Mapa final'!$R$27),"")</f>
        <v/>
      </c>
      <c r="AK14" s="42" t="str">
        <f>IF(AND('Mapa final'!$AH$28="Muy Alta",'Mapa final'!$AJ$28="Catastrófico"),CONCATENATE("R2C",'Mapa final'!$R$28),"")</f>
        <v/>
      </c>
      <c r="AL14" s="42" t="str">
        <f>IF(AND('Mapa final'!$AH$29="Muy Alta",'Mapa final'!$AJ$29="Catastrófico"),CONCATENATE("R2C",'Mapa final'!$R$29),"")</f>
        <v/>
      </c>
      <c r="AM14" s="42" t="str">
        <f>IF(AND('Mapa final'!$AH$30="Muy Alta",'Mapa final'!$AJ$30="Catastrófico"),CONCATENATE("R2C",'Mapa final'!$R$30),"")</f>
        <v/>
      </c>
      <c r="AN14" s="43" t="str">
        <f>IF(AND('Mapa final'!$AH$31="Muy Alta",'Mapa final'!$AJ$31="Catastrófico"),CONCATENATE("R2C",'Mapa final'!$R$31),"")</f>
        <v/>
      </c>
      <c r="AO14" s="68"/>
      <c r="AP14" s="524"/>
      <c r="AQ14" s="525"/>
      <c r="AR14" s="525"/>
      <c r="AS14" s="525"/>
      <c r="AT14" s="525"/>
      <c r="AU14" s="526"/>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row>
    <row r="15" spans="1:92" ht="15" customHeight="1">
      <c r="B15" s="68"/>
      <c r="C15" s="461"/>
      <c r="D15" s="461"/>
      <c r="E15" s="462"/>
      <c r="F15" s="504"/>
      <c r="G15" s="505"/>
      <c r="H15" s="505"/>
      <c r="I15" s="505"/>
      <c r="J15" s="505"/>
      <c r="K15" s="38" t="str">
        <f>IF(AND('Mapa final'!$AH$32="Muy Alta",'Mapa final'!$AJ$32="Leve"),CONCATENATE("R2C",'Mapa final'!$R$32),"")</f>
        <v/>
      </c>
      <c r="L15" s="39" t="str">
        <f>IF(AND('Mapa final'!$AH$33="Muy Alta",'Mapa final'!$AJ$33="Leve"),CONCATENATE("R2C",'Mapa final'!$R$33),"")</f>
        <v/>
      </c>
      <c r="M15" s="39" t="str">
        <f>IF(AND('Mapa final'!$AH$34="Muy Alta",'Mapa final'!$AJ$34="Leve"),CONCATENATE("R2C",'Mapa final'!$R$34),"")</f>
        <v/>
      </c>
      <c r="N15" s="39" t="str">
        <f>IF(AND('Mapa final'!$AH$35="Muy Alta",'Mapa final'!$AJ$35="Leve"),CONCATENATE("R2C",'Mapa final'!$R$35),"")</f>
        <v/>
      </c>
      <c r="O15" s="39" t="str">
        <f>IF(AND('Mapa final'!$AH$36="Muy Alta",'Mapa final'!$AJ$36="Leve"),CONCATENATE("R2C",'Mapa final'!$R$36),"")</f>
        <v/>
      </c>
      <c r="P15" s="40" t="str">
        <f>IF(AND('Mapa final'!$AH$37="Muy Alta",'Mapa final'!$AJ$37="Leve"),CONCATENATE("R2C",'Mapa final'!$R$37),"")</f>
        <v/>
      </c>
      <c r="Q15" s="39" t="str">
        <f>IF(AND('Mapa final'!$AH$32="Muy Alta",'Mapa final'!$AJ$32="Menor"),CONCATENATE("R2C",'Mapa final'!$R$32),"")</f>
        <v/>
      </c>
      <c r="R15" s="39" t="str">
        <f>IF(AND('Mapa final'!$AH$33="Muy Alta",'Mapa final'!$AJ$33="Menor"),CONCATENATE("R2C",'Mapa final'!$R$33),"")</f>
        <v/>
      </c>
      <c r="S15" s="39" t="str">
        <f>IF(AND('Mapa final'!$AH$34="Muy Alta",'Mapa final'!$AJ$34="Menor"),CONCATENATE("R2C",'Mapa final'!$R$34),"")</f>
        <v/>
      </c>
      <c r="T15" s="39" t="str">
        <f>IF(AND('Mapa final'!$AH$35="Muy Alta",'Mapa final'!$AJ$35="Menor"),CONCATENATE("R2C",'Mapa final'!$R$35),"")</f>
        <v/>
      </c>
      <c r="U15" s="39" t="str">
        <f>IF(AND('Mapa final'!$AH$36="Muy Alta",'Mapa final'!$AJ$36="LMenor"),CONCATENATE("R2C",'Mapa final'!$R$36),"")</f>
        <v/>
      </c>
      <c r="V15" s="40" t="str">
        <f>IF(AND('Mapa final'!$AH$37="Muy Alta",'Mapa final'!$AJ$37="Menor"),CONCATENATE("R2C",'Mapa final'!$R$37),"")</f>
        <v/>
      </c>
      <c r="W15" s="38" t="str">
        <f>IF(AND('Mapa final'!$AH$32="Muy Alta",'Mapa final'!$AJ$32="Moderado"),CONCATENATE("R2C",'Mapa final'!$R$32),"")</f>
        <v/>
      </c>
      <c r="X15" s="39" t="str">
        <f>IF(AND('Mapa final'!$AH$33="Muy Alta",'Mapa final'!$AJ$33="Moderado"),CONCATENATE("R2C",'Mapa final'!$R$33),"")</f>
        <v/>
      </c>
      <c r="Y15" s="39" t="str">
        <f>IF(AND('Mapa final'!$AH$34="Muy Alta",'Mapa final'!$AJ$34="Moderado"),CONCATENATE("R2C",'Mapa final'!$R$34),"")</f>
        <v/>
      </c>
      <c r="Z15" s="39" t="str">
        <f>IF(AND('Mapa final'!$AH$35="Muy Alta",'Mapa final'!$AJ$35="Moderado"),CONCATENATE("R2C",'Mapa final'!$R$35),"")</f>
        <v/>
      </c>
      <c r="AA15" s="39" t="str">
        <f>IF(AND('Mapa final'!$AH$36="Muy Alta",'Mapa final'!$AJ$36="Moderado"),CONCATENATE("R2C",'Mapa final'!$R$36),"")</f>
        <v/>
      </c>
      <c r="AB15" s="40" t="str">
        <f>IF(AND('Mapa final'!$AH$37="Muy Alta",'Mapa final'!$AJ$37="Moderado"),CONCATENATE("R2C",'Mapa final'!$R$37),"")</f>
        <v/>
      </c>
      <c r="AC15" s="38" t="str">
        <f>IF(AND('Mapa final'!$AH$32="Muy Alta",'Mapa final'!$AJ$32="Mayor"),CONCATENATE("R2C",'Mapa final'!$R$32),"")</f>
        <v/>
      </c>
      <c r="AD15" s="39" t="str">
        <f>IF(AND('Mapa final'!$AH$33="Muy Alta",'Mapa final'!$AJ$33="Mayor"),CONCATENATE("R2C",'Mapa final'!$R$33),"")</f>
        <v/>
      </c>
      <c r="AE15" s="39" t="str">
        <f>IF(AND('Mapa final'!$AH$34="Muy Alta",'Mapa final'!$AJ$34="Mayor"),CONCATENATE("R2C",'Mapa final'!$R$34),"")</f>
        <v/>
      </c>
      <c r="AF15" s="39" t="str">
        <f>IF(AND('Mapa final'!$AH$35="Muy Alta",'Mapa final'!$AJ$35="Mayor"),CONCATENATE("R2C",'Mapa final'!$R$35),"")</f>
        <v/>
      </c>
      <c r="AG15" s="39" t="str">
        <f>IF(AND('Mapa final'!$AH$36="Muy Alta",'Mapa final'!$AJ$36="Mayor"),CONCATENATE("R2C",'Mapa final'!$R$36),"")</f>
        <v/>
      </c>
      <c r="AH15" s="40" t="str">
        <f>IF(AND('Mapa final'!$AH$37="Muy Alta",'Mapa final'!$AJ$37="Mayor"),CONCATENATE("R2C",'Mapa final'!$R$37),"")</f>
        <v/>
      </c>
      <c r="AI15" s="41" t="str">
        <f>IF(AND('Mapa final'!$AH$32="Muy Alta",'Mapa final'!$AJ$32="Catastrófico"),CONCATENATE("R2C",'Mapa final'!$R$32),"")</f>
        <v/>
      </c>
      <c r="AJ15" s="42" t="str">
        <f>IF(AND('Mapa final'!$AH$33="Muy Alta",'Mapa final'!$AJ$33="Catastrófico"),CONCATENATE("R2C",'Mapa final'!$R$33),"")</f>
        <v/>
      </c>
      <c r="AK15" s="42" t="str">
        <f>IF(AND('Mapa final'!$AH$34="Muy Alta",'Mapa final'!$AJ$34="Catastrófico"),CONCATENATE("R2C",'Mapa final'!$R$34),"")</f>
        <v/>
      </c>
      <c r="AL15" s="42" t="str">
        <f>IF(AND('Mapa final'!$AH$35="Muy Alta",'Mapa final'!$AJ$35="Catastrófico"),CONCATENATE("R2C",'Mapa final'!$R$35),"")</f>
        <v/>
      </c>
      <c r="AM15" s="42" t="str">
        <f>IF(AND('Mapa final'!$AH$36="Muy Alta",'Mapa final'!$AJ$36="LCatastrófico"),CONCATENATE("R2C",'Mapa final'!$R$36),"")</f>
        <v/>
      </c>
      <c r="AN15" s="43" t="str">
        <f>IF(AND('Mapa final'!$AH$37="Muy Alta",'Mapa final'!$AJ$37="Catastrófico"),CONCATENATE("R2C",'Mapa final'!$R$37),"")</f>
        <v/>
      </c>
      <c r="AO15" s="68"/>
      <c r="AP15" s="524"/>
      <c r="AQ15" s="525"/>
      <c r="AR15" s="525"/>
      <c r="AS15" s="525"/>
      <c r="AT15" s="525"/>
      <c r="AU15" s="526"/>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row>
    <row r="16" spans="1:92" ht="15" customHeight="1">
      <c r="B16" s="68"/>
      <c r="C16" s="461"/>
      <c r="D16" s="461"/>
      <c r="E16" s="462"/>
      <c r="F16" s="504"/>
      <c r="G16" s="505"/>
      <c r="H16" s="505"/>
      <c r="I16" s="505"/>
      <c r="J16" s="505"/>
      <c r="K16" s="38" t="str">
        <f>IF(AND('Mapa final'!$AH$38="Muy Alta",'Mapa final'!$AJ$38="Leve"),CONCATENATE("R2C",'Mapa final'!$R$38),"")</f>
        <v/>
      </c>
      <c r="L16" s="39" t="str">
        <f>IF(AND('Mapa final'!$AH$39="Muy Alta",'Mapa final'!$AJ$39="Leve"),CONCATENATE("R2C",'Mapa final'!$R$39),"")</f>
        <v/>
      </c>
      <c r="M16" s="39" t="str">
        <f>IF(AND('Mapa final'!$AH$40="Muy Alta",'Mapa final'!$AJ$40="Leve"),CONCATENATE("R2C",'Mapa final'!$R$40),"")</f>
        <v/>
      </c>
      <c r="N16" s="39" t="str">
        <f>IF(AND('Mapa final'!$AH$41="Muy Alta",'Mapa final'!$AJ$41="Leve"),CONCATENATE("R2C",'Mapa final'!$R$41),"")</f>
        <v/>
      </c>
      <c r="O16" s="39" t="str">
        <f>IF(AND('Mapa final'!$AH$42="Muy Alta",'Mapa final'!$AJ$42="Leve"),CONCATENATE("R2C",'Mapa final'!$R$42),"")</f>
        <v/>
      </c>
      <c r="P16" s="40" t="str">
        <f>IF(AND('Mapa final'!$AH$43="Muy Alta",'Mapa final'!$AJ$43="Leve"),CONCATENATE("R2C",'Mapa final'!$R$43),"")</f>
        <v/>
      </c>
      <c r="Q16" s="39" t="str">
        <f>IF(AND('Mapa final'!$AH$38="Muy Alta",'Mapa final'!$AJ$38="Menor"),CONCATENATE("R2C",'Mapa final'!$R$38),"")</f>
        <v/>
      </c>
      <c r="R16" s="39" t="str">
        <f>IF(AND('Mapa final'!$AH$39="Muy Alta",'Mapa final'!$AJ$39="Menor"),CONCATENATE("R2C",'Mapa final'!$R$39),"")</f>
        <v/>
      </c>
      <c r="S16" s="39" t="str">
        <f>IF(AND('Mapa final'!$AH$40="Muy Alta",'Mapa final'!$AJ$40="Menor"),CONCATENATE("R2C",'Mapa final'!$R$40),"")</f>
        <v/>
      </c>
      <c r="T16" s="39" t="str">
        <f>IF(AND('Mapa final'!$AH$41="Muy Alta",'Mapa final'!$AJ$41="Menor"),CONCATENATE("R2C",'Mapa final'!$R$41),"")</f>
        <v/>
      </c>
      <c r="U16" s="39" t="str">
        <f>IF(AND('Mapa final'!$AH$42="Muy Alta",'Mapa final'!$AJ$42="Menor"),CONCATENATE("R2C",'Mapa final'!$R$42),"")</f>
        <v/>
      </c>
      <c r="V16" s="40" t="str">
        <f>IF(AND('Mapa final'!$AH$43="Muy Alta",'Mapa final'!$AJ$43="Menor"),CONCATENATE("R2C",'Mapa final'!$R$43),"")</f>
        <v/>
      </c>
      <c r="W16" s="38" t="str">
        <f>IF(AND('Mapa final'!$AH$38="Muy Alta",'Mapa final'!$AJ$38="Moderado"),CONCATENATE("R2C",'Mapa final'!$R$38),"")</f>
        <v/>
      </c>
      <c r="X16" s="39" t="str">
        <f>IF(AND('Mapa final'!$AH$39="Muy Alta",'Mapa final'!$AJ$39="Moderado"),CONCATENATE("R2C",'Mapa final'!$R$39),"")</f>
        <v/>
      </c>
      <c r="Y16" s="39" t="str">
        <f>IF(AND('Mapa final'!$AH$40="Muy Alta",'Mapa final'!$AJ$40="Moderado"),CONCATENATE("R2C",'Mapa final'!$R$40),"")</f>
        <v/>
      </c>
      <c r="Z16" s="39" t="str">
        <f>IF(AND('Mapa final'!$AH$41="Muy Alta",'Mapa final'!$AJ$41="Moderado"),CONCATENATE("R2C",'Mapa final'!$R$41),"")</f>
        <v/>
      </c>
      <c r="AA16" s="39" t="str">
        <f>IF(AND('Mapa final'!$AH$42="Muy Alta",'Mapa final'!$AJ$42="Moderado"),CONCATENATE("R2C",'Mapa final'!$R$42),"")</f>
        <v/>
      </c>
      <c r="AB16" s="40" t="str">
        <f>IF(AND('Mapa final'!$AH$43="Muy Alta",'Mapa final'!$AJ$43="Moderado"),CONCATENATE("R2C",'Mapa final'!$R$43),"")</f>
        <v/>
      </c>
      <c r="AC16" s="38" t="str">
        <f>IF(AND('Mapa final'!$AH$38="Muy Alta",'Mapa final'!$AJ$38="Mayor"),CONCATENATE("R2C",'Mapa final'!$R$38),"")</f>
        <v/>
      </c>
      <c r="AD16" s="39" t="str">
        <f>IF(AND('Mapa final'!$AH$39="Muy Alta",'Mapa final'!$AJ$39="Mayor"),CONCATENATE("R2C",'Mapa final'!$R$39),"")</f>
        <v/>
      </c>
      <c r="AE16" s="39" t="str">
        <f>IF(AND('Mapa final'!$AH$40="Muy Alta",'Mapa final'!$AJ$40="Mayor"),CONCATENATE("R2C",'Mapa final'!$R$40),"")</f>
        <v/>
      </c>
      <c r="AF16" s="39" t="str">
        <f>IF(AND('Mapa final'!$AH$41="Muy Alta",'Mapa final'!$AJ$41="Mayor"),CONCATENATE("R2C",'Mapa final'!$R$41),"")</f>
        <v/>
      </c>
      <c r="AG16" s="39" t="str">
        <f>IF(AND('Mapa final'!$AH$42="Muy Alta",'Mapa final'!$AJ$42="Mayor"),CONCATENATE("R2C",'Mapa final'!$R$42),"")</f>
        <v/>
      </c>
      <c r="AH16" s="40" t="str">
        <f>IF(AND('Mapa final'!$AH$43="Muy Alta",'Mapa final'!$AJ$43="Mayor"),CONCATENATE("R2C",'Mapa final'!$R$43),"")</f>
        <v/>
      </c>
      <c r="AI16" s="41" t="str">
        <f>IF(AND('Mapa final'!$AH$38="Muy Alta",'Mapa final'!$AJ$38="Catastrófico"),CONCATENATE("R2C",'Mapa final'!$R$38),"")</f>
        <v/>
      </c>
      <c r="AJ16" s="42" t="str">
        <f>IF(AND('Mapa final'!$AH$39="Muy Alta",'Mapa final'!$AJ$39="Catastrófico"),CONCATENATE("R2C",'Mapa final'!$R$39),"")</f>
        <v/>
      </c>
      <c r="AK16" s="42" t="str">
        <f>IF(AND('Mapa final'!$AH$40="Muy Alta",'Mapa final'!$AJ$40="Catastrófico"),CONCATENATE("R2C",'Mapa final'!$R$40),"")</f>
        <v/>
      </c>
      <c r="AL16" s="42" t="str">
        <f>IF(AND('Mapa final'!$AH$41="Muy Alta",'Mapa final'!$AJ$41="Catastrófico"),CONCATENATE("R2C",'Mapa final'!$R$41),"")</f>
        <v/>
      </c>
      <c r="AM16" s="42" t="str">
        <f>IF(AND('Mapa final'!$AH$42="Muy Alta",'Mapa final'!$AJ$42="Catastrófico"),CONCATENATE("R2C",'Mapa final'!$R$42),"")</f>
        <v/>
      </c>
      <c r="AN16" s="43" t="str">
        <f>IF(AND('Mapa final'!$AH$43="Muy Alta",'Mapa final'!$AJ$43="Catastrófico"),CONCATENATE("R2C",'Mapa final'!$R$43),"")</f>
        <v/>
      </c>
      <c r="AO16" s="68"/>
      <c r="AP16" s="524"/>
      <c r="AQ16" s="525"/>
      <c r="AR16" s="525"/>
      <c r="AS16" s="525"/>
      <c r="AT16" s="525"/>
      <c r="AU16" s="526"/>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row>
    <row r="17" spans="2:77" ht="15" customHeight="1">
      <c r="B17" s="68"/>
      <c r="C17" s="461"/>
      <c r="D17" s="461"/>
      <c r="E17" s="462"/>
      <c r="F17" s="504"/>
      <c r="G17" s="505"/>
      <c r="H17" s="505"/>
      <c r="I17" s="505"/>
      <c r="J17" s="505"/>
      <c r="K17" s="38" t="str">
        <f>IF(AND('Mapa final'!$AH$44="Muy Alta",'Mapa final'!$AJ$44="Leve"),CONCATENATE("R2C",'Mapa final'!$R$44),"")</f>
        <v/>
      </c>
      <c r="L17" s="39" t="str">
        <f>IF(AND('Mapa final'!$AH$45="Muy Alta",'Mapa final'!$AJ$45="Leve"),CONCATENATE("R2C",'Mapa final'!$R$45),"")</f>
        <v/>
      </c>
      <c r="M17" s="39" t="str">
        <f>IF(AND('Mapa final'!$AH$46="Muy Alta",'Mapa final'!$AJ$46="Leve"),CONCATENATE("R2C",'Mapa final'!$R$46),"")</f>
        <v/>
      </c>
      <c r="N17" s="39" t="str">
        <f>IF(AND('Mapa final'!$AH$47="Muy Alta",'Mapa final'!$AJ$47="Leve"),CONCATENATE("R2C",'Mapa final'!$R$47),"")</f>
        <v/>
      </c>
      <c r="O17" s="39" t="str">
        <f>IF(AND('Mapa final'!$AH$48="Muy Alta",'Mapa final'!$AJ$48="Leve"),CONCATENATE("R2C",'Mapa final'!$R$48),"")</f>
        <v/>
      </c>
      <c r="P17" s="40" t="str">
        <f>IF(AND('Mapa final'!$AH$59="Muy Alta",'Mapa final'!$AJ$49="Leve"),CONCATENATE("R2C",'Mapa final'!$R$49),"")</f>
        <v/>
      </c>
      <c r="Q17" s="39" t="str">
        <f>IF(AND('Mapa final'!$AH$44="Muy Alta",'Mapa final'!$AJ$44="Menor"),CONCATENATE("R2C",'Mapa final'!$R$44),"")</f>
        <v/>
      </c>
      <c r="R17" s="39" t="str">
        <f>IF(AND('Mapa final'!$AH$45="Muy Alta",'Mapa final'!$AJ$45="Menor"),CONCATENATE("R2C",'Mapa final'!$R$45),"")</f>
        <v/>
      </c>
      <c r="S17" s="39" t="str">
        <f>IF(AND('Mapa final'!$AH$46="Muy Alta",'Mapa final'!$AJ$46="Menor"),CONCATENATE("R2C",'Mapa final'!$R$46),"")</f>
        <v/>
      </c>
      <c r="T17" s="39" t="str">
        <f>IF(AND('Mapa final'!$AH$47="Muy Alta",'Mapa final'!$AJ$47="Menor"),CONCATENATE("R2C",'Mapa final'!$R$47),"")</f>
        <v/>
      </c>
      <c r="U17" s="39" t="str">
        <f>IF(AND('Mapa final'!$AH$48="Muy Alta",'Mapa final'!$AJ$48="Menor"),CONCATENATE("R2C",'Mapa final'!$R$48),"")</f>
        <v/>
      </c>
      <c r="V17" s="40" t="str">
        <f>IF(AND('Mapa final'!$AH$59="Muy Alta",'Mapa final'!$AJ$49="Menor"),CONCATENATE("R2C",'Mapa final'!$R$49),"")</f>
        <v/>
      </c>
      <c r="W17" s="38" t="str">
        <f>IF(AND('Mapa final'!$AH$44="Muy Alta",'Mapa final'!$AJ$44="Moderado"),CONCATENATE("R2C",'Mapa final'!$R$44),"")</f>
        <v/>
      </c>
      <c r="X17" s="39" t="str">
        <f>IF(AND('Mapa final'!$AH$45="Muy Alta",'Mapa final'!$AJ$45="Moderado"),CONCATENATE("R2C",'Mapa final'!$R$45),"")</f>
        <v/>
      </c>
      <c r="Y17" s="39" t="str">
        <f>IF(AND('Mapa final'!$AH$46="Muy Alta",'Mapa final'!$AJ$46="Moderado"),CONCATENATE("R2C",'Mapa final'!$R$46),"")</f>
        <v/>
      </c>
      <c r="Z17" s="39" t="str">
        <f>IF(AND('Mapa final'!$AH$47="Muy Alta",'Mapa final'!$AJ$47="Moderado"),CONCATENATE("R2C",'Mapa final'!$R$47),"")</f>
        <v/>
      </c>
      <c r="AA17" s="39" t="str">
        <f>IF(AND('Mapa final'!$AH$48="Muy Alta",'Mapa final'!$AJ$48="Moderado"),CONCATENATE("R2C",'Mapa final'!$R$48),"")</f>
        <v/>
      </c>
      <c r="AB17" s="40" t="str">
        <f>IF(AND('Mapa final'!$AH$59="Muy Alta",'Mapa final'!$AJ$49="Moderado"),CONCATENATE("R2C",'Mapa final'!$R$49),"")</f>
        <v/>
      </c>
      <c r="AC17" s="38" t="str">
        <f>IF(AND('Mapa final'!$AH$44="Muy Alta",'Mapa final'!$AJ$44="Mayor"),CONCATENATE("R2C",'Mapa final'!$R$44),"")</f>
        <v/>
      </c>
      <c r="AD17" s="39" t="str">
        <f>IF(AND('Mapa final'!$AH$45="Muy Alta",'Mapa final'!$AJ$45="Mayor"),CONCATENATE("R2C",'Mapa final'!$R$45),"")</f>
        <v/>
      </c>
      <c r="AE17" s="39" t="str">
        <f>IF(AND('Mapa final'!$AH$46="Muy Alta",'Mapa final'!$AJ$46="Mayor"),CONCATENATE("R2C",'Mapa final'!$R$46),"")</f>
        <v/>
      </c>
      <c r="AF17" s="39" t="str">
        <f>IF(AND('Mapa final'!$AH$47="Muy Alta",'Mapa final'!$AJ$47="Mayor"),CONCATENATE("R2C",'Mapa final'!$R$47),"")</f>
        <v/>
      </c>
      <c r="AG17" s="39" t="str">
        <f>IF(AND('Mapa final'!$AH$48="Muy Alta",'Mapa final'!$AJ$48="Mayor"),CONCATENATE("R2C",'Mapa final'!$R$48),"")</f>
        <v/>
      </c>
      <c r="AH17" s="40" t="str">
        <f>IF(AND('Mapa final'!$AH$59="Muy Alta",'Mapa final'!$AJ$49="Mayor"),CONCATENATE("R2C",'Mapa final'!$R$49),"")</f>
        <v/>
      </c>
      <c r="AI17" s="41" t="str">
        <f>IF(AND('Mapa final'!$AH$44="Muy Alta",'Mapa final'!$AJ$44="Catastrófico"),CONCATENATE("R2C",'Mapa final'!$R$44),"")</f>
        <v/>
      </c>
      <c r="AJ17" s="42" t="str">
        <f>IF(AND('Mapa final'!$AH$45="Muy Alta",'Mapa final'!$AJ$45="Catastrófico"),CONCATENATE("R2C",'Mapa final'!$R$45),"")</f>
        <v/>
      </c>
      <c r="AK17" s="42" t="str">
        <f>IF(AND('Mapa final'!$AH$46="Muy Alta",'Mapa final'!$AJ$46="Catastrófico"),CONCATENATE("R2C",'Mapa final'!$R$46),"")</f>
        <v/>
      </c>
      <c r="AL17" s="42" t="str">
        <f>IF(AND('Mapa final'!$AH$47="Muy Alta",'Mapa final'!$AJ$47="Catastrófico"),CONCATENATE("R2C",'Mapa final'!$R$47),"")</f>
        <v/>
      </c>
      <c r="AM17" s="42" t="str">
        <f>IF(AND('Mapa final'!$AH$48="Muy Alta",'Mapa final'!$AJ$48="Catastrófico"),CONCATENATE("R2C",'Mapa final'!$R$48),"")</f>
        <v/>
      </c>
      <c r="AN17" s="43" t="str">
        <f>IF(AND('Mapa final'!$AH$59="Muy Alta",'Mapa final'!$AJ$49="Catastrófico"),CONCATENATE("R2C",'Mapa final'!$R$49),"")</f>
        <v/>
      </c>
      <c r="AO17" s="68"/>
      <c r="AP17" s="524"/>
      <c r="AQ17" s="525"/>
      <c r="AR17" s="525"/>
      <c r="AS17" s="525"/>
      <c r="AT17" s="525"/>
      <c r="AU17" s="526"/>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row>
    <row r="18" spans="2:77" ht="15" customHeight="1">
      <c r="B18" s="68"/>
      <c r="C18" s="461"/>
      <c r="D18" s="461"/>
      <c r="E18" s="462"/>
      <c r="F18" s="504"/>
      <c r="G18" s="505"/>
      <c r="H18" s="505"/>
      <c r="I18" s="505"/>
      <c r="J18" s="505"/>
      <c r="K18" s="38" t="str">
        <f>IF(AND('Mapa final'!$AH$50="Muy Alta",'Mapa final'!$AJ$50="Leve"),CONCATENATE("R2C",'Mapa final'!$R$50),"")</f>
        <v/>
      </c>
      <c r="L18" s="39" t="str">
        <f>IF(AND('Mapa final'!$AH$51="Muy Alta",'Mapa final'!$AJ$51="Leve"),CONCATENATE("R2C",'Mapa final'!$R$51),"")</f>
        <v/>
      </c>
      <c r="M18" s="39" t="str">
        <f>IF(AND('Mapa final'!$AH$52="Muy Alta",'Mapa final'!$AJ$52="Leve"),CONCATENATE("R2C",'Mapa final'!$R$52),"")</f>
        <v/>
      </c>
      <c r="N18" s="39" t="str">
        <f>IF(AND('Mapa final'!$AH$53="Muy Alta",'Mapa final'!$AJ$53="Leve"),CONCATENATE("R2C",'Mapa final'!$R$53),"")</f>
        <v/>
      </c>
      <c r="O18" s="39" t="str">
        <f>IF(AND('Mapa final'!$AH$54="Muy Alta",'Mapa final'!$AJ$54="Leve"),CONCATENATE("R2C",'Mapa final'!$R$54),"")</f>
        <v/>
      </c>
      <c r="P18" s="40" t="str">
        <f>IF(AND('Mapa final'!$AH$55="Muy Alta",'Mapa final'!$AJ$55="Leve"),CONCATENATE("R2C",'Mapa final'!$R$55),"")</f>
        <v/>
      </c>
      <c r="Q18" s="39" t="str">
        <f>IF(AND('Mapa final'!$AH$50="Muy Alta",'Mapa final'!$AJ$50="Menor"),CONCATENATE("R2C",'Mapa final'!$R$50),"")</f>
        <v/>
      </c>
      <c r="R18" s="39" t="str">
        <f>IF(AND('Mapa final'!$AH$51="Muy Alta",'Mapa final'!$AJ$51="Menor"),CONCATENATE("R2C",'Mapa final'!$R$51),"")</f>
        <v/>
      </c>
      <c r="S18" s="39" t="str">
        <f>IF(AND('Mapa final'!$AH$52="Muy Alta",'Mapa final'!$AJ$52="Menor"),CONCATENATE("R2C",'Mapa final'!$R$52),"")</f>
        <v/>
      </c>
      <c r="T18" s="39" t="str">
        <f>IF(AND('Mapa final'!$AH$53="Muy Alta",'Mapa final'!$AJ$53="Menor"),CONCATENATE("R2C",'Mapa final'!$R$53),"")</f>
        <v/>
      </c>
      <c r="U18" s="39" t="str">
        <f>IF(AND('Mapa final'!$AH$54="Muy Alta",'Mapa final'!$AJ$54="Menor"),CONCATENATE("R2C",'Mapa final'!$R$54),"")</f>
        <v/>
      </c>
      <c r="V18" s="40" t="str">
        <f>IF(AND('Mapa final'!$AH$55="Muy Alta",'Mapa final'!$AJ$55="Menor"),CONCATENATE("R2C",'Mapa final'!$R$55),"")</f>
        <v/>
      </c>
      <c r="W18" s="38" t="str">
        <f>IF(AND('Mapa final'!$AH$50="Muy Alta",'Mapa final'!$AJ$50="Moderado"),CONCATENATE("R2C",'Mapa final'!$R$50),"")</f>
        <v/>
      </c>
      <c r="X18" s="39" t="str">
        <f>IF(AND('Mapa final'!$AH$51="Muy Alta",'Mapa final'!$AJ$51="Moderado"),CONCATENATE("R2C",'Mapa final'!$R$51),"")</f>
        <v/>
      </c>
      <c r="Y18" s="39" t="str">
        <f>IF(AND('Mapa final'!$AH$52="Muy Alta",'Mapa final'!$AJ$52="Moderado"),CONCATENATE("R2C",'Mapa final'!$R$52),"")</f>
        <v/>
      </c>
      <c r="Z18" s="39" t="str">
        <f>IF(AND('Mapa final'!$AH$53="Muy Alta",'Mapa final'!$AJ$53="Moderado"),CONCATENATE("R2C",'Mapa final'!$R$53),"")</f>
        <v/>
      </c>
      <c r="AA18" s="39" t="str">
        <f>IF(AND('Mapa final'!$AH$54="Muy Alta",'Mapa final'!$AJ$54="Moderado"),CONCATENATE("R2C",'Mapa final'!$R$54),"")</f>
        <v/>
      </c>
      <c r="AB18" s="40" t="str">
        <f>IF(AND('Mapa final'!$AH$55="Muy Alta",'Mapa final'!$AJ$55="Moderado"),CONCATENATE("R2C",'Mapa final'!$R$55),"")</f>
        <v/>
      </c>
      <c r="AC18" s="38" t="str">
        <f>IF(AND('Mapa final'!$AH$50="Muy Alta",'Mapa final'!$AJ$50="Mayor"),CONCATENATE("R2C",'Mapa final'!$R$50),"")</f>
        <v/>
      </c>
      <c r="AD18" s="39" t="str">
        <f>IF(AND('Mapa final'!$AH$51="Muy Alta",'Mapa final'!$AJ$51="Mayor"),CONCATENATE("R2C",'Mapa final'!$R$51),"")</f>
        <v/>
      </c>
      <c r="AE18" s="39" t="str">
        <f>IF(AND('Mapa final'!$AH$52="Muy Alta",'Mapa final'!$AJ$52="Mayor"),CONCATENATE("R2C",'Mapa final'!$R$52),"")</f>
        <v/>
      </c>
      <c r="AF18" s="39" t="str">
        <f>IF(AND('Mapa final'!$AH$53="Muy Alta",'Mapa final'!$AJ$53="Mayor"),CONCATENATE("R2C",'Mapa final'!$R$53),"")</f>
        <v/>
      </c>
      <c r="AG18" s="39" t="str">
        <f>IF(AND('Mapa final'!$AH$54="Muy Alta",'Mapa final'!$AJ$54="Mayor"),CONCATENATE("R2C",'Mapa final'!$R$54),"")</f>
        <v/>
      </c>
      <c r="AH18" s="40" t="str">
        <f>IF(AND('Mapa final'!$AH$55="Muy Alta",'Mapa final'!$AJ$55="Mayor"),CONCATENATE("R2C",'Mapa final'!$R$55),"")</f>
        <v/>
      </c>
      <c r="AI18" s="41" t="str">
        <f>IF(AND('Mapa final'!$AH$50="Muy Alta",'Mapa final'!$AJ$50="Catastrófico"),CONCATENATE("R2C",'Mapa final'!$R$50),"")</f>
        <v/>
      </c>
      <c r="AJ18" s="42" t="str">
        <f>IF(AND('Mapa final'!$AH$51="Muy Alta",'Mapa final'!$AJ$51="Catastrófico"),CONCATENATE("R2C",'Mapa final'!$R$51),"")</f>
        <v/>
      </c>
      <c r="AK18" s="42" t="str">
        <f>IF(AND('Mapa final'!$AH$52="Muy Alta",'Mapa final'!$AJ$52="Catastrófico"),CONCATENATE("R2C",'Mapa final'!$R$52),"")</f>
        <v/>
      </c>
      <c r="AL18" s="42" t="str">
        <f>IF(AND('Mapa final'!$AH$53="Muy Alta",'Mapa final'!$AJ$53="Catastrófico"),CONCATENATE("R2C",'Mapa final'!$R$53),"")</f>
        <v/>
      </c>
      <c r="AM18" s="42" t="str">
        <f>IF(AND('Mapa final'!$AH$54="Muy Alta",'Mapa final'!$AJ$54="Catastrófico"),CONCATENATE("R2C",'Mapa final'!$R$54),"")</f>
        <v/>
      </c>
      <c r="AN18" s="43" t="str">
        <f>IF(AND('Mapa final'!$AH$55="Muy Alta",'Mapa final'!$AJ$55="Catastrófico"),CONCATENATE("R2C",'Mapa final'!$R$55),"")</f>
        <v/>
      </c>
      <c r="AO18" s="68"/>
      <c r="AP18" s="524"/>
      <c r="AQ18" s="525"/>
      <c r="AR18" s="525"/>
      <c r="AS18" s="525"/>
      <c r="AT18" s="525"/>
      <c r="AU18" s="526"/>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row>
    <row r="19" spans="2:77" ht="15" customHeight="1">
      <c r="B19" s="68"/>
      <c r="C19" s="461"/>
      <c r="D19" s="461"/>
      <c r="E19" s="462"/>
      <c r="F19" s="504"/>
      <c r="G19" s="505"/>
      <c r="H19" s="505"/>
      <c r="I19" s="505"/>
      <c r="J19" s="505"/>
      <c r="K19" s="38" t="str">
        <f>IF(AND('Mapa final'!$AH$56="Muy Alta",'Mapa final'!$AJ$56="Leve"),CONCATENATE("R2C",'Mapa final'!$R$56),"")</f>
        <v/>
      </c>
      <c r="L19" s="39" t="str">
        <f>IF(AND('Mapa final'!$AH$57="Muy Alta",'Mapa final'!$AJ$57="Leve"),CONCATENATE("R2C",'Mapa final'!$R$57),"")</f>
        <v/>
      </c>
      <c r="M19" s="39" t="str">
        <f>IF(AND('Mapa final'!$AH$58="Muy Alta",'Mapa final'!$AJ$58="Leve"),CONCATENATE("R2C",'Mapa final'!$R$58),"")</f>
        <v/>
      </c>
      <c r="N19" s="39" t="str">
        <f>IF(AND('Mapa final'!$AH$59="Muy Alta",'Mapa final'!$AJ$59="Leve"),CONCATENATE("R2C",'Mapa final'!$R$59),"")</f>
        <v/>
      </c>
      <c r="O19" s="39" t="str">
        <f>IF(AND('Mapa final'!$AH$60="Muy Alta",'Mapa final'!$AJ$60="Leve"),CONCATENATE("R2C",'Mapa final'!$R$60),"")</f>
        <v/>
      </c>
      <c r="P19" s="40" t="str">
        <f>IF(AND('Mapa final'!$AH$61="Muy Alta",'Mapa final'!$AJ$61="Leve"),CONCATENATE("R2C",'Mapa final'!$R$61),"")</f>
        <v/>
      </c>
      <c r="Q19" s="39" t="str">
        <f>IF(AND('Mapa final'!$AH$56="Muy Alta",'Mapa final'!$AJ$56="Menor"),CONCATENATE("R2C",'Mapa final'!$R$56),"")</f>
        <v/>
      </c>
      <c r="R19" s="39" t="str">
        <f>IF(AND('Mapa final'!$AH$57="Muy Alta",'Mapa final'!$AJ$57="Menor"),CONCATENATE("R2C",'Mapa final'!$R$57),"")</f>
        <v/>
      </c>
      <c r="S19" s="39" t="str">
        <f>IF(AND('Mapa final'!$AH$58="Muy Alta",'Mapa final'!$AJ$58="Menor"),CONCATENATE("R2C",'Mapa final'!$R$58),"")</f>
        <v/>
      </c>
      <c r="T19" s="39" t="str">
        <f>IF(AND('Mapa final'!$AH$59="Muy Alta",'Mapa final'!$AJ$59="Menor"),CONCATENATE("R2C",'Mapa final'!$R$59),"")</f>
        <v/>
      </c>
      <c r="U19" s="39" t="str">
        <f>IF(AND('Mapa final'!$AH$60="Muy Alta",'Mapa final'!$AJ$60="Menor"),CONCATENATE("R2C",'Mapa final'!$R$60),"")</f>
        <v/>
      </c>
      <c r="V19" s="40" t="str">
        <f>IF(AND('Mapa final'!$AH$61="Muy Alta",'Mapa final'!$AJ$61="Menor"),CONCATENATE("R2C",'Mapa final'!$R$61),"")</f>
        <v/>
      </c>
      <c r="W19" s="38" t="str">
        <f>IF(AND('Mapa final'!$AH$56="Muy Alta",'Mapa final'!$AJ$56="Moderado"),CONCATENATE("R2C",'Mapa final'!$R$56),"")</f>
        <v/>
      </c>
      <c r="X19" s="39" t="str">
        <f>IF(AND('Mapa final'!$AH$57="Muy Alta",'Mapa final'!$AJ$57="Moderado"),CONCATENATE("R2C",'Mapa final'!$R$57),"")</f>
        <v/>
      </c>
      <c r="Y19" s="39" t="str">
        <f>IF(AND('Mapa final'!$AH$58="Muy Alta",'Mapa final'!$AJ$58="Moderado"),CONCATENATE("R2C",'Mapa final'!$R$58),"")</f>
        <v/>
      </c>
      <c r="Z19" s="39" t="str">
        <f>IF(AND('Mapa final'!$AH$59="Muy Alta",'Mapa final'!$AJ$59="Moderado"),CONCATENATE("R2C",'Mapa final'!$R$59),"")</f>
        <v/>
      </c>
      <c r="AA19" s="39" t="str">
        <f>IF(AND('Mapa final'!$AH$60="Muy Alta",'Mapa final'!$AJ$60="Moderado"),CONCATENATE("R2C",'Mapa final'!$R$60),"")</f>
        <v/>
      </c>
      <c r="AB19" s="40" t="str">
        <f>IF(AND('Mapa final'!$AH$61="Muy Alta",'Mapa final'!$AJ$61="Moderado"),CONCATENATE("R2C",'Mapa final'!$R$61),"")</f>
        <v/>
      </c>
      <c r="AC19" s="38" t="str">
        <f>IF(AND('Mapa final'!$AH$56="Muy Alta",'Mapa final'!$AJ$56="Mayor"),CONCATENATE("R2C",'Mapa final'!$R$56),"")</f>
        <v/>
      </c>
      <c r="AD19" s="39" t="str">
        <f>IF(AND('Mapa final'!$AH$57="Muy Alta",'Mapa final'!$AJ$57="Mayor"),CONCATENATE("R2C",'Mapa final'!$R$57),"")</f>
        <v/>
      </c>
      <c r="AE19" s="39" t="str">
        <f>IF(AND('Mapa final'!$AH$58="Muy Alta",'Mapa final'!$AJ$58="Mayor"),CONCATENATE("R2C",'Mapa final'!$R$58),"")</f>
        <v/>
      </c>
      <c r="AF19" s="39" t="str">
        <f>IF(AND('Mapa final'!$AH$59="Muy Alta",'Mapa final'!$AJ$59="Mayor"),CONCATENATE("R2C",'Mapa final'!$R$59),"")</f>
        <v/>
      </c>
      <c r="AG19" s="39" t="str">
        <f>IF(AND('Mapa final'!$AH$60="Muy Alta",'Mapa final'!$AJ$60="Mayor"),CONCATENATE("R2C",'Mapa final'!$R$60),"")</f>
        <v/>
      </c>
      <c r="AH19" s="40" t="str">
        <f>IF(AND('Mapa final'!$AH$61="Muy Alta",'Mapa final'!$AJ$61="Mayor"),CONCATENATE("R2C",'Mapa final'!$R$61),"")</f>
        <v/>
      </c>
      <c r="AI19" s="41" t="str">
        <f>IF(AND('Mapa final'!$AH$56="Muy Alta",'Mapa final'!$AJ$56="Catastrófico"),CONCATENATE("R2C",'Mapa final'!$R$56),"")</f>
        <v/>
      </c>
      <c r="AJ19" s="42" t="str">
        <f>IF(AND('Mapa final'!$AH$57="Muy Alta",'Mapa final'!$AJ$57="Catastrófico"),CONCATENATE("R2C",'Mapa final'!$R$57),"")</f>
        <v/>
      </c>
      <c r="AK19" s="42" t="str">
        <f>IF(AND('Mapa final'!$AH$58="Muy Alta",'Mapa final'!$AJ$58="Catastrófico"),CONCATENATE("R2C",'Mapa final'!$R$58),"")</f>
        <v/>
      </c>
      <c r="AL19" s="42" t="str">
        <f>IF(AND('Mapa final'!$AH$59="Muy Alta",'Mapa final'!$AJ$59="Catastrófico"),CONCATENATE("R2C",'Mapa final'!$R$59),"")</f>
        <v/>
      </c>
      <c r="AM19" s="42" t="str">
        <f>IF(AND('Mapa final'!$AH$60="Muy Alta",'Mapa final'!$AJ$60="Catastrófico"),CONCATENATE("R2C",'Mapa final'!$R$60),"")</f>
        <v/>
      </c>
      <c r="AN19" s="43" t="str">
        <f>IF(AND('Mapa final'!$AH$61="Muy Alta",'Mapa final'!$AJ$61="Catastrófico"),CONCATENATE("R2C",'Mapa final'!$R$61),"")</f>
        <v/>
      </c>
      <c r="AO19" s="68"/>
      <c r="AP19" s="524"/>
      <c r="AQ19" s="525"/>
      <c r="AR19" s="525"/>
      <c r="AS19" s="525"/>
      <c r="AT19" s="525"/>
      <c r="AU19" s="526"/>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row>
    <row r="20" spans="2:77" ht="15" customHeight="1">
      <c r="B20" s="68"/>
      <c r="C20" s="461"/>
      <c r="D20" s="461"/>
      <c r="E20" s="462"/>
      <c r="F20" s="504"/>
      <c r="G20" s="505"/>
      <c r="H20" s="505"/>
      <c r="I20" s="505"/>
      <c r="J20" s="505"/>
      <c r="K20" s="38" t="str">
        <f>IF(AND('Mapa final'!$AH$62="Muy Alta",'Mapa final'!$AJ$62="Leve"),CONCATENATE("R2C",'Mapa final'!$R$62),"")</f>
        <v/>
      </c>
      <c r="L20" s="39" t="str">
        <f>IF(AND('Mapa final'!$AH$63="Muy Alta",'Mapa final'!$AJ$63="Leve"),CONCATENATE("R2C",'Mapa final'!$R$63),"")</f>
        <v/>
      </c>
      <c r="M20" s="39" t="str">
        <f>IF(AND('Mapa final'!$AH$64="Muy Alta",'Mapa final'!$AJ$64="Leve"),CONCATENATE("R2C",'Mapa final'!$R$64),"")</f>
        <v/>
      </c>
      <c r="N20" s="39" t="str">
        <f>IF(AND('Mapa final'!$AH$65="Muy Alta",'Mapa final'!$AJ$65="Leve"),CONCATENATE("R2C",'Mapa final'!$R$65),"")</f>
        <v/>
      </c>
      <c r="O20" s="39" t="str">
        <f>IF(AND('Mapa final'!$AH$66="Muy Alta",'Mapa final'!$AJ$66="Leve"),CONCATENATE("R2C",'Mapa final'!$R$66),"")</f>
        <v/>
      </c>
      <c r="P20" s="40" t="str">
        <f>IF(AND('Mapa final'!$AH$67="Muy Alta",'Mapa final'!$AJ$67="Leve"),CONCATENATE("R2C",'Mapa final'!$R$67),"")</f>
        <v/>
      </c>
      <c r="Q20" s="39" t="str">
        <f>IF(AND('Mapa final'!$AH$62="Muy Alta",'Mapa final'!$AJ$62="Menor"),CONCATENATE("R2C",'Mapa final'!$R$62),"")</f>
        <v/>
      </c>
      <c r="R20" s="39" t="str">
        <f>IF(AND('Mapa final'!$AH$63="Muy Alta",'Mapa final'!$AJ$63="Menor"),CONCATENATE("R2C",'Mapa final'!$R$63),"")</f>
        <v/>
      </c>
      <c r="S20" s="39" t="str">
        <f>IF(AND('Mapa final'!$AH$64="Muy Alta",'Mapa final'!$AJ$64="Menor"),CONCATENATE("R2C",'Mapa final'!$R$64),"")</f>
        <v/>
      </c>
      <c r="T20" s="39" t="str">
        <f>IF(AND('Mapa final'!$AH$65="Muy Alta",'Mapa final'!$AJ$65="Menor"),CONCATENATE("R2C",'Mapa final'!$R$65),"")</f>
        <v/>
      </c>
      <c r="U20" s="39" t="str">
        <f>IF(AND('Mapa final'!$AH$66="Muy Alta",'Mapa final'!$AJ$66="Menor"),CONCATENATE("R2C",'Mapa final'!$R$66),"")</f>
        <v/>
      </c>
      <c r="V20" s="40" t="str">
        <f>IF(AND('Mapa final'!$AH$67="Muy Alta",'Mapa final'!$AJ$67="Menor"),CONCATENATE("R2C",'Mapa final'!$R$67),"")</f>
        <v/>
      </c>
      <c r="W20" s="38" t="str">
        <f>IF(AND('Mapa final'!$AH$62="Muy Alta",'Mapa final'!$AJ$62="Moderado"),CONCATENATE("R2C",'Mapa final'!$R$62),"")</f>
        <v/>
      </c>
      <c r="X20" s="39" t="str">
        <f>IF(AND('Mapa final'!$AH$63="Muy Alta",'Mapa final'!$AJ$63="Moderado"),CONCATENATE("R2C",'Mapa final'!$R$63),"")</f>
        <v/>
      </c>
      <c r="Y20" s="39" t="str">
        <f>IF(AND('Mapa final'!$AH$64="Muy Alta",'Mapa final'!$AJ$64="Moderado"),CONCATENATE("R2C",'Mapa final'!$R$64),"")</f>
        <v/>
      </c>
      <c r="Z20" s="39" t="str">
        <f>IF(AND('Mapa final'!$AH$65="Muy Alta",'Mapa final'!$AJ$65="Moderado"),CONCATENATE("R2C",'Mapa final'!$R$65),"")</f>
        <v/>
      </c>
      <c r="AA20" s="39" t="str">
        <f>IF(AND('Mapa final'!$AH$66="Muy Alta",'Mapa final'!$AJ$66="Moderado"),CONCATENATE("R2C",'Mapa final'!$R$66),"")</f>
        <v/>
      </c>
      <c r="AB20" s="40" t="str">
        <f>IF(AND('Mapa final'!$AH$67="Muy Alta",'Mapa final'!$AJ$67="Moderado"),CONCATENATE("R2C",'Mapa final'!$R$67),"")</f>
        <v/>
      </c>
      <c r="AC20" s="38" t="str">
        <f>IF(AND('Mapa final'!$AH$62="Muy Alta",'Mapa final'!$AJ$62="Mayor"),CONCATENATE("R2C",'Mapa final'!$R$62),"")</f>
        <v/>
      </c>
      <c r="AD20" s="39" t="str">
        <f>IF(AND('Mapa final'!$AH$63="Muy Alta",'Mapa final'!$AJ$63="Mayor"),CONCATENATE("R2C",'Mapa final'!$R$63),"")</f>
        <v/>
      </c>
      <c r="AE20" s="39" t="str">
        <f>IF(AND('Mapa final'!$AH$64="Muy Alta",'Mapa final'!$AJ$64="Mayor"),CONCATENATE("R2C",'Mapa final'!$R$64),"")</f>
        <v/>
      </c>
      <c r="AF20" s="39" t="str">
        <f>IF(AND('Mapa final'!$AH$65="Muy Alta",'Mapa final'!$AJ$65="Mayor"),CONCATENATE("R2C",'Mapa final'!$R$65),"")</f>
        <v/>
      </c>
      <c r="AG20" s="39" t="str">
        <f>IF(AND('Mapa final'!$AH$66="Muy Alta",'Mapa final'!$AJ$66="Mayor"),CONCATENATE("R2C",'Mapa final'!$R$66),"")</f>
        <v/>
      </c>
      <c r="AH20" s="40" t="str">
        <f>IF(AND('Mapa final'!$AH$67="Muy Alta",'Mapa final'!$AJ$67="Mayor"),CONCATENATE("R2C",'Mapa final'!$R$67),"")</f>
        <v/>
      </c>
      <c r="AI20" s="41" t="str">
        <f>IF(AND('Mapa final'!$AH$62="Muy Alta",'Mapa final'!$AJ$62="Catastrófico"),CONCATENATE("R2C",'Mapa final'!$R$62),"")</f>
        <v/>
      </c>
      <c r="AJ20" s="42" t="str">
        <f>IF(AND('Mapa final'!$AH$63="Muy Alta",'Mapa final'!$AJ$63="Catastrófico"),CONCATENATE("R2C",'Mapa final'!$R$63),"")</f>
        <v/>
      </c>
      <c r="AK20" s="42" t="str">
        <f>IF(AND('Mapa final'!$AH$64="Muy Alta",'Mapa final'!$AJ$64="Catastrófico"),CONCATENATE("R2C",'Mapa final'!$R$64),"")</f>
        <v/>
      </c>
      <c r="AL20" s="42" t="str">
        <f>IF(AND('Mapa final'!$AH$65="Muy Alta",'Mapa final'!$AJ$65="Catastrófico"),CONCATENATE("R2C",'Mapa final'!$R$65),"")</f>
        <v/>
      </c>
      <c r="AM20" s="42" t="str">
        <f>IF(AND('Mapa final'!$AH$66="Muy Alta",'Mapa final'!$AJ$66="Catastrófico"),CONCATENATE("R2C",'Mapa final'!$R$66),"")</f>
        <v/>
      </c>
      <c r="AN20" s="43" t="str">
        <f>IF(AND('Mapa final'!$AH$67="Muy Alta",'Mapa final'!$AJ$67="Catastrófico"),CONCATENATE("R2C",'Mapa final'!$R$67),"")</f>
        <v/>
      </c>
      <c r="AO20" s="68"/>
      <c r="AP20" s="524"/>
      <c r="AQ20" s="525"/>
      <c r="AR20" s="525"/>
      <c r="AS20" s="525"/>
      <c r="AT20" s="525"/>
      <c r="AU20" s="526"/>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row>
    <row r="21" spans="2:77" ht="15.75" customHeight="1" thickBot="1">
      <c r="B21" s="68"/>
      <c r="C21" s="461"/>
      <c r="D21" s="461"/>
      <c r="E21" s="462"/>
      <c r="F21" s="507"/>
      <c r="G21" s="508"/>
      <c r="H21" s="508"/>
      <c r="I21" s="508"/>
      <c r="J21" s="508"/>
      <c r="K21" s="44" t="str">
        <f>IF(AND('Mapa final'!$AH$68="Muy Alta",'Mapa final'!$AJ$68="Leve"),CONCATENATE("R2C",'Mapa final'!$R$68),"")</f>
        <v/>
      </c>
      <c r="L21" s="45" t="str">
        <f>IF(AND('Mapa final'!$AH$69="Muy Alta",'Mapa final'!$AJ$69="Leve"),CONCATENATE("R2C",'Mapa final'!$R$69),"")</f>
        <v/>
      </c>
      <c r="M21" s="45" t="str">
        <f>IF(AND('Mapa final'!$AH$70="Muy Alta",'Mapa final'!$AJ$70="Leve"),CONCATENATE("R2C",'Mapa final'!$R$70),"")</f>
        <v/>
      </c>
      <c r="N21" s="45" t="str">
        <f>IF(AND('Mapa final'!$AH$71="Muy Alta",'Mapa final'!$AJ$71="Leve"),CONCATENATE("R2C",'Mapa final'!$R$71),"")</f>
        <v/>
      </c>
      <c r="O21" s="45" t="str">
        <f>IF(AND('Mapa final'!$AH$73="Muy Alta",'Mapa final'!$AJ$73="Leve"),CONCATENATE("R2C",'Mapa final'!$R$73),"")</f>
        <v/>
      </c>
      <c r="P21" s="46" t="str">
        <f>IF(AND('Mapa final'!$AH$74="Muy Alta",'Mapa final'!$AJ$74="Leve"),CONCATENATE("R2C",'Mapa final'!$R$74),"")</f>
        <v/>
      </c>
      <c r="Q21" s="39" t="str">
        <f>IF(AND('Mapa final'!$AH$68="Muy Alta",'Mapa final'!$AJ$68="Menor"),CONCATENATE("R2C",'Mapa final'!$R$68),"")</f>
        <v/>
      </c>
      <c r="R21" s="39" t="str">
        <f>IF(AND('Mapa final'!$AH$69="Muy Alta",'Mapa final'!$AJ$69="Menor"),CONCATENATE("R2C",'Mapa final'!$R$69),"")</f>
        <v/>
      </c>
      <c r="S21" s="39" t="str">
        <f>IF(AND('Mapa final'!$AH$70="Muy Alta",'Mapa final'!$AJ$70="Menor"),CONCATENATE("R2C",'Mapa final'!$R$70),"")</f>
        <v/>
      </c>
      <c r="T21" s="39" t="str">
        <f>IF(AND('Mapa final'!$AH$71="Muy Alta",'Mapa final'!$AJ$71="Menor"),CONCATENATE("R2C",'Mapa final'!$R$71),"")</f>
        <v/>
      </c>
      <c r="U21" s="39" t="str">
        <f>IF(AND('Mapa final'!$AH$73="Muy Alta",'Mapa final'!$AJ$73="Menor"),CONCATENATE("R2C",'Mapa final'!$R$73),"")</f>
        <v/>
      </c>
      <c r="V21" s="40" t="str">
        <f>IF(AND('Mapa final'!$AH$74="Muy Alta",'Mapa final'!$AJ$74="Menor"),CONCATENATE("R2C",'Mapa final'!$R$74),"")</f>
        <v/>
      </c>
      <c r="W21" s="44" t="str">
        <f>IF(AND('Mapa final'!$AH$68="Muy Alta",'Mapa final'!$AJ$68="Moderado"),CONCATENATE("R2C",'Mapa final'!$R$68),"")</f>
        <v/>
      </c>
      <c r="X21" s="45" t="str">
        <f>IF(AND('Mapa final'!$AH$69="Muy Alta",'Mapa final'!$AJ$69="Moderado"),CONCATENATE("R2C",'Mapa final'!$R$69),"")</f>
        <v/>
      </c>
      <c r="Y21" s="45" t="str">
        <f>IF(AND('Mapa final'!$AH$70="Muy Alta",'Mapa final'!$AJ$70="Moderado"),CONCATENATE("R2C",'Mapa final'!$R$70),"")</f>
        <v/>
      </c>
      <c r="Z21" s="45" t="str">
        <f>IF(AND('Mapa final'!$AH$71="Muy Alta",'Mapa final'!$AJ$71="Moderado"),CONCATENATE("R2C",'Mapa final'!$R$71),"")</f>
        <v/>
      </c>
      <c r="AA21" s="45" t="str">
        <f>IF(AND('Mapa final'!$AH$73="Muy Alta",'Mapa final'!$AJ$73="Moderado"),CONCATENATE("R2C",'Mapa final'!$R$73),"")</f>
        <v/>
      </c>
      <c r="AB21" s="46" t="str">
        <f>IF(AND('Mapa final'!$AH$74="Muy Alta",'Mapa final'!$AJ$74="Moderado"),CONCATENATE("R2C",'Mapa final'!$R$74),"")</f>
        <v/>
      </c>
      <c r="AC21" s="38" t="str">
        <f>IF(AND('Mapa final'!$AH$68="Muy Alta",'Mapa final'!$AJ$68="Mayor"),CONCATENATE("R2C",'Mapa final'!$R$68),"")</f>
        <v/>
      </c>
      <c r="AD21" s="39" t="str">
        <f>IF(AND('Mapa final'!$AH$69="Muy Alta",'Mapa final'!$AJ$69="Mayor"),CONCATENATE("R2C",'Mapa final'!$R$69),"")</f>
        <v/>
      </c>
      <c r="AE21" s="39" t="str">
        <f>IF(AND('Mapa final'!$AH$70="Muy Alta",'Mapa final'!$AJ$70="Mayor"),CONCATENATE("R2C",'Mapa final'!$R$70),"")</f>
        <v/>
      </c>
      <c r="AF21" s="39" t="str">
        <f>IF(AND('Mapa final'!$AH$71="Muy Alta",'Mapa final'!$AJ$71="Mayor"),CONCATENATE("R2C",'Mapa final'!$R$71),"")</f>
        <v/>
      </c>
      <c r="AG21" s="39" t="str">
        <f>IF(AND('Mapa final'!$AH$73="Muy Alta",'Mapa final'!$AJ$73="Mayor"),CONCATENATE("R2C",'Mapa final'!$R$73),"")</f>
        <v/>
      </c>
      <c r="AH21" s="40" t="str">
        <f>IF(AND('Mapa final'!$AH$74="Muy Alta",'Mapa final'!$AJ$74="Mayor"),CONCATENATE("R2C",'Mapa final'!$R$74),"")</f>
        <v/>
      </c>
      <c r="AI21" s="47" t="str">
        <f>IF(AND('Mapa final'!$AH$68="Muy Alta",'Mapa final'!$AJ$68="Catastrófico"),CONCATENATE("R2C",'Mapa final'!$R$68),"")</f>
        <v/>
      </c>
      <c r="AJ21" s="48" t="str">
        <f>IF(AND('Mapa final'!$AH$69="Muy Alta",'Mapa final'!$AJ$69="Catastrófico"),CONCATENATE("R2C",'Mapa final'!$R$69),"")</f>
        <v/>
      </c>
      <c r="AK21" s="48" t="str">
        <f>IF(AND('Mapa final'!$AH$70="Muy Alta",'Mapa final'!$AJ$70="Catastrófico"),CONCATENATE("R2C",'Mapa final'!$R$70),"")</f>
        <v/>
      </c>
      <c r="AL21" s="48" t="str">
        <f>IF(AND('Mapa final'!$AH$71="Muy Alta",'Mapa final'!$AJ$71="Catastrófico"),CONCATENATE("R2C",'Mapa final'!$R$71),"")</f>
        <v/>
      </c>
      <c r="AM21" s="48" t="str">
        <f>IF(AND('Mapa final'!$AH$73="Muy Alta",'Mapa final'!$AJ$73="Catastrófico"),CONCATENATE("R2C",'Mapa final'!$R$73),"")</f>
        <v/>
      </c>
      <c r="AN21" s="49" t="str">
        <f>IF(AND('Mapa final'!$AH$74="Muy Alta",'Mapa final'!$AJ$74="Catastrófico"),CONCATENATE("R2C",'Mapa final'!$R$74),"")</f>
        <v/>
      </c>
      <c r="AO21" s="68"/>
      <c r="AP21" s="527"/>
      <c r="AQ21" s="528"/>
      <c r="AR21" s="528"/>
      <c r="AS21" s="528"/>
      <c r="AT21" s="528"/>
      <c r="AU21" s="529"/>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row>
    <row r="22" spans="2:77" ht="15" customHeight="1">
      <c r="B22" s="68"/>
      <c r="C22" s="461"/>
      <c r="D22" s="461"/>
      <c r="E22" s="462"/>
      <c r="F22" s="501" t="s">
        <v>255</v>
      </c>
      <c r="G22" s="502"/>
      <c r="H22" s="502"/>
      <c r="I22" s="502"/>
      <c r="J22" s="502"/>
      <c r="K22" s="53"/>
      <c r="L22" s="54" t="e">
        <f>IF(AND('Mapa final'!#REF!="Alta",'Mapa final'!#REF!="Leve"),CONCATENATE("R2C",'Mapa final'!$R$15),"")</f>
        <v>#REF!</v>
      </c>
      <c r="M22" s="54" t="e">
        <f>IF(AND('Mapa final'!#REF!="Alta",'Mapa final'!#REF!="Leve"),CONCATENATE("R2C",'Mapa final'!#REF!),"")</f>
        <v>#REF!</v>
      </c>
      <c r="N22" s="54" t="e">
        <f>IF(AND('Mapa final'!#REF!="Alta",'Mapa final'!#REF!="Leve"),CONCATENATE("R2C",'Mapa final'!#REF!),"")</f>
        <v>#REF!</v>
      </c>
      <c r="O22" s="54" t="e">
        <f>IF(AND('Mapa final'!#REF!="Alta",'Mapa final'!#REF!="Leve"),CONCATENATE("R2C",'Mapa final'!#REF!),"")</f>
        <v>#REF!</v>
      </c>
      <c r="P22" s="55" t="e">
        <f>IF(AND('Mapa final'!#REF!="Alta",'Mapa final'!#REF!="Leve"),CONCATENATE("R2C",'Mapa final'!#REF!),"")</f>
        <v>#REF!</v>
      </c>
      <c r="Q22" s="50"/>
      <c r="R22" s="51" t="e">
        <f>IF(AND('Mapa final'!#REF!="Alta",'Mapa final'!#REF!="Menore"),CONCATENATE("R2C",'Mapa final'!$R$15),"")</f>
        <v>#REF!</v>
      </c>
      <c r="S22" s="51" t="e">
        <f>IF(AND('Mapa final'!#REF!="Alta",'Mapa final'!#REF!="Menor"),CONCATENATE("R2C",'Mapa final'!#REF!),"")</f>
        <v>#REF!</v>
      </c>
      <c r="T22" s="51" t="e">
        <f>IF(AND('Mapa final'!#REF!="Alta",'Mapa final'!#REF!="Menor"),CONCATENATE("R2C",'Mapa final'!#REF!),"")</f>
        <v>#REF!</v>
      </c>
      <c r="U22" s="51" t="e">
        <f>IF(AND('Mapa final'!#REF!="Alta",'Mapa final'!#REF!="Menor"),CONCATENATE("R2C",'Mapa final'!#REF!),"")</f>
        <v>#REF!</v>
      </c>
      <c r="V22" s="52" t="e">
        <f>IF(AND('Mapa final'!#REF!="Alta",'Mapa final'!#REF!="Menor"),CONCATENATE("R2C",'Mapa final'!#REF!),"")</f>
        <v>#REF!</v>
      </c>
      <c r="W22" s="32"/>
      <c r="X22" s="33" t="e">
        <f>IF(AND('Mapa final'!#REF!="Alta",'Mapa final'!#REF!="Moderado"),CONCATENATE("R2C",'Mapa final'!$R$15),"")</f>
        <v>#REF!</v>
      </c>
      <c r="Y22" s="33"/>
      <c r="Z22" s="33" t="e">
        <f>IF(AND('Mapa final'!#REF!="Alta",'Mapa final'!#REF!="Moderado"),CONCATENATE("R2C",'Mapa final'!#REF!),"")</f>
        <v>#REF!</v>
      </c>
      <c r="AA22" s="33" t="e">
        <f>IF(AND('Mapa final'!#REF!="Alta",'Mapa final'!#REF!="Moderado"),CONCATENATE("R2C",'Mapa final'!#REF!),"")</f>
        <v>#REF!</v>
      </c>
      <c r="AB22" s="34" t="e">
        <f>IF(AND('Mapa final'!#REF!="Alta",'Mapa final'!#REF!="Moderado"),CONCATENATE("R2C",'Mapa final'!#REF!),"")</f>
        <v>#REF!</v>
      </c>
      <c r="AC22" s="32"/>
      <c r="AD22" s="33" t="e">
        <f>IF(AND('Mapa final'!#REF!="Alta",'Mapa final'!#REF!="Mayor"),CONCATENATE("R2C",'Mapa final'!$R$15),"")</f>
        <v>#REF!</v>
      </c>
      <c r="AE22" s="33" t="e">
        <f>IF(AND('Mapa final'!#REF!="Alta",'Mapa final'!#REF!="Mayor"),CONCATENATE("R2C",'Mapa final'!#REF!),"")</f>
        <v>#REF!</v>
      </c>
      <c r="AF22" s="33" t="e">
        <f>IF(AND('Mapa final'!#REF!="Alta",'Mapa final'!#REF!="Mayor"),CONCATENATE("R2C",'Mapa final'!#REF!),"")</f>
        <v>#REF!</v>
      </c>
      <c r="AG22" s="33" t="e">
        <f>IF(AND('Mapa final'!#REF!="Alta",'Mapa final'!#REF!="Mayor"),CONCATENATE("R2C",'Mapa final'!#REF!),"")</f>
        <v>#REF!</v>
      </c>
      <c r="AH22" s="34" t="e">
        <f>IF(AND('Mapa final'!#REF!="Alta",'Mapa final'!#REF!="Mayor"),CONCATENATE("R2C",'Mapa final'!#REF!),"")</f>
        <v>#REF!</v>
      </c>
      <c r="AI22" s="35"/>
      <c r="AJ22" s="36" t="e">
        <f>IF(AND('Mapa final'!#REF!="Alta",'Mapa final'!#REF!="Catastrófico"),CONCATENATE("R2C",'Mapa final'!$R$15),"")</f>
        <v>#REF!</v>
      </c>
      <c r="AK22" s="36" t="e">
        <f>IF(AND('Mapa final'!#REF!="Alta",'Mapa final'!#REF!="Catastrófico"),CONCATENATE("R2C",'Mapa final'!#REF!),"")</f>
        <v>#REF!</v>
      </c>
      <c r="AL22" s="36" t="e">
        <f>IF(AND('Mapa final'!#REF!="Alta",'Mapa final'!#REF!="Catastrófico"),CONCATENATE("R2C",'Mapa final'!#REF!),"")</f>
        <v>#REF!</v>
      </c>
      <c r="AM22" s="36" t="e">
        <f>IF(AND('Mapa final'!#REF!="Alta",'Mapa final'!#REF!="Catastrófico"),CONCATENATE("R2C",'Mapa final'!#REF!),"")</f>
        <v>#REF!</v>
      </c>
      <c r="AN22" s="37" t="e">
        <f>IF(AND('Mapa final'!#REF!="Alta",'Mapa final'!#REF!="Catastrófico"),CONCATENATE("R2C",'Mapa final'!#REF!),"")</f>
        <v>#REF!</v>
      </c>
      <c r="AO22" s="68"/>
      <c r="AP22" s="511" t="s">
        <v>256</v>
      </c>
      <c r="AQ22" s="512"/>
      <c r="AR22" s="512"/>
      <c r="AS22" s="512"/>
      <c r="AT22" s="512"/>
      <c r="AU22" s="513"/>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row>
    <row r="23" spans="2:77" ht="15" customHeight="1">
      <c r="B23" s="68"/>
      <c r="C23" s="461"/>
      <c r="D23" s="461"/>
      <c r="E23" s="462"/>
      <c r="F23" s="520"/>
      <c r="G23" s="505"/>
      <c r="H23" s="505"/>
      <c r="I23" s="505"/>
      <c r="J23" s="505"/>
      <c r="K23" s="53" t="e">
        <f>IF(AND('Mapa final'!#REF!="Alta",'Mapa final'!#REF!="Leve"),CONCATENATE("R2C",'Mapa final'!#REF!),"")</f>
        <v>#REF!</v>
      </c>
      <c r="L23" s="54" t="e">
        <f>IF(AND('Mapa final'!#REF!="Alta",'Mapa final'!#REF!="Leve"),CONCATENATE("R2C",'Mapa final'!#REF!),"")</f>
        <v>#REF!</v>
      </c>
      <c r="M23" s="54" t="str">
        <f>IF(AND('Mapa final'!$AH$22="Alta",'Mapa final'!$AJ$22="Leve"),CONCATENATE("R2C",'Mapa final'!$R$22),"")</f>
        <v/>
      </c>
      <c r="N23" s="54" t="e">
        <f>IF(AND('Mapa final'!#REF!="Alta",'Mapa final'!#REF!="Leve"),CONCATENATE("R2C",'Mapa final'!#REF!),"")</f>
        <v>#REF!</v>
      </c>
      <c r="O23" s="54" t="str">
        <f>IF(AND('Mapa final'!$AH$24="Alta",'Mapa final'!$AJ$24="Leve"),CONCATENATE("R2C",'Mapa final'!$R$24),"")</f>
        <v/>
      </c>
      <c r="P23" s="55" t="str">
        <f>IF(AND('Mapa final'!$AH$25="Alta",'Mapa final'!$AJ$25="Leve"),CONCATENATE("R2C",'Mapa final'!$R$25),"")</f>
        <v/>
      </c>
      <c r="Q23" s="53" t="e">
        <f>IF(AND('Mapa final'!#REF!="Alta",'Mapa final'!#REF!="Menor"),CONCATENATE("R2C",'Mapa final'!#REF!),"")</f>
        <v>#REF!</v>
      </c>
      <c r="R23" s="54" t="e">
        <f>IF(AND('Mapa final'!#REF!="Alta",'Mapa final'!#REF!="Menor"),CONCATENATE("R2C",'Mapa final'!#REF!),"")</f>
        <v>#REF!</v>
      </c>
      <c r="S23" s="54" t="str">
        <f>IF(AND('Mapa final'!$AH$22="Alta",'Mapa final'!$AJ$22="Menor"),CONCATENATE("R2C",'Mapa final'!$R$22),"")</f>
        <v/>
      </c>
      <c r="T23" s="54" t="str">
        <f>IF(AND('Mapa final'!$AH$23="Alta",'Mapa final'!$AJ$23="Menor"),CONCATENATE("R2C",'Mapa final'!$R$23),"")</f>
        <v/>
      </c>
      <c r="U23" s="54" t="str">
        <f>IF(AND('Mapa final'!$AH$24="Alta",'Mapa final'!$AJ$24="Menor"),CONCATENATE("R2C",'Mapa final'!$R$24),"")</f>
        <v/>
      </c>
      <c r="V23" s="55" t="str">
        <f>IF(AND('Mapa final'!$AH$25="Alta",'Mapa final'!$AJ$25="Menor"),CONCATENATE("R2C",'Mapa final'!$R$25),"")</f>
        <v/>
      </c>
      <c r="W23" s="38" t="e">
        <f>IF(AND('Mapa final'!#REF!="Alta",'Mapa final'!#REF!="Moderado"),CONCATENATE("R2C",'Mapa final'!#REF!),"")</f>
        <v>#REF!</v>
      </c>
      <c r="X23" s="39" t="e">
        <f>IF(AND('Mapa final'!#REF!="Alta",'Mapa final'!#REF!="Moderado"),CONCATENATE("R2C",'Mapa final'!#REF!),"")</f>
        <v>#REF!</v>
      </c>
      <c r="Y23" s="39" t="str">
        <f>IF(AND('Mapa final'!$AH$22="Alta",'Mapa final'!$AJ$22="Moderado"),CONCATENATE("R2C",'Mapa final'!$R$22),"")</f>
        <v/>
      </c>
      <c r="Z23" s="39" t="str">
        <f>IF(AND('Mapa final'!$AH$23="Alta",'Mapa final'!$AJ$23="Moderado"),CONCATENATE("R2C",'Mapa final'!$R$23),"")</f>
        <v/>
      </c>
      <c r="AA23" s="39" t="str">
        <f>IF(AND('Mapa final'!$AH$24="Alta",'Mapa final'!$AJ$24="Moderado"),CONCATENATE("R2C",'Mapa final'!$R$24),"")</f>
        <v/>
      </c>
      <c r="AB23" s="40" t="str">
        <f>IF(AND('Mapa final'!$AH$25="Alta",'Mapa final'!$AJ$25="Moderado"),CONCATENATE("R2C",'Mapa final'!$R$25),"")</f>
        <v/>
      </c>
      <c r="AC23" s="38" t="e">
        <f>IF(AND('Mapa final'!#REF!="Alta",'Mapa final'!#REF!="Mayor"),CONCATENATE("R2C",'Mapa final'!#REF!),"")</f>
        <v>#REF!</v>
      </c>
      <c r="AD23" s="39" t="e">
        <f>IF(AND('Mapa final'!#REF!="Alta",'Mapa final'!#REF!="Mayor"),CONCATENATE("R2C",'Mapa final'!#REF!),"")</f>
        <v>#REF!</v>
      </c>
      <c r="AE23" s="39" t="str">
        <f>IF(AND('Mapa final'!$AH$22="Alta",'Mapa final'!$AJ$22="Mayor"),CONCATENATE("R2C",'Mapa final'!$R$22),"")</f>
        <v/>
      </c>
      <c r="AF23" s="39" t="str">
        <f>IF(AND('Mapa final'!$AH$23="Alta",'Mapa final'!$AJ$23="Mayor"),CONCATENATE("R2C",'Mapa final'!$R$23),"")</f>
        <v/>
      </c>
      <c r="AG23" s="39" t="str">
        <f>IF(AND('Mapa final'!$AH$24="Alta",'Mapa final'!$AJ$24="Mayor"),CONCATENATE("R2C",'Mapa final'!$R$24),"")</f>
        <v/>
      </c>
      <c r="AH23" s="40" t="str">
        <f>IF(AND('Mapa final'!$AH$25="Alta",'Mapa final'!$AJ$25="Mayor"),CONCATENATE("R2C",'Mapa final'!$R$25),"")</f>
        <v/>
      </c>
      <c r="AI23" s="41" t="e">
        <f>IF(AND('Mapa final'!#REF!="Alta",'Mapa final'!#REF!="Catastrófico"),CONCATENATE("R2C",'Mapa final'!#REF!),"")</f>
        <v>#REF!</v>
      </c>
      <c r="AJ23" s="42" t="e">
        <f>IF(AND('Mapa final'!#REF!="Alta",'Mapa final'!#REF!="Catastrófico"),CONCATENATE("R2C",'Mapa final'!#REF!),"")</f>
        <v>#REF!</v>
      </c>
      <c r="AK23" s="42" t="str">
        <f>IF(AND('Mapa final'!$AH$22="Alta",'Mapa final'!$AJ$22="Catastrófico"),CONCATENATE("R2C",'Mapa final'!$R$22),"")</f>
        <v/>
      </c>
      <c r="AL23" s="42" t="str">
        <f>IF(AND('Mapa final'!$AH$23="Alta",'Mapa final'!$AJ$23="Catastrófico"),CONCATENATE("R2C",'Mapa final'!$R$23),"")</f>
        <v/>
      </c>
      <c r="AM23" s="42" t="str">
        <f>IF(AND('Mapa final'!$AH$24="Alta",'Mapa final'!$AJ$24="Catastrófico"),CONCATENATE("R2C",'Mapa final'!$R$24),"")</f>
        <v/>
      </c>
      <c r="AN23" s="43" t="str">
        <f>IF(AND('Mapa final'!$AH$25="Alta",'Mapa final'!$AJ$25="Catastrófico"),CONCATENATE("R2C",'Mapa final'!$R$25),"")</f>
        <v/>
      </c>
      <c r="AO23" s="68"/>
      <c r="AP23" s="514"/>
      <c r="AQ23" s="515"/>
      <c r="AR23" s="515"/>
      <c r="AS23" s="515"/>
      <c r="AT23" s="515"/>
      <c r="AU23" s="516"/>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row>
    <row r="24" spans="2:77" ht="15" customHeight="1">
      <c r="B24" s="68"/>
      <c r="C24" s="461"/>
      <c r="D24" s="461"/>
      <c r="E24" s="462"/>
      <c r="F24" s="504"/>
      <c r="G24" s="505"/>
      <c r="H24" s="505"/>
      <c r="I24" s="505"/>
      <c r="J24" s="505"/>
      <c r="K24" s="53" t="str">
        <f>IF(AND('Mapa final'!$AH$26="Alta",'Mapa final'!$AJ$26="Leve"),CONCATENATE("R2C",'Mapa final'!$R$26),"")</f>
        <v/>
      </c>
      <c r="L24" s="54" t="str">
        <f>IF(AND('Mapa final'!$AH$27="Alta",'Mapa final'!$AJ$27="Leve"),CONCATENATE("R2C",'Mapa final'!$R$27),"")</f>
        <v/>
      </c>
      <c r="M24" s="54" t="str">
        <f>IF(AND('Mapa final'!$AH$28="Alta",'Mapa final'!$AJ$28="Leve"),CONCATENATE("R2C",'Mapa final'!$R$28),"")</f>
        <v/>
      </c>
      <c r="N24" s="54" t="e">
        <f>IF(AND('Mapa final'!#REF!="Alta",'Mapa final'!#REF!="Leve"),CONCATENATE("R2C",'Mapa final'!#REF!),"")</f>
        <v>#REF!</v>
      </c>
      <c r="O24" s="54" t="str">
        <f>IF(AND('Mapa final'!$AH$30="Alta",'Mapa final'!$AJ$30="Leve"),CONCATENATE("R2C",'Mapa final'!$R$30),"")</f>
        <v/>
      </c>
      <c r="P24" s="55" t="str">
        <f>IF(AND('Mapa final'!$AH$31="Alta",'Mapa final'!$AJ$31="Leve"),CONCATENATE("R2C",'Mapa final'!$R$31),"")</f>
        <v/>
      </c>
      <c r="Q24" s="53" t="str">
        <f>IF(AND('Mapa final'!$AH$26="Alta",'Mapa final'!$AJ$26="Menor"),CONCATENATE("R2C",'Mapa final'!$R$26),"")</f>
        <v/>
      </c>
      <c r="R24" s="54" t="str">
        <f>IF(AND('Mapa final'!$AH$27="Alta",'Mapa final'!$AJ$27="Menor"),CONCATENATE("R2C",'Mapa final'!$R$27),"")</f>
        <v/>
      </c>
      <c r="S24" s="54" t="str">
        <f>IF(AND('Mapa final'!$AH$28="Alta",'Mapa final'!$AJ$28="Menor"),CONCATENATE("R2C",'Mapa final'!$R$28),"")</f>
        <v/>
      </c>
      <c r="T24" s="54" t="str">
        <f>IF(AND('Mapa final'!$AH$29="Alta",'Mapa final'!$AJ$29="Menor"),CONCATENATE("R2C",'Mapa final'!$R$29),"")</f>
        <v/>
      </c>
      <c r="U24" s="54" t="str">
        <f>IF(AND('Mapa final'!$AH$30="Alta",'Mapa final'!$AJ$30="Menor"),CONCATENATE("R2C",'Mapa final'!$R$30),"")</f>
        <v/>
      </c>
      <c r="V24" s="55" t="str">
        <f>IF(AND('Mapa final'!$AH$31="Alta",'Mapa final'!$AJ$31="Menor"),CONCATENATE("R2C",'Mapa final'!$R$31),"")</f>
        <v/>
      </c>
      <c r="W24" s="38" t="str">
        <f>IF(AND('Mapa final'!$AH$26="Alta",'Mapa final'!$AJ$26="Moderado"),CONCATENATE("R2C",'Mapa final'!$R$26),"")</f>
        <v/>
      </c>
      <c r="X24" s="39" t="str">
        <f>IF(AND('Mapa final'!$AH$27="Alta",'Mapa final'!$AJ$27="Moderado"),CONCATENATE("R2C",'Mapa final'!$R$27),"")</f>
        <v/>
      </c>
      <c r="Y24" s="39" t="str">
        <f>IF(AND('Mapa final'!$AH$28="Alta",'Mapa final'!$AJ$28="Moderado"),CONCATENATE("R2C",'Mapa final'!$R$28),"")</f>
        <v/>
      </c>
      <c r="Z24" s="39" t="str">
        <f>IF(AND('Mapa final'!$AH$29="Alta",'Mapa final'!$AJ$29="Moderado"),CONCATENATE("R2C",'Mapa final'!$R$29),"")</f>
        <v/>
      </c>
      <c r="AA24" s="39" t="str">
        <f>IF(AND('Mapa final'!$AH$30="Alta",'Mapa final'!$AJ$30="Moderado"),CONCATENATE("R2C",'Mapa final'!$R$30),"")</f>
        <v/>
      </c>
      <c r="AB24" s="40" t="str">
        <f>IF(AND('Mapa final'!$AH$31="Alta",'Mapa final'!$AJ$31="Moderado"),CONCATENATE("R2C",'Mapa final'!$R$31),"")</f>
        <v/>
      </c>
      <c r="AC24" s="38" t="str">
        <f>IF(AND('Mapa final'!$AH$26="Alta",'Mapa final'!$AJ$26="Mayor"),CONCATENATE("R2C",'Mapa final'!$R$26),"")</f>
        <v/>
      </c>
      <c r="AD24" s="39" t="str">
        <f>IF(AND('Mapa final'!$AH$27="Alta",'Mapa final'!$AJ$27="Mayor"),CONCATENATE("R2C",'Mapa final'!$R$27),"")</f>
        <v/>
      </c>
      <c r="AE24" s="39" t="str">
        <f>IF(AND('Mapa final'!$AH$28="Alta",'Mapa final'!$AJ$28="Mayor"),CONCATENATE("R2C",'Mapa final'!$R$28),"")</f>
        <v/>
      </c>
      <c r="AF24" s="39" t="str">
        <f>IF(AND('Mapa final'!$AH$29="Alta",'Mapa final'!$AJ$29="Mayor"),CONCATENATE("R2C",'Mapa final'!$R$29),"")</f>
        <v/>
      </c>
      <c r="AG24" s="39" t="str">
        <f>IF(AND('Mapa final'!$AH$30="Alta",'Mapa final'!$AJ$30="Mayor"),CONCATENATE("R2C",'Mapa final'!$R$30),"")</f>
        <v/>
      </c>
      <c r="AH24" s="40" t="str">
        <f>IF(AND('Mapa final'!$AH$31="Alta",'Mapa final'!$AJ$31="Mayor"),CONCATENATE("R2C",'Mapa final'!$R$31),"")</f>
        <v/>
      </c>
      <c r="AI24" s="41" t="str">
        <f>IF(AND('Mapa final'!$AH$26="Alta",'Mapa final'!$AJ$26="Catastrófico"),CONCATENATE("R2C",'Mapa final'!$R$26),"")</f>
        <v/>
      </c>
      <c r="AJ24" s="42" t="str">
        <f>IF(AND('Mapa final'!$AH$27="Alta",'Mapa final'!$AJ$27="Catastrófico"),CONCATENATE("R2C",'Mapa final'!$R$27),"")</f>
        <v/>
      </c>
      <c r="AK24" s="42" t="str">
        <f>IF(AND('Mapa final'!$AH$28="Alta",'Mapa final'!$AJ$28="Catastrófico"),CONCATENATE("R2C",'Mapa final'!$R$28),"")</f>
        <v/>
      </c>
      <c r="AL24" s="42" t="str">
        <f>IF(AND('Mapa final'!$AH$29="Alta",'Mapa final'!$AJ$29="Catastrófico"),CONCATENATE("R2C",'Mapa final'!$R$29),"")</f>
        <v/>
      </c>
      <c r="AM24" s="42" t="str">
        <f>IF(AND('Mapa final'!$AH$30="Alta",'Mapa final'!$AJ$30="Catastrófico"),CONCATENATE("R2C",'Mapa final'!$R$30),"")</f>
        <v/>
      </c>
      <c r="AN24" s="43" t="str">
        <f>IF(AND('Mapa final'!$AH$31="Alta",'Mapa final'!$AJ$31="Catastrófico"),CONCATENATE("R2C",'Mapa final'!$R$31),"")</f>
        <v/>
      </c>
      <c r="AO24" s="68"/>
      <c r="AP24" s="514"/>
      <c r="AQ24" s="515"/>
      <c r="AR24" s="515"/>
      <c r="AS24" s="515"/>
      <c r="AT24" s="515"/>
      <c r="AU24" s="516"/>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row>
    <row r="25" spans="2:77" ht="15" customHeight="1">
      <c r="B25" s="68"/>
      <c r="C25" s="461"/>
      <c r="D25" s="461"/>
      <c r="E25" s="462"/>
      <c r="F25" s="504"/>
      <c r="G25" s="505"/>
      <c r="H25" s="505"/>
      <c r="I25" s="505"/>
      <c r="J25" s="505"/>
      <c r="K25" s="53" t="str">
        <f>IF(AND('Mapa final'!$AH$32="Alta",'Mapa final'!$AJ$32="Leve"),CONCATENATE("R2C",'Mapa final'!$R$32),"")</f>
        <v/>
      </c>
      <c r="L25" s="54" t="str">
        <f>IF(AND('Mapa final'!$AH$33="Alta",'Mapa final'!$AJ$33="Leve"),CONCATENATE("R2C",'Mapa final'!$R$33),"")</f>
        <v/>
      </c>
      <c r="M25" s="54" t="str">
        <f>IF(AND('Mapa final'!$AH$34="Alta",'Mapa final'!$AJ$34="Leve"),CONCATENATE("R2C",'Mapa final'!$R$34),"")</f>
        <v/>
      </c>
      <c r="N25" s="54" t="e">
        <f>IF(AND('Mapa final'!#REF!="Alta",'Mapa final'!#REF!="Leve"),CONCATENATE("R2C",'Mapa final'!#REF!),"")</f>
        <v>#REF!</v>
      </c>
      <c r="O25" s="54" t="str">
        <f>IF(AND('Mapa final'!$AH$36="Alta",'Mapa final'!$AJ$36="Leve"),CONCATENATE("R2C",'Mapa final'!$R$36),"")</f>
        <v/>
      </c>
      <c r="P25" s="55" t="str">
        <f>IF(AND('Mapa final'!$AH$37="Alta",'Mapa final'!$AJ$37="Leve"),CONCATENATE("R2C",'Mapa final'!$R$37),"")</f>
        <v/>
      </c>
      <c r="Q25" s="53" t="str">
        <f>IF(AND('Mapa final'!$AH$32="Alta",'Mapa final'!$AJ$32="Menor"),CONCATENATE("R2C",'Mapa final'!$R$32),"")</f>
        <v/>
      </c>
      <c r="R25" s="54" t="str">
        <f>IF(AND('Mapa final'!$AH$33="Alta",'Mapa final'!$AJ$33="Menor"),CONCATENATE("R2C",'Mapa final'!$R$33),"")</f>
        <v/>
      </c>
      <c r="S25" s="54" t="str">
        <f>IF(AND('Mapa final'!$AH$34="Alta",'Mapa final'!$AJ$34="Menor"),CONCATENATE("R2C",'Mapa final'!$R$34),"")</f>
        <v/>
      </c>
      <c r="T25" s="54" t="str">
        <f>IF(AND('Mapa final'!$AH$35="Alta",'Mapa final'!$AJ$35="Menor"),CONCATENATE("R2C",'Mapa final'!$R$35),"")</f>
        <v/>
      </c>
      <c r="U25" s="54" t="str">
        <f>IF(AND('Mapa final'!$AH$36="Alta",'Mapa final'!$AJ$36="LMenor"),CONCATENATE("R2C",'Mapa final'!$R$36),"")</f>
        <v/>
      </c>
      <c r="V25" s="55" t="str">
        <f>IF(AND('Mapa final'!$AH$37="Alta",'Mapa final'!$AJ$37="Menor"),CONCATENATE("R2C",'Mapa final'!$R$37),"")</f>
        <v/>
      </c>
      <c r="W25" s="38" t="str">
        <f>IF(AND('Mapa final'!$AH$32="Alta",'Mapa final'!$AJ$32="Moderado"),CONCATENATE("R2C",'Mapa final'!$R$32),"")</f>
        <v/>
      </c>
      <c r="X25" s="39" t="str">
        <f>IF(AND('Mapa final'!$AH$33="Alta",'Mapa final'!$AJ$33="Moderado"),CONCATENATE("R2C",'Mapa final'!$R$33),"")</f>
        <v/>
      </c>
      <c r="Y25" s="39" t="str">
        <f>IF(AND('Mapa final'!$AH$34="Alta",'Mapa final'!$AJ$34="Moderado"),CONCATENATE("R2C",'Mapa final'!$R$34),"")</f>
        <v/>
      </c>
      <c r="Z25" s="39" t="str">
        <f>IF(AND('Mapa final'!$AH$35="Alta",'Mapa final'!$AJ$35="Moderado"),CONCATENATE("R2C",'Mapa final'!$R$35),"")</f>
        <v/>
      </c>
      <c r="AA25" s="39" t="str">
        <f>IF(AND('Mapa final'!$AH$36="Alta",'Mapa final'!$AJ$36="Moderado"),CONCATENATE("R2C",'Mapa final'!$R$36),"")</f>
        <v/>
      </c>
      <c r="AB25" s="40" t="str">
        <f>IF(AND('Mapa final'!$AH$37="Alta",'Mapa final'!$AJ$37="Moderado"),CONCATENATE("R2C",'Mapa final'!$R$37),"")</f>
        <v/>
      </c>
      <c r="AC25" s="38" t="str">
        <f>IF(AND('Mapa final'!$AH$32="Alta",'Mapa final'!$AJ$32="Mayor"),CONCATENATE("R2C",'Mapa final'!$R$32),"")</f>
        <v/>
      </c>
      <c r="AD25" s="39" t="str">
        <f>IF(AND('Mapa final'!$AH$33="Alta",'Mapa final'!$AJ$33="Mayor"),CONCATENATE("R2C",'Mapa final'!$R$33),"")</f>
        <v/>
      </c>
      <c r="AE25" s="39" t="str">
        <f>IF(AND('Mapa final'!$AH$34="Alta",'Mapa final'!$AJ$34="Mayor"),CONCATENATE("R2C",'Mapa final'!$R$34),"")</f>
        <v/>
      </c>
      <c r="AF25" s="39" t="str">
        <f>IF(AND('Mapa final'!$AH$35="Alta",'Mapa final'!$AJ$35="Mayor"),CONCATENATE("R2C",'Mapa final'!$R$35),"")</f>
        <v/>
      </c>
      <c r="AG25" s="39" t="str">
        <f>IF(AND('Mapa final'!$AH$36="Alta",'Mapa final'!$AJ$36="Mayor"),CONCATENATE("R2C",'Mapa final'!$R$36),"")</f>
        <v/>
      </c>
      <c r="AH25" s="40" t="str">
        <f>IF(AND('Mapa final'!$AH$37="Alta",'Mapa final'!$AJ$37="Mayor"),CONCATENATE("R2C",'Mapa final'!$R$37),"")</f>
        <v/>
      </c>
      <c r="AI25" s="41" t="str">
        <f>IF(AND('Mapa final'!$AH$32="Alta",'Mapa final'!$AJ$32="Catastrófico"),CONCATENATE("R2C",'Mapa final'!$R$32),"")</f>
        <v/>
      </c>
      <c r="AJ25" s="42" t="str">
        <f>IF(AND('Mapa final'!$AH$33="Alta",'Mapa final'!$AJ$33="Catastrófico"),CONCATENATE("R2C",'Mapa final'!$R$33),"")</f>
        <v/>
      </c>
      <c r="AK25" s="42" t="str">
        <f>IF(AND('Mapa final'!$AH$34="Alta",'Mapa final'!$AJ$34="Catastrófico"),CONCATENATE("R2C",'Mapa final'!$R$34),"")</f>
        <v/>
      </c>
      <c r="AL25" s="42" t="str">
        <f>IF(AND('Mapa final'!$AH$35="Alta",'Mapa final'!$AJ$35="Catastrófico"),CONCATENATE("R2C",'Mapa final'!$R$35),"")</f>
        <v/>
      </c>
      <c r="AM25" s="42" t="str">
        <f>IF(AND('Mapa final'!$AH$36="Alta",'Mapa final'!$AJ$36="LCatastrófico"),CONCATENATE("R2C",'Mapa final'!$R$36),"")</f>
        <v/>
      </c>
      <c r="AN25" s="43" t="str">
        <f>IF(AND('Mapa final'!$AH$37="Alta",'Mapa final'!$AJ$37="Catastrófico"),CONCATENATE("R2C",'Mapa final'!$R$37),"")</f>
        <v/>
      </c>
      <c r="AO25" s="68"/>
      <c r="AP25" s="514"/>
      <c r="AQ25" s="515"/>
      <c r="AR25" s="515"/>
      <c r="AS25" s="515"/>
      <c r="AT25" s="515"/>
      <c r="AU25" s="516"/>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row>
    <row r="26" spans="2:77" ht="15" customHeight="1">
      <c r="B26" s="68"/>
      <c r="C26" s="461"/>
      <c r="D26" s="461"/>
      <c r="E26" s="462"/>
      <c r="F26" s="504"/>
      <c r="G26" s="505"/>
      <c r="H26" s="505"/>
      <c r="I26" s="505"/>
      <c r="J26" s="505"/>
      <c r="K26" s="53" t="str">
        <f>IF(AND('Mapa final'!$AH$38="Alta",'Mapa final'!$AJ$38="Leve"),CONCATENATE("R2C",'Mapa final'!$R$38),"")</f>
        <v/>
      </c>
      <c r="L26" s="54" t="str">
        <f>IF(AND('Mapa final'!$AH$39="Alta",'Mapa final'!$AJ$39="Leve"),CONCATENATE("R2C",'Mapa final'!$R$39),"")</f>
        <v/>
      </c>
      <c r="M26" s="54" t="str">
        <f>IF(AND('Mapa final'!$AH$40="Alta",'Mapa final'!$AJ$40="Leve"),CONCATENATE("R2C",'Mapa final'!$R$40),"")</f>
        <v/>
      </c>
      <c r="N26" s="54" t="e">
        <f>IF(AND('Mapa final'!#REF!="Alta",'Mapa final'!#REF!="Leve"),CONCATENATE("R2C",'Mapa final'!#REF!),"")</f>
        <v>#REF!</v>
      </c>
      <c r="O26" s="54" t="str">
        <f>IF(AND('Mapa final'!$AH$42="Alta",'Mapa final'!$AJ$42="Leve"),CONCATENATE("R2C",'Mapa final'!$R$42),"")</f>
        <v/>
      </c>
      <c r="P26" s="55" t="str">
        <f>IF(AND('Mapa final'!$AH$43="Alta",'Mapa final'!$AJ$43="Leve"),CONCATENATE("R2C",'Mapa final'!$R$43),"")</f>
        <v/>
      </c>
      <c r="Q26" s="53" t="str">
        <f>IF(AND('Mapa final'!$AH$38="Alta",'Mapa final'!$AJ$38="Menor"),CONCATENATE("R2C",'Mapa final'!$R$38),"")</f>
        <v/>
      </c>
      <c r="R26" s="54" t="str">
        <f>IF(AND('Mapa final'!$AH$39="Alta",'Mapa final'!$AJ$39="Menor"),CONCATENATE("R2C",'Mapa final'!$R$39),"")</f>
        <v/>
      </c>
      <c r="S26" s="54" t="str">
        <f>IF(AND('Mapa final'!$AH$40="Alta",'Mapa final'!$AJ$40="Menor"),CONCATENATE("R2C",'Mapa final'!$R$40),"")</f>
        <v/>
      </c>
      <c r="T26" s="54" t="str">
        <f>IF(AND('Mapa final'!$AH$41="Alta",'Mapa final'!$AJ$41="Menor"),CONCATENATE("R2C",'Mapa final'!$R$41),"")</f>
        <v/>
      </c>
      <c r="U26" s="54" t="str">
        <f>IF(AND('Mapa final'!$AH$42="Alta",'Mapa final'!$AJ$42="Menor"),CONCATENATE("R2C",'Mapa final'!$R$42),"")</f>
        <v/>
      </c>
      <c r="V26" s="55" t="str">
        <f>IF(AND('Mapa final'!$AH$43="Alta",'Mapa final'!$AJ$43="Menor"),CONCATENATE("R2C",'Mapa final'!$R$43),"")</f>
        <v/>
      </c>
      <c r="W26" s="38" t="str">
        <f>IF(AND('Mapa final'!$AH$38="Alta",'Mapa final'!$AJ$38="Moderado"),CONCATENATE("R2C",'Mapa final'!$R$38),"")</f>
        <v/>
      </c>
      <c r="X26" s="39" t="str">
        <f>IF(AND('Mapa final'!$AH$39="Alta",'Mapa final'!$AJ$39="Moderado"),CONCATENATE("R2C",'Mapa final'!$R$39),"")</f>
        <v/>
      </c>
      <c r="Y26" s="39" t="str">
        <f>IF(AND('Mapa final'!$AH$40="Alta",'Mapa final'!$AJ$40="Moderado"),CONCATENATE("R2C",'Mapa final'!$R$40),"")</f>
        <v/>
      </c>
      <c r="Z26" s="39" t="str">
        <f>IF(AND('Mapa final'!$AH$41="Alta",'Mapa final'!$AJ$41="Moderado"),CONCATENATE("R2C",'Mapa final'!$R$41),"")</f>
        <v/>
      </c>
      <c r="AA26" s="39" t="str">
        <f>IF(AND('Mapa final'!$AH$42="Alta",'Mapa final'!$AJ$42="Moderado"),CONCATENATE("R2C",'Mapa final'!$R$42),"")</f>
        <v/>
      </c>
      <c r="AB26" s="40" t="str">
        <f>IF(AND('Mapa final'!$AH$43="Alta",'Mapa final'!$AJ$43="Moderado"),CONCATENATE("R2C",'Mapa final'!$R$43),"")</f>
        <v/>
      </c>
      <c r="AC26" s="38" t="str">
        <f>IF(AND('Mapa final'!$AH$38="Alta",'Mapa final'!$AJ$38="Mayor"),CONCATENATE("R2C",'Mapa final'!$R$38),"")</f>
        <v/>
      </c>
      <c r="AD26" s="39" t="str">
        <f>IF(AND('Mapa final'!$AH$39="Alta",'Mapa final'!$AJ$39="Mayor"),CONCATENATE("R2C",'Mapa final'!$R$39),"")</f>
        <v/>
      </c>
      <c r="AE26" s="39" t="str">
        <f>IF(AND('Mapa final'!$AH$40="Alta",'Mapa final'!$AJ$40="Mayor"),CONCATENATE("R2C",'Mapa final'!$R$40),"")</f>
        <v/>
      </c>
      <c r="AF26" s="39" t="str">
        <f>IF(AND('Mapa final'!$AH$41="Alta",'Mapa final'!$AJ$41="Mayor"),CONCATENATE("R2C",'Mapa final'!$R$41),"")</f>
        <v/>
      </c>
      <c r="AG26" s="39" t="str">
        <f>IF(AND('Mapa final'!$AH$42="Alta",'Mapa final'!$AJ$42="Mayor"),CONCATENATE("R2C",'Mapa final'!$R$42),"")</f>
        <v/>
      </c>
      <c r="AH26" s="40" t="str">
        <f>IF(AND('Mapa final'!$AH$43="Alta",'Mapa final'!$AJ$43="Mayor"),CONCATENATE("R2C",'Mapa final'!$R$43),"")</f>
        <v/>
      </c>
      <c r="AI26" s="41" t="str">
        <f>IF(AND('Mapa final'!$AH$38="Alta",'Mapa final'!$AJ$38="Catastrófico"),CONCATENATE("R2C",'Mapa final'!$R$38),"")</f>
        <v/>
      </c>
      <c r="AJ26" s="42" t="str">
        <f>IF(AND('Mapa final'!$AH$39="Alta",'Mapa final'!$AJ$39="Catastrófico"),CONCATENATE("R2C",'Mapa final'!$R$39),"")</f>
        <v/>
      </c>
      <c r="AK26" s="42" t="str">
        <f>IF(AND('Mapa final'!$AH$40="Alta",'Mapa final'!$AJ$40="Catastrófico"),CONCATENATE("R2C",'Mapa final'!$R$40),"")</f>
        <v/>
      </c>
      <c r="AL26" s="42" t="str">
        <f>IF(AND('Mapa final'!$AH$41="Alta",'Mapa final'!$AJ$41="Catastrófico"),CONCATENATE("R2C",'Mapa final'!$R$41),"")</f>
        <v/>
      </c>
      <c r="AM26" s="42" t="str">
        <f>IF(AND('Mapa final'!$AH$42="Alta",'Mapa final'!$AJ$42="Catastrófico"),CONCATENATE("R2C",'Mapa final'!$R$42),"")</f>
        <v/>
      </c>
      <c r="AN26" s="43" t="str">
        <f>IF(AND('Mapa final'!$AH$43="Alta",'Mapa final'!$AJ$43="Catastrófico"),CONCATENATE("R2C",'Mapa final'!$R$43),"")</f>
        <v/>
      </c>
      <c r="AO26" s="68"/>
      <c r="AP26" s="514"/>
      <c r="AQ26" s="515"/>
      <c r="AR26" s="515"/>
      <c r="AS26" s="515"/>
      <c r="AT26" s="515"/>
      <c r="AU26" s="516"/>
      <c r="AV26" s="68"/>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row>
    <row r="27" spans="2:77" ht="15" customHeight="1">
      <c r="B27" s="68"/>
      <c r="C27" s="461"/>
      <c r="D27" s="461"/>
      <c r="E27" s="462"/>
      <c r="F27" s="504"/>
      <c r="G27" s="505"/>
      <c r="H27" s="505"/>
      <c r="I27" s="505"/>
      <c r="J27" s="505"/>
      <c r="K27" s="53" t="str">
        <f>IF(AND('Mapa final'!$AH$44="Alta",'Mapa final'!$AJ$44="Leve"),CONCATENATE("R2C",'Mapa final'!$R$44),"")</f>
        <v/>
      </c>
      <c r="L27" s="54" t="str">
        <f>IF(AND('Mapa final'!$AH$45="Alta",'Mapa final'!$AJ$45="Leve"),CONCATENATE("R2C",'Mapa final'!$R$45),"")</f>
        <v/>
      </c>
      <c r="M27" s="54" t="str">
        <f>IF(AND('Mapa final'!$AH$46="Alta",'Mapa final'!$AJ$46="Leve"),CONCATENATE("R2C",'Mapa final'!$R$46),"")</f>
        <v/>
      </c>
      <c r="N27" s="54" t="e">
        <f>IF(AND('Mapa final'!#REF!="Alta",'Mapa final'!#REF!="Leve"),CONCATENATE("R2C",'Mapa final'!#REF!),"")</f>
        <v>#REF!</v>
      </c>
      <c r="O27" s="54" t="str">
        <f>IF(AND('Mapa final'!$AH$48="Alta",'Mapa final'!$AJ$48="Leve"),CONCATENATE("R2C",'Mapa final'!$R$48),"")</f>
        <v/>
      </c>
      <c r="P27" s="55" t="str">
        <f>IF(AND('Mapa final'!$AH$59="Alta",'Mapa final'!$AJ$49="Leve"),CONCATENATE("R2C",'Mapa final'!$R$49),"")</f>
        <v/>
      </c>
      <c r="Q27" s="53" t="str">
        <f>IF(AND('Mapa final'!$AH$44="Alta",'Mapa final'!$AJ$44="Menor"),CONCATENATE("R2C",'Mapa final'!$R$44),"")</f>
        <v/>
      </c>
      <c r="R27" s="54" t="str">
        <f>IF(AND('Mapa final'!$AH$45="Alta",'Mapa final'!$AJ$45="Menor"),CONCATENATE("R2C",'Mapa final'!$R$45),"")</f>
        <v/>
      </c>
      <c r="S27" s="54" t="str">
        <f>IF(AND('Mapa final'!$AH$46="Alta",'Mapa final'!$AJ$46="Menor"),CONCATENATE("R2C",'Mapa final'!$R$46),"")</f>
        <v/>
      </c>
      <c r="T27" s="54" t="str">
        <f>IF(AND('Mapa final'!$AH$47="Alta",'Mapa final'!$AJ$47="Menor"),CONCATENATE("R2C",'Mapa final'!$R$47),"")</f>
        <v/>
      </c>
      <c r="U27" s="54" t="str">
        <f>IF(AND('Mapa final'!$AH$48="Alta",'Mapa final'!$AJ$48="Menor"),CONCATENATE("R2C",'Mapa final'!$R$48),"")</f>
        <v/>
      </c>
      <c r="V27" s="55" t="str">
        <f>IF(AND('Mapa final'!$AH$59="Alta",'Mapa final'!$AJ$49="Menor"),CONCATENATE("R2C",'Mapa final'!$R$49),"")</f>
        <v/>
      </c>
      <c r="W27" s="38" t="str">
        <f>IF(AND('Mapa final'!$AH$44="Alta",'Mapa final'!$AJ$44="Moderado"),CONCATENATE("R2C",'Mapa final'!$R$44),"")</f>
        <v/>
      </c>
      <c r="X27" s="39" t="str">
        <f>IF(AND('Mapa final'!$AH$45="Alta",'Mapa final'!$AJ$45="Moderado"),CONCATENATE("R2C",'Mapa final'!$R$45),"")</f>
        <v/>
      </c>
      <c r="Y27" s="39" t="str">
        <f>IF(AND('Mapa final'!$AH$46="Alta",'Mapa final'!$AJ$46="Moderado"),CONCATENATE("R2C",'Mapa final'!$R$46),"")</f>
        <v/>
      </c>
      <c r="Z27" s="39" t="str">
        <f>IF(AND('Mapa final'!$AH$47="Alta",'Mapa final'!$AJ$47="Moderado"),CONCATENATE("R2C",'Mapa final'!$R$47),"")</f>
        <v/>
      </c>
      <c r="AA27" s="39" t="str">
        <f>IF(AND('Mapa final'!$AH$48="Alta",'Mapa final'!$AJ$48="Moderado"),CONCATENATE("R2C",'Mapa final'!$R$48),"")</f>
        <v/>
      </c>
      <c r="AB27" s="40" t="str">
        <f>IF(AND('Mapa final'!$AH$59="Alta",'Mapa final'!$AJ$49="Moderado"),CONCATENATE("R2C",'Mapa final'!$R$49),"")</f>
        <v/>
      </c>
      <c r="AC27" s="38" t="str">
        <f>IF(AND('Mapa final'!$AH$44="Alta",'Mapa final'!$AJ$44="Mayor"),CONCATENATE("R2C",'Mapa final'!$R$44),"")</f>
        <v/>
      </c>
      <c r="AD27" s="39" t="str">
        <f>IF(AND('Mapa final'!$AH$45="Alta",'Mapa final'!$AJ$45="Mayor"),CONCATENATE("R2C",'Mapa final'!$R$45),"")</f>
        <v/>
      </c>
      <c r="AE27" s="39" t="str">
        <f>IF(AND('Mapa final'!$AH$46="Alta",'Mapa final'!$AJ$46="Mayor"),CONCATENATE("R2C",'Mapa final'!$R$46),"")</f>
        <v/>
      </c>
      <c r="AF27" s="39" t="str">
        <f>IF(AND('Mapa final'!$AH$47="Alta",'Mapa final'!$AJ$47="Mayor"),CONCATENATE("R2C",'Mapa final'!$R$47),"")</f>
        <v/>
      </c>
      <c r="AG27" s="39" t="str">
        <f>IF(AND('Mapa final'!$AH$48="Alta",'Mapa final'!$AJ$48="Mayor"),CONCATENATE("R2C",'Mapa final'!$R$48),"")</f>
        <v/>
      </c>
      <c r="AH27" s="40" t="str">
        <f>IF(AND('Mapa final'!$AH$59="Alta",'Mapa final'!$AJ$49="Mayor"),CONCATENATE("R2C",'Mapa final'!$R$49),"")</f>
        <v/>
      </c>
      <c r="AI27" s="41" t="str">
        <f>IF(AND('Mapa final'!$AH$44="Alta",'Mapa final'!$AJ$44="Catastrófico"),CONCATENATE("R2C",'Mapa final'!$R$44),"")</f>
        <v/>
      </c>
      <c r="AJ27" s="42" t="str">
        <f>IF(AND('Mapa final'!$AH$45="Alta",'Mapa final'!$AJ$45="Catastrófico"),CONCATENATE("R2C",'Mapa final'!$R$45),"")</f>
        <v/>
      </c>
      <c r="AK27" s="42" t="str">
        <f>IF(AND('Mapa final'!$AH$46="Alta",'Mapa final'!$AJ$46="Catastrófico"),CONCATENATE("R2C",'Mapa final'!$R$46),"")</f>
        <v/>
      </c>
      <c r="AL27" s="42" t="str">
        <f>IF(AND('Mapa final'!$AH$47="Alta",'Mapa final'!$AJ$47="Catastrófico"),CONCATENATE("R2C",'Mapa final'!$R$47),"")</f>
        <v/>
      </c>
      <c r="AM27" s="42" t="str">
        <f>IF(AND('Mapa final'!$AH$48="Alta",'Mapa final'!$AJ$48="Catastrófico"),CONCATENATE("R2C",'Mapa final'!$R$48),"")</f>
        <v/>
      </c>
      <c r="AN27" s="43" t="str">
        <f>IF(AND('Mapa final'!$AH$59="Alta",'Mapa final'!$AJ$49="Catastrófico"),CONCATENATE("R2C",'Mapa final'!$R$49),"")</f>
        <v/>
      </c>
      <c r="AO27" s="68"/>
      <c r="AP27" s="514"/>
      <c r="AQ27" s="515"/>
      <c r="AR27" s="515"/>
      <c r="AS27" s="515"/>
      <c r="AT27" s="515"/>
      <c r="AU27" s="516"/>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row>
    <row r="28" spans="2:77" ht="15" customHeight="1">
      <c r="B28" s="68"/>
      <c r="C28" s="461"/>
      <c r="D28" s="461"/>
      <c r="E28" s="462"/>
      <c r="F28" s="504"/>
      <c r="G28" s="505"/>
      <c r="H28" s="505"/>
      <c r="I28" s="505"/>
      <c r="J28" s="505"/>
      <c r="K28" s="53" t="str">
        <f>IF(AND('Mapa final'!$AH$50="Alta",'Mapa final'!$AJ$50="Leve"),CONCATENATE("R2C",'Mapa final'!$R$50),"")</f>
        <v/>
      </c>
      <c r="L28" s="54" t="str">
        <f>IF(AND('Mapa final'!$AH$51="Alta",'Mapa final'!$AJ$51="Leve"),CONCATENATE("R2C",'Mapa final'!$R$51),"")</f>
        <v/>
      </c>
      <c r="M28" s="54" t="str">
        <f>IF(AND('Mapa final'!$AH$52="Alta",'Mapa final'!$AJ$52="Leve"),CONCATENATE("R2C",'Mapa final'!$R$52),"")</f>
        <v/>
      </c>
      <c r="N28" s="54" t="e">
        <f>IF(AND('Mapa final'!#REF!="Alta",'Mapa final'!#REF!="Leve"),CONCATENATE("R2C",'Mapa final'!#REF!),"")</f>
        <v>#REF!</v>
      </c>
      <c r="O28" s="54" t="str">
        <f>IF(AND('Mapa final'!$AH$54="Alta",'Mapa final'!$AJ$54="Leve"),CONCATENATE("R2C",'Mapa final'!$R$54),"")</f>
        <v/>
      </c>
      <c r="P28" s="55" t="str">
        <f>IF(AND('Mapa final'!$AH$55="Alta",'Mapa final'!$AJ$55="Leve"),CONCATENATE("R2C",'Mapa final'!$R$55),"")</f>
        <v/>
      </c>
      <c r="Q28" s="53" t="str">
        <f>IF(AND('Mapa final'!$AH$50="Alta",'Mapa final'!$AJ$50="Menor"),CONCATENATE("R2C",'Mapa final'!$R$50),"")</f>
        <v/>
      </c>
      <c r="R28" s="54" t="str">
        <f>IF(AND('Mapa final'!$AH$51="Alta",'Mapa final'!$AJ$51="Menor"),CONCATENATE("R2C",'Mapa final'!$R$51),"")</f>
        <v/>
      </c>
      <c r="S28" s="54" t="str">
        <f>IF(AND('Mapa final'!$AH$52="Alta",'Mapa final'!$AJ$52="Menor"),CONCATENATE("R2C",'Mapa final'!$R$52),"")</f>
        <v/>
      </c>
      <c r="T28" s="54" t="str">
        <f>IF(AND('Mapa final'!$AH$53="Alta",'Mapa final'!$AJ$53="Menor"),CONCATENATE("R2C",'Mapa final'!$R$53),"")</f>
        <v/>
      </c>
      <c r="U28" s="54" t="str">
        <f>IF(AND('Mapa final'!$AH$54="Alta",'Mapa final'!$AJ$54="Menor"),CONCATENATE("R2C",'Mapa final'!$R$54),"")</f>
        <v/>
      </c>
      <c r="V28" s="55" t="str">
        <f>IF(AND('Mapa final'!$AH$55="Alta",'Mapa final'!$AJ$55="Menor"),CONCATENATE("R2C",'Mapa final'!$R$55),"")</f>
        <v/>
      </c>
      <c r="W28" s="38" t="str">
        <f>IF(AND('Mapa final'!$AH$50="Alta",'Mapa final'!$AJ$50="Moderado"),CONCATENATE("R2C",'Mapa final'!$R$50),"")</f>
        <v/>
      </c>
      <c r="X28" s="39" t="str">
        <f>IF(AND('Mapa final'!$AH$51="Alta",'Mapa final'!$AJ$51="Moderado"),CONCATENATE("R2C",'Mapa final'!$R$51),"")</f>
        <v/>
      </c>
      <c r="Y28" s="39" t="str">
        <f>IF(AND('Mapa final'!$AH$52="Alta",'Mapa final'!$AJ$52="Moderado"),CONCATENATE("R2C",'Mapa final'!$R$52),"")</f>
        <v/>
      </c>
      <c r="Z28" s="39" t="str">
        <f>IF(AND('Mapa final'!$AH$53="Alta",'Mapa final'!$AJ$53="Moderado"),CONCATENATE("R2C",'Mapa final'!$R$53),"")</f>
        <v/>
      </c>
      <c r="AA28" s="39" t="str">
        <f>IF(AND('Mapa final'!$AH$54="Alta",'Mapa final'!$AJ$54="Moderado"),CONCATENATE("R2C",'Mapa final'!$R$54),"")</f>
        <v/>
      </c>
      <c r="AB28" s="40" t="str">
        <f>IF(AND('Mapa final'!$AH$55="Alta",'Mapa final'!$AJ$55="Moderado"),CONCATENATE("R2C",'Mapa final'!$R$55),"")</f>
        <v/>
      </c>
      <c r="AC28" s="38" t="str">
        <f>IF(AND('Mapa final'!$AH$50="Alta",'Mapa final'!$AJ$50="Mayor"),CONCATENATE("R2C",'Mapa final'!$R$50),"")</f>
        <v/>
      </c>
      <c r="AD28" s="39" t="str">
        <f>IF(AND('Mapa final'!$AH$51="Alta",'Mapa final'!$AJ$51="Mayor"),CONCATENATE("R2C",'Mapa final'!$R$51),"")</f>
        <v/>
      </c>
      <c r="AE28" s="39" t="str">
        <f>IF(AND('Mapa final'!$AH$52="Alta",'Mapa final'!$AJ$52="Mayor"),CONCATENATE("R2C",'Mapa final'!$R$52),"")</f>
        <v/>
      </c>
      <c r="AF28" s="39" t="str">
        <f>IF(AND('Mapa final'!$AH$53="Alta",'Mapa final'!$AJ$53="Mayor"),CONCATENATE("R2C",'Mapa final'!$R$53),"")</f>
        <v/>
      </c>
      <c r="AG28" s="39" t="str">
        <f>IF(AND('Mapa final'!$AH$54="Alta",'Mapa final'!$AJ$54="Mayor"),CONCATENATE("R2C",'Mapa final'!$R$54),"")</f>
        <v/>
      </c>
      <c r="AH28" s="40" t="str">
        <f>IF(AND('Mapa final'!$AH$55="Alta",'Mapa final'!$AJ$55="Mayor"),CONCATENATE("R2C",'Mapa final'!$R$55),"")</f>
        <v/>
      </c>
      <c r="AI28" s="41" t="str">
        <f>IF(AND('Mapa final'!$AH$50="Alta",'Mapa final'!$AJ$50="Catastrófico"),CONCATENATE("R2C",'Mapa final'!$R$50),"")</f>
        <v/>
      </c>
      <c r="AJ28" s="42" t="str">
        <f>IF(AND('Mapa final'!$AH$51="Alta",'Mapa final'!$AJ$51="Catastrófico"),CONCATENATE("R2C",'Mapa final'!$R$51),"")</f>
        <v/>
      </c>
      <c r="AK28" s="42" t="str">
        <f>IF(AND('Mapa final'!$AH$52="Alta",'Mapa final'!$AJ$52="Catastrófico"),CONCATENATE("R2C",'Mapa final'!$R$52),"")</f>
        <v/>
      </c>
      <c r="AL28" s="42" t="str">
        <f>IF(AND('Mapa final'!$AH$53="Alta",'Mapa final'!$AJ$53="Catastrófico"),CONCATENATE("R2C",'Mapa final'!$R$53),"")</f>
        <v/>
      </c>
      <c r="AM28" s="42" t="str">
        <f>IF(AND('Mapa final'!$AH$54="Alta",'Mapa final'!$AJ$54="Catastrófico"),CONCATENATE("R2C",'Mapa final'!$R$54),"")</f>
        <v/>
      </c>
      <c r="AN28" s="43" t="str">
        <f>IF(AND('Mapa final'!$AH$55="Alta",'Mapa final'!$AJ$55="Catastrófico"),CONCATENATE("R2C",'Mapa final'!$R$55),"")</f>
        <v/>
      </c>
      <c r="AO28" s="68"/>
      <c r="AP28" s="514"/>
      <c r="AQ28" s="515"/>
      <c r="AR28" s="515"/>
      <c r="AS28" s="515"/>
      <c r="AT28" s="515"/>
      <c r="AU28" s="516"/>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row>
    <row r="29" spans="2:77" ht="15" customHeight="1">
      <c r="B29" s="68"/>
      <c r="C29" s="461"/>
      <c r="D29" s="461"/>
      <c r="E29" s="462"/>
      <c r="F29" s="504"/>
      <c r="G29" s="505"/>
      <c r="H29" s="505"/>
      <c r="I29" s="505"/>
      <c r="J29" s="505"/>
      <c r="K29" s="53" t="str">
        <f>IF(AND('Mapa final'!$AH$56="Alta",'Mapa final'!$AJ$56="Leve"),CONCATENATE("R2C",'Mapa final'!$R$56),"")</f>
        <v/>
      </c>
      <c r="L29" s="54" t="str">
        <f>IF(AND('Mapa final'!$AH$57="Alta",'Mapa final'!$AJ$57="Leve"),CONCATENATE("R2C",'Mapa final'!$R$57),"")</f>
        <v/>
      </c>
      <c r="M29" s="54" t="str">
        <f>IF(AND('Mapa final'!$AH$58="Alta",'Mapa final'!$AJ$58="Leve"),CONCATENATE("R2C",'Mapa final'!$R$58),"")</f>
        <v/>
      </c>
      <c r="N29" s="54" t="e">
        <f>IF(AND('Mapa final'!#REF!="Alta",'Mapa final'!#REF!="Leve"),CONCATENATE("R2C",'Mapa final'!#REF!),"")</f>
        <v>#REF!</v>
      </c>
      <c r="O29" s="54" t="str">
        <f>IF(AND('Mapa final'!$AH$60="Alta",'Mapa final'!$AJ$60="Leve"),CONCATENATE("R2C",'Mapa final'!$R$60),"")</f>
        <v/>
      </c>
      <c r="P29" s="55" t="str">
        <f>IF(AND('Mapa final'!$AH$61="Alta",'Mapa final'!$AJ$61="Leve"),CONCATENATE("R2C",'Mapa final'!$R$61),"")</f>
        <v/>
      </c>
      <c r="Q29" s="53" t="str">
        <f>IF(AND('Mapa final'!$AH$56="Alta",'Mapa final'!$AJ$56="Menor"),CONCATENATE("R2C",'Mapa final'!$R$56),"")</f>
        <v/>
      </c>
      <c r="R29" s="54" t="str">
        <f>IF(AND('Mapa final'!$AH$57="Alta",'Mapa final'!$AJ$57="Menor"),CONCATENATE("R2C",'Mapa final'!$R$57),"")</f>
        <v/>
      </c>
      <c r="S29" s="54" t="str">
        <f>IF(AND('Mapa final'!$AH$58="Alta",'Mapa final'!$AJ$58="Menor"),CONCATENATE("R2C",'Mapa final'!$R$58),"")</f>
        <v/>
      </c>
      <c r="T29" s="54" t="str">
        <f>IF(AND('Mapa final'!$AH$59="Alta",'Mapa final'!$AJ$59="Menor"),CONCATENATE("R2C",'Mapa final'!$R$59),"")</f>
        <v/>
      </c>
      <c r="U29" s="54" t="str">
        <f>IF(AND('Mapa final'!$AH$60="Alta",'Mapa final'!$AJ$60="Menor"),CONCATENATE("R2C",'Mapa final'!$R$60),"")</f>
        <v/>
      </c>
      <c r="V29" s="55" t="str">
        <f>IF(AND('Mapa final'!$AH$61="Alta",'Mapa final'!$AJ$61="Menor"),CONCATENATE("R2C",'Mapa final'!$R$61),"")</f>
        <v/>
      </c>
      <c r="W29" s="38" t="str">
        <f>IF(AND('Mapa final'!$AH$56="Alta",'Mapa final'!$AJ$56="Moderado"),CONCATENATE("R2C",'Mapa final'!$R$56),"")</f>
        <v/>
      </c>
      <c r="X29" s="39" t="str">
        <f>IF(AND('Mapa final'!$AH$57="Alta",'Mapa final'!$AJ$57="Moderado"),CONCATENATE("R2C",'Mapa final'!$R$57),"")</f>
        <v/>
      </c>
      <c r="Y29" s="39" t="str">
        <f>IF(AND('Mapa final'!$AH$58="Alta",'Mapa final'!$AJ$58="Moderado"),CONCATENATE("R2C",'Mapa final'!$R$58),"")</f>
        <v/>
      </c>
      <c r="Z29" s="39" t="str">
        <f>IF(AND('Mapa final'!$AH$59="Alta",'Mapa final'!$AJ$59="Moderado"),CONCATENATE("R2C",'Mapa final'!$R$59),"")</f>
        <v/>
      </c>
      <c r="AA29" s="39" t="str">
        <f>IF(AND('Mapa final'!$AH$60="Alta",'Mapa final'!$AJ$60="Moderado"),CONCATENATE("R2C",'Mapa final'!$R$60),"")</f>
        <v/>
      </c>
      <c r="AB29" s="40" t="str">
        <f>IF(AND('Mapa final'!$AH$61="Alta",'Mapa final'!$AJ$61="Moderado"),CONCATENATE("R2C",'Mapa final'!$R$61),"")</f>
        <v/>
      </c>
      <c r="AC29" s="38" t="str">
        <f>IF(AND('Mapa final'!$AH$56="Alta",'Mapa final'!$AJ$56="Mayor"),CONCATENATE("R2C",'Mapa final'!$R$56),"")</f>
        <v/>
      </c>
      <c r="AD29" s="39" t="str">
        <f>IF(AND('Mapa final'!$AH$57="Alta",'Mapa final'!$AJ$57="Mayor"),CONCATENATE("R2C",'Mapa final'!$R$57),"")</f>
        <v/>
      </c>
      <c r="AE29" s="39" t="str">
        <f>IF(AND('Mapa final'!$AH$58="Alta",'Mapa final'!$AJ$58="Mayor"),CONCATENATE("R2C",'Mapa final'!$R$58),"")</f>
        <v/>
      </c>
      <c r="AF29" s="39" t="str">
        <f>IF(AND('Mapa final'!$AH$59="Alta",'Mapa final'!$AJ$59="Mayor"),CONCATENATE("R2C",'Mapa final'!$R$59),"")</f>
        <v/>
      </c>
      <c r="AG29" s="39" t="str">
        <f>IF(AND('Mapa final'!$AH$60="Alta",'Mapa final'!$AJ$60="Mayor"),CONCATENATE("R2C",'Mapa final'!$R$60),"")</f>
        <v/>
      </c>
      <c r="AH29" s="40" t="str">
        <f>IF(AND('Mapa final'!$AH$61="Alta",'Mapa final'!$AJ$61="Mayor"),CONCATENATE("R2C",'Mapa final'!$R$61),"")</f>
        <v/>
      </c>
      <c r="AI29" s="41" t="str">
        <f>IF(AND('Mapa final'!$AH$56="Alta",'Mapa final'!$AJ$56="Catastrófico"),CONCATENATE("R2C",'Mapa final'!$R$56),"")</f>
        <v/>
      </c>
      <c r="AJ29" s="42" t="str">
        <f>IF(AND('Mapa final'!$AH$57="Alta",'Mapa final'!$AJ$57="Catastrófico"),CONCATENATE("R2C",'Mapa final'!$R$57),"")</f>
        <v/>
      </c>
      <c r="AK29" s="42" t="str">
        <f>IF(AND('Mapa final'!$AH$58="Alta",'Mapa final'!$AJ$58="Catastrófico"),CONCATENATE("R2C",'Mapa final'!$R$58),"")</f>
        <v/>
      </c>
      <c r="AL29" s="42" t="str">
        <f>IF(AND('Mapa final'!$AH$59="Alta",'Mapa final'!$AJ$59="Catastrófico"),CONCATENATE("R2C",'Mapa final'!$R$59),"")</f>
        <v/>
      </c>
      <c r="AM29" s="42" t="str">
        <f>IF(AND('Mapa final'!$AH$60="Alta",'Mapa final'!$AJ$60="Catastrófico"),CONCATENATE("R2C",'Mapa final'!$R$60),"")</f>
        <v/>
      </c>
      <c r="AN29" s="43" t="str">
        <f>IF(AND('Mapa final'!$AH$61="Alta",'Mapa final'!$AJ$61="Catastrófico"),CONCATENATE("R2C",'Mapa final'!$R$61),"")</f>
        <v/>
      </c>
      <c r="AO29" s="68"/>
      <c r="AP29" s="514"/>
      <c r="AQ29" s="515"/>
      <c r="AR29" s="515"/>
      <c r="AS29" s="515"/>
      <c r="AT29" s="515"/>
      <c r="AU29" s="516"/>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row>
    <row r="30" spans="2:77" ht="15" customHeight="1">
      <c r="B30" s="68"/>
      <c r="C30" s="461"/>
      <c r="D30" s="461"/>
      <c r="E30" s="462"/>
      <c r="F30" s="504"/>
      <c r="G30" s="505"/>
      <c r="H30" s="505"/>
      <c r="I30" s="505"/>
      <c r="J30" s="505"/>
      <c r="K30" s="53" t="str">
        <f>IF(AND('Mapa final'!$AH$62="Alta",'Mapa final'!$AJ$62="Leve"),CONCATENATE("R2C",'Mapa final'!$R$62),"")</f>
        <v/>
      </c>
      <c r="L30" s="54" t="str">
        <f>IF(AND('Mapa final'!$AH$63="Alta",'Mapa final'!$AJ$63="Leve"),CONCATENATE("R2C",'Mapa final'!$R$63),"")</f>
        <v/>
      </c>
      <c r="M30" s="54" t="str">
        <f>IF(AND('Mapa final'!$AH$64="Alta",'Mapa final'!$AJ$64="Leve"),CONCATENATE("R2C",'Mapa final'!$R$64),"")</f>
        <v/>
      </c>
      <c r="N30" s="54" t="e">
        <f>IF(AND('Mapa final'!#REF!="Alta",'Mapa final'!#REF!="Leve"),CONCATENATE("R2C",'Mapa final'!#REF!),"")</f>
        <v>#REF!</v>
      </c>
      <c r="O30" s="54" t="str">
        <f>IF(AND('Mapa final'!$AH$66="Alta",'Mapa final'!$AJ$66="Leve"),CONCATENATE("R2C",'Mapa final'!$R$66),"")</f>
        <v/>
      </c>
      <c r="P30" s="55" t="str">
        <f>IF(AND('Mapa final'!$AH$67="Alta",'Mapa final'!$AJ$67="Leve"),CONCATENATE("R2C",'Mapa final'!$R$67),"")</f>
        <v/>
      </c>
      <c r="Q30" s="53" t="str">
        <f>IF(AND('Mapa final'!$AH$62="Alta",'Mapa final'!$AJ$62="Menor"),CONCATENATE("R2C",'Mapa final'!$R$62),"")</f>
        <v/>
      </c>
      <c r="R30" s="54" t="str">
        <f>IF(AND('Mapa final'!$AH$63="Alta",'Mapa final'!$AJ$63="Menor"),CONCATENATE("R2C",'Mapa final'!$R$63),"")</f>
        <v/>
      </c>
      <c r="S30" s="54" t="str">
        <f>IF(AND('Mapa final'!$AH$64="Alta",'Mapa final'!$AJ$64="Menor"),CONCATENATE("R2C",'Mapa final'!$R$64),"")</f>
        <v/>
      </c>
      <c r="T30" s="54" t="str">
        <f>IF(AND('Mapa final'!$AH$65="Alta",'Mapa final'!$AJ$65="Menor"),CONCATENATE("R2C",'Mapa final'!$R$65),"")</f>
        <v/>
      </c>
      <c r="U30" s="54" t="str">
        <f>IF(AND('Mapa final'!$AH$66="Alta",'Mapa final'!$AJ$66="Menor"),CONCATENATE("R2C",'Mapa final'!$R$66),"")</f>
        <v/>
      </c>
      <c r="V30" s="55" t="str">
        <f>IF(AND('Mapa final'!$AH$67="Alta",'Mapa final'!$AJ$67="Menor"),CONCATENATE("R2C",'Mapa final'!$R$67),"")</f>
        <v/>
      </c>
      <c r="W30" s="38" t="str">
        <f>IF(AND('Mapa final'!$AH$62="Alta",'Mapa final'!$AJ$62="Moderado"),CONCATENATE("R2C",'Mapa final'!$R$62),"")</f>
        <v/>
      </c>
      <c r="X30" s="39" t="str">
        <f>IF(AND('Mapa final'!$AH$63="Alta",'Mapa final'!$AJ$63="Moderado"),CONCATENATE("R2C",'Mapa final'!$R$63),"")</f>
        <v/>
      </c>
      <c r="Y30" s="39" t="str">
        <f>IF(AND('Mapa final'!$AH$64="Alta",'Mapa final'!$AJ$64="Moderado"),CONCATENATE("R2C",'Mapa final'!$R$64),"")</f>
        <v/>
      </c>
      <c r="Z30" s="39" t="str">
        <f>IF(AND('Mapa final'!$AH$65="Alta",'Mapa final'!$AJ$65="Moderado"),CONCATENATE("R2C",'Mapa final'!$R$65),"")</f>
        <v/>
      </c>
      <c r="AA30" s="39" t="str">
        <f>IF(AND('Mapa final'!$AH$66="Alta",'Mapa final'!$AJ$66="Moderado"),CONCATENATE("R2C",'Mapa final'!$R$66),"")</f>
        <v/>
      </c>
      <c r="AB30" s="40" t="str">
        <f>IF(AND('Mapa final'!$AH$67="Alta",'Mapa final'!$AJ$67="Moderado"),CONCATENATE("R2C",'Mapa final'!$R$67),"")</f>
        <v/>
      </c>
      <c r="AC30" s="38" t="str">
        <f>IF(AND('Mapa final'!$AH$62="Alta",'Mapa final'!$AJ$62="Mayor"),CONCATENATE("R2C",'Mapa final'!$R$62),"")</f>
        <v/>
      </c>
      <c r="AD30" s="39" t="str">
        <f>IF(AND('Mapa final'!$AH$63="Alta",'Mapa final'!$AJ$63="Mayor"),CONCATENATE("R2C",'Mapa final'!$R$63),"")</f>
        <v/>
      </c>
      <c r="AE30" s="39" t="str">
        <f>IF(AND('Mapa final'!$AH$64="Alta",'Mapa final'!$AJ$64="Mayor"),CONCATENATE("R2C",'Mapa final'!$R$64),"")</f>
        <v/>
      </c>
      <c r="AF30" s="39" t="str">
        <f>IF(AND('Mapa final'!$AH$65="Alta",'Mapa final'!$AJ$65="Mayor"),CONCATENATE("R2C",'Mapa final'!$R$65),"")</f>
        <v/>
      </c>
      <c r="AG30" s="39" t="str">
        <f>IF(AND('Mapa final'!$AH$66="Alta",'Mapa final'!$AJ$66="Mayor"),CONCATENATE("R2C",'Mapa final'!$R$66),"")</f>
        <v/>
      </c>
      <c r="AH30" s="40" t="str">
        <f>IF(AND('Mapa final'!$AH$67="Alta",'Mapa final'!$AJ$67="Mayor"),CONCATENATE("R2C",'Mapa final'!$R$67),"")</f>
        <v/>
      </c>
      <c r="AI30" s="41" t="str">
        <f>IF(AND('Mapa final'!$AH$62="Alta",'Mapa final'!$AJ$62="Catastrófico"),CONCATENATE("R2C",'Mapa final'!$R$62),"")</f>
        <v/>
      </c>
      <c r="AJ30" s="42" t="str">
        <f>IF(AND('Mapa final'!$AH$63="Alta",'Mapa final'!$AJ$63="Catastrófico"),CONCATENATE("R2C",'Mapa final'!$R$63),"")</f>
        <v/>
      </c>
      <c r="AK30" s="42" t="str">
        <f>IF(AND('Mapa final'!$AH$64="Alta",'Mapa final'!$AJ$64="Catastrófico"),CONCATENATE("R2C",'Mapa final'!$R$64),"")</f>
        <v/>
      </c>
      <c r="AL30" s="42" t="str">
        <f>IF(AND('Mapa final'!$AH$65="Alta",'Mapa final'!$AJ$65="Catastrófico"),CONCATENATE("R2C",'Mapa final'!$R$65),"")</f>
        <v/>
      </c>
      <c r="AM30" s="42" t="str">
        <f>IF(AND('Mapa final'!$AH$66="Alta",'Mapa final'!$AJ$66="Catastrófico"),CONCATENATE("R2C",'Mapa final'!$R$66),"")</f>
        <v/>
      </c>
      <c r="AN30" s="43" t="str">
        <f>IF(AND('Mapa final'!$AH$67="Alta",'Mapa final'!$AJ$67="Catastrófico"),CONCATENATE("R2C",'Mapa final'!$R$67),"")</f>
        <v/>
      </c>
      <c r="AO30" s="68"/>
      <c r="AP30" s="514"/>
      <c r="AQ30" s="515"/>
      <c r="AR30" s="515"/>
      <c r="AS30" s="515"/>
      <c r="AT30" s="515"/>
      <c r="AU30" s="516"/>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row>
    <row r="31" spans="2:77" ht="15.75" customHeight="1" thickBot="1">
      <c r="B31" s="68"/>
      <c r="C31" s="461"/>
      <c r="D31" s="461"/>
      <c r="E31" s="462"/>
      <c r="F31" s="507"/>
      <c r="G31" s="508"/>
      <c r="H31" s="508"/>
      <c r="I31" s="508"/>
      <c r="J31" s="508"/>
      <c r="K31" s="56" t="str">
        <f>IF(AND('Mapa final'!$AH$68="Alta",'Mapa final'!$AJ$68="Leve"),CONCATENATE("R2C",'Mapa final'!$R$68),"")</f>
        <v/>
      </c>
      <c r="L31" s="57" t="str">
        <f>IF(AND('Mapa final'!$AH$69="Alta",'Mapa final'!$AJ$69="Leve"),CONCATENATE("R2C",'Mapa final'!$R$69),"")</f>
        <v/>
      </c>
      <c r="M31" s="57" t="str">
        <f>IF(AND('Mapa final'!$AH$70="Alta",'Mapa final'!$AJ$70="Leve"),CONCATENATE("R2C",'Mapa final'!$R$70),"")</f>
        <v/>
      </c>
      <c r="N31" s="54" t="e">
        <f>IF(AND('Mapa final'!#REF!="Alta",'Mapa final'!#REF!="Leve"),CONCATENATE("R2C",'Mapa final'!#REF!),"")</f>
        <v>#REF!</v>
      </c>
      <c r="O31" s="57" t="str">
        <f>IF(AND('Mapa final'!$AH$73="Alta",'Mapa final'!$AJ$73="Leve"),CONCATENATE("R2C",'Mapa final'!$R$73),"")</f>
        <v/>
      </c>
      <c r="P31" s="58" t="str">
        <f>IF(AND('Mapa final'!$AH$74="Alta",'Mapa final'!$AJ$74="Leve"),CONCATENATE("R2C",'Mapa final'!$R$74),"")</f>
        <v/>
      </c>
      <c r="Q31" s="56" t="str">
        <f>IF(AND('Mapa final'!$AH$68="Alta",'Mapa final'!$AJ$68="Menor"),CONCATENATE("R2C",'Mapa final'!$R$68),"")</f>
        <v/>
      </c>
      <c r="R31" s="57" t="str">
        <f>IF(AND('Mapa final'!$AH$69="Alta",'Mapa final'!$AJ$69="Menor"),CONCATENATE("R2C",'Mapa final'!$R$69),"")</f>
        <v/>
      </c>
      <c r="S31" s="57" t="str">
        <f>IF(AND('Mapa final'!$AH$70="Alta",'Mapa final'!$AJ$70="Menor"),CONCATENATE("R2C",'Mapa final'!$R$70),"")</f>
        <v/>
      </c>
      <c r="T31" s="57" t="str">
        <f>IF(AND('Mapa final'!$AH$71="Alta",'Mapa final'!$AJ$71="Menor"),CONCATENATE("R2C",'Mapa final'!$R$71),"")</f>
        <v/>
      </c>
      <c r="U31" s="57" t="str">
        <f>IF(AND('Mapa final'!$AH$73="Alta",'Mapa final'!$AJ$73="Menor"),CONCATENATE("R2C",'Mapa final'!$R$73),"")</f>
        <v/>
      </c>
      <c r="V31" s="58" t="str">
        <f>IF(AND('Mapa final'!$AH$74="Alta",'Mapa final'!$AJ$74="Menor"),CONCATENATE("R2C",'Mapa final'!$R$74),"")</f>
        <v/>
      </c>
      <c r="W31" s="44" t="str">
        <f>IF(AND('Mapa final'!$AH$68="Alta",'Mapa final'!$AJ$68="Moderado"),CONCATENATE("R2C",'Mapa final'!$R$68),"")</f>
        <v/>
      </c>
      <c r="X31" s="45" t="str">
        <f>IF(AND('Mapa final'!$AH$69="Alta",'Mapa final'!$AJ$69="Moderado"),CONCATENATE("R2C",'Mapa final'!$R$69),"")</f>
        <v/>
      </c>
      <c r="Y31" s="45" t="str">
        <f>IF(AND('Mapa final'!$AH$70="Alta",'Mapa final'!$AJ$70="Moderado"),CONCATENATE("R2C",'Mapa final'!$R$70),"")</f>
        <v/>
      </c>
      <c r="Z31" s="45" t="str">
        <f>IF(AND('Mapa final'!$AH$71="Alta",'Mapa final'!$AJ$71="Moderado"),CONCATENATE("R2C",'Mapa final'!$R$71),"")</f>
        <v/>
      </c>
      <c r="AA31" s="45" t="str">
        <f>IF(AND('Mapa final'!$AH$73="Alta",'Mapa final'!$AJ$73="Moderado"),CONCATENATE("R2C",'Mapa final'!$R$73),"")</f>
        <v/>
      </c>
      <c r="AB31" s="46" t="str">
        <f>IF(AND('Mapa final'!$AH$74="Alta",'Mapa final'!$AJ$74="Moderado"),CONCATENATE("R2C",'Mapa final'!$R$74),"")</f>
        <v/>
      </c>
      <c r="AC31" s="44" t="str">
        <f>IF(AND('Mapa final'!$AH$68="Alta",'Mapa final'!$AJ$68="Mayor"),CONCATENATE("R2C",'Mapa final'!$R$68),"")</f>
        <v/>
      </c>
      <c r="AD31" s="45" t="str">
        <f>IF(AND('Mapa final'!$AH$69="Alta",'Mapa final'!$AJ$69="Mayor"),CONCATENATE("R2C",'Mapa final'!$R$69),"")</f>
        <v/>
      </c>
      <c r="AE31" s="45" t="str">
        <f>IF(AND('Mapa final'!$AH$70="Alta",'Mapa final'!$AJ$70="Mayor"),CONCATENATE("R2C",'Mapa final'!$R$70),"")</f>
        <v/>
      </c>
      <c r="AF31" s="45" t="str">
        <f>IF(AND('Mapa final'!$AH$71="Alta",'Mapa final'!$AJ$71="Mayor"),CONCATENATE("R2C",'Mapa final'!$R$71),"")</f>
        <v/>
      </c>
      <c r="AG31" s="45" t="str">
        <f>IF(AND('Mapa final'!$AH$73="Alta",'Mapa final'!$AJ$73="Mayor"),CONCATENATE("R2C",'Mapa final'!$R$73),"")</f>
        <v/>
      </c>
      <c r="AH31" s="46" t="str">
        <f>IF(AND('Mapa final'!$AH$74="Alta",'Mapa final'!$AJ$74="Mayor"),CONCATENATE("R2C",'Mapa final'!$R$74),"")</f>
        <v/>
      </c>
      <c r="AI31" s="47" t="str">
        <f>IF(AND('Mapa final'!$AH$68="Alta",'Mapa final'!$AJ$68="Catastrófico"),CONCATENATE("R2C",'Mapa final'!$R$68),"")</f>
        <v/>
      </c>
      <c r="AJ31" s="48" t="str">
        <f>IF(AND('Mapa final'!$AH$69="Alta",'Mapa final'!$AJ$69="Catastrófico"),CONCATENATE("R2C",'Mapa final'!$R$69),"")</f>
        <v/>
      </c>
      <c r="AK31" s="48" t="str">
        <f>IF(AND('Mapa final'!$AH$70="Alta",'Mapa final'!$AJ$70="Catastrófico"),CONCATENATE("R2C",'Mapa final'!$R$70),"")</f>
        <v/>
      </c>
      <c r="AL31" s="48" t="str">
        <f>IF(AND('Mapa final'!$AH$71="Alta",'Mapa final'!$AJ$71="Catastrófico"),CONCATENATE("R2C",'Mapa final'!$R$71),"")</f>
        <v/>
      </c>
      <c r="AM31" s="48" t="str">
        <f>IF(AND('Mapa final'!$AH$73="Alta",'Mapa final'!$AJ$73="Catastrófico"),CONCATENATE("R2C",'Mapa final'!$R$73),"")</f>
        <v/>
      </c>
      <c r="AN31" s="49" t="str">
        <f>IF(AND('Mapa final'!$AH$74="Muy Alta",'Mapa final'!$AJ$74="Catastrófico"),CONCATENATE("R2C",'Mapa final'!$R$74),"")</f>
        <v/>
      </c>
      <c r="AO31" s="68"/>
      <c r="AP31" s="517"/>
      <c r="AQ31" s="518"/>
      <c r="AR31" s="518"/>
      <c r="AS31" s="518"/>
      <c r="AT31" s="518"/>
      <c r="AU31" s="519"/>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row>
    <row r="32" spans="2:77" ht="15" customHeight="1">
      <c r="B32" s="68"/>
      <c r="C32" s="461"/>
      <c r="D32" s="461"/>
      <c r="E32" s="462"/>
      <c r="F32" s="501" t="s">
        <v>257</v>
      </c>
      <c r="G32" s="502"/>
      <c r="H32" s="502"/>
      <c r="I32" s="502"/>
      <c r="J32" s="503"/>
      <c r="K32" s="50"/>
      <c r="L32" s="51" t="e">
        <f>IF(AND('Mapa final'!#REF!="Media",'Mapa final'!#REF!="Leve"),CONCATENATE("R2C",'Mapa final'!$R$15),"")</f>
        <v>#REF!</v>
      </c>
      <c r="M32" s="51" t="e">
        <f>IF(AND('Mapa final'!#REF!="Media",'Mapa final'!#REF!="Leve"),CONCATENATE("R2C",'Mapa final'!#REF!),"")</f>
        <v>#REF!</v>
      </c>
      <c r="N32" s="54" t="e">
        <f>IF(AND('Mapa final'!#REF!="Alta",'Mapa final'!#REF!="Leve"),CONCATENATE("R2C",'Mapa final'!#REF!),"")</f>
        <v>#REF!</v>
      </c>
      <c r="O32" s="51" t="e">
        <f>IF(AND('Mapa final'!#REF!="Media",'Mapa final'!#REF!="Leve"),CONCATENATE("R2C",'Mapa final'!#REF!),"")</f>
        <v>#REF!</v>
      </c>
      <c r="P32" s="52" t="e">
        <f>IF(AND('Mapa final'!#REF!="Media",'Mapa final'!#REF!="Leve"),CONCATENATE("R2C",'Mapa final'!#REF!),"")</f>
        <v>#REF!</v>
      </c>
      <c r="Q32" s="50"/>
      <c r="R32" s="51" t="e">
        <f>IF(AND('Mapa final'!#REF!="Media",'Mapa final'!#REF!="Menore"),CONCATENATE("R2C",'Mapa final'!$R$15),"")</f>
        <v>#REF!</v>
      </c>
      <c r="S32" s="51" t="e">
        <f>IF(AND('Mapa final'!#REF!="Media",'Mapa final'!#REF!="Menor"),CONCATENATE("R2C",'Mapa final'!#REF!),"")</f>
        <v>#REF!</v>
      </c>
      <c r="T32" s="51" t="e">
        <f>IF(AND('Mapa final'!#REF!="Media",'Mapa final'!#REF!="Menor"),CONCATENATE("R2C",'Mapa final'!#REF!),"")</f>
        <v>#REF!</v>
      </c>
      <c r="U32" s="51" t="e">
        <f>IF(AND('Mapa final'!#REF!="Media",'Mapa final'!#REF!="Menor"),CONCATENATE("R2C",'Mapa final'!#REF!),"")</f>
        <v>#REF!</v>
      </c>
      <c r="V32" s="52" t="e">
        <f>IF(AND('Mapa final'!#REF!="Media",'Mapa final'!#REF!="Menor"),CONCATENATE("R2C",'Mapa final'!#REF!),"")</f>
        <v>#REF!</v>
      </c>
      <c r="W32" s="50"/>
      <c r="X32" s="51" t="e">
        <f>IF(AND('Mapa final'!#REF!="Media",'Mapa final'!#REF!="Moderado"),CONCATENATE("R2C",'Mapa final'!$R$15),"")</f>
        <v>#REF!</v>
      </c>
      <c r="Y32" s="51"/>
      <c r="Z32" s="51" t="e">
        <f>IF(AND('Mapa final'!#REF!="Media",'Mapa final'!#REF!="Moderado"),CONCATENATE("R2C",'Mapa final'!#REF!),"")</f>
        <v>#REF!</v>
      </c>
      <c r="AA32" s="51" t="e">
        <f>IF(AND('Mapa final'!#REF!="Media",'Mapa final'!#REF!="Moderado"),CONCATENATE("R2C",'Mapa final'!#REF!),"")</f>
        <v>#REF!</v>
      </c>
      <c r="AB32" s="52" t="e">
        <f>IF(AND('Mapa final'!#REF!="Media",'Mapa final'!#REF!="Moderado"),CONCATENATE("R2C",'Mapa final'!#REF!),"")</f>
        <v>#REF!</v>
      </c>
      <c r="AC32" s="32"/>
      <c r="AD32" s="33" t="e">
        <f>IF(AND('Mapa final'!#REF!="Media",'Mapa final'!#REF!="Mayor"),CONCATENATE("R2C",'Mapa final'!$R$15),"")</f>
        <v>#REF!</v>
      </c>
      <c r="AE32" s="33" t="e">
        <f>IF(AND('Mapa final'!#REF!="Media",'Mapa final'!#REF!="Mayor"),CONCATENATE("R2C",'Mapa final'!#REF!),"")</f>
        <v>#REF!</v>
      </c>
      <c r="AF32" s="33" t="e">
        <f>IF(AND('Mapa final'!#REF!="Media",'Mapa final'!#REF!="Mayor"),CONCATENATE("R2C",'Mapa final'!#REF!),"")</f>
        <v>#REF!</v>
      </c>
      <c r="AG32" s="33" t="e">
        <f>IF(AND('Mapa final'!#REF!="Media",'Mapa final'!#REF!="Mayor"),CONCATENATE("R2C",'Mapa final'!#REF!),"")</f>
        <v>#REF!</v>
      </c>
      <c r="AH32" s="34" t="e">
        <f>IF(AND('Mapa final'!#REF!="Media",'Mapa final'!#REF!="Mayor"),CONCATENATE("R2C",'Mapa final'!#REF!),"")</f>
        <v>#REF!</v>
      </c>
      <c r="AI32" s="35"/>
      <c r="AJ32" s="36" t="e">
        <f>IF(AND('Mapa final'!#REF!="Media",'Mapa final'!#REF!="Catastrófico"),CONCATENATE("R2C",'Mapa final'!$R$15),"")</f>
        <v>#REF!</v>
      </c>
      <c r="AK32" s="36" t="e">
        <f>IF(AND('Mapa final'!#REF!="Media",'Mapa final'!#REF!="Catastrófico"),CONCATENATE("R2C",'Mapa final'!#REF!),"")</f>
        <v>#REF!</v>
      </c>
      <c r="AL32" s="36" t="e">
        <f>IF(AND('Mapa final'!#REF!="Media",'Mapa final'!#REF!="Catastrófico"),CONCATENATE("R2C",'Mapa final'!#REF!),"")</f>
        <v>#REF!</v>
      </c>
      <c r="AM32" s="36" t="e">
        <f>IF(AND('Mapa final'!#REF!="Media",'Mapa final'!#REF!="Catastrófico"),CONCATENATE("R2C",'Mapa final'!#REF!),"")</f>
        <v>#REF!</v>
      </c>
      <c r="AN32" s="37" t="e">
        <f>IF(AND('Mapa final'!#REF!="Media",'Mapa final'!#REF!="Catastrófico"),CONCATENATE("R2C",'Mapa final'!#REF!),"")</f>
        <v>#REF!</v>
      </c>
      <c r="AO32" s="68"/>
      <c r="AP32" s="542" t="s">
        <v>121</v>
      </c>
      <c r="AQ32" s="543"/>
      <c r="AR32" s="543"/>
      <c r="AS32" s="543"/>
      <c r="AT32" s="543"/>
      <c r="AU32" s="544"/>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row>
    <row r="33" spans="2:77" ht="15" customHeight="1">
      <c r="B33" s="68"/>
      <c r="C33" s="461"/>
      <c r="D33" s="461"/>
      <c r="E33" s="462"/>
      <c r="F33" s="520"/>
      <c r="G33" s="505"/>
      <c r="H33" s="505"/>
      <c r="I33" s="505"/>
      <c r="J33" s="506"/>
      <c r="K33" s="53" t="e">
        <f>IF(AND('Mapa final'!#REF!="Media",'Mapa final'!#REF!="Leve"),CONCATENATE("R2C",'Mapa final'!#REF!),"")</f>
        <v>#REF!</v>
      </c>
      <c r="L33" s="54" t="e">
        <f>IF(AND('Mapa final'!#REF!="Media",'Mapa final'!#REF!="Leve"),CONCATENATE("R2C",'Mapa final'!#REF!),"")</f>
        <v>#REF!</v>
      </c>
      <c r="M33" s="54" t="str">
        <f>IF(AND('Mapa final'!$AH$22="Media",'Mapa final'!$AJ$22="Leve"),CONCATENATE("R2C",'Mapa final'!$R$22),"")</f>
        <v/>
      </c>
      <c r="N33" s="54" t="e">
        <f>IF(AND('Mapa final'!#REF!="Alta",'Mapa final'!#REF!="Leve"),CONCATENATE("R2C",'Mapa final'!#REF!),"")</f>
        <v>#REF!</v>
      </c>
      <c r="O33" s="54" t="str">
        <f>IF(AND('Mapa final'!$AH$24="Media",'Mapa final'!$AJ$24="Leve"),CONCATENATE("R2C",'Mapa final'!$R$24),"")</f>
        <v/>
      </c>
      <c r="P33" s="55" t="str">
        <f>IF(AND('Mapa final'!$AH$25="Media",'Mapa final'!$AJ$25="Leve"),CONCATENATE("R2C",'Mapa final'!$R$25),"")</f>
        <v/>
      </c>
      <c r="Q33" s="53" t="e">
        <f>IF(AND('Mapa final'!#REF!="Media",'Mapa final'!#REF!="Menor"),CONCATENATE("R2C",'Mapa final'!#REF!),"")</f>
        <v>#REF!</v>
      </c>
      <c r="R33" s="54" t="e">
        <f>IF(AND('Mapa final'!#REF!="Media",'Mapa final'!#REF!="Menor"),CONCATENATE("R2C",'Mapa final'!#REF!),"")</f>
        <v>#REF!</v>
      </c>
      <c r="S33" s="54" t="str">
        <f>IF(AND('Mapa final'!$AH$22="Media",'Mapa final'!$AJ$22="Menor"),CONCATENATE("R2C",'Mapa final'!$R$22),"")</f>
        <v/>
      </c>
      <c r="T33" s="54" t="str">
        <f>IF(AND('Mapa final'!$AH$23="Media",'Mapa final'!$AJ$23="Menor"),CONCATENATE("R2C",'Mapa final'!$R$23),"")</f>
        <v/>
      </c>
      <c r="U33" s="54" t="str">
        <f>IF(AND('Mapa final'!$AH$24="Media",'Mapa final'!$AJ$24="Menor"),CONCATENATE("R2C",'Mapa final'!$R$24),"")</f>
        <v/>
      </c>
      <c r="V33" s="55" t="str">
        <f>IF(AND('Mapa final'!$AH$25="Media",'Mapa final'!$AJ$25="Menor"),CONCATENATE("R2C",'Mapa final'!$R$25),"")</f>
        <v/>
      </c>
      <c r="W33" s="53" t="e">
        <f>IF(AND('Mapa final'!#REF!="Media",'Mapa final'!#REF!="Moderado"),CONCATENATE("R2C",'Mapa final'!#REF!),"")</f>
        <v>#REF!</v>
      </c>
      <c r="X33" s="54" t="e">
        <f>IF(AND('Mapa final'!#REF!="Media",'Mapa final'!#REF!="Moderado"),CONCATENATE("R2C",'Mapa final'!#REF!),"")</f>
        <v>#REF!</v>
      </c>
      <c r="Y33" s="54" t="str">
        <f>IF(AND('Mapa final'!$AH$22="Media",'Mapa final'!$AJ$22="Moderado"),CONCATENATE("R2C",'Mapa final'!$R$22),"")</f>
        <v/>
      </c>
      <c r="Z33" s="54" t="str">
        <f>IF(AND('Mapa final'!$AH$23="Media",'Mapa final'!$AJ$23="Moderado"),CONCATENATE("R2C",'Mapa final'!$R$23),"")</f>
        <v/>
      </c>
      <c r="AA33" s="54" t="str">
        <f>IF(AND('Mapa final'!$AH$24="Media",'Mapa final'!$AJ$24="Moderado"),CONCATENATE("R2C",'Mapa final'!$R$24),"")</f>
        <v/>
      </c>
      <c r="AB33" s="55" t="str">
        <f>IF(AND('Mapa final'!$AH$25="Media",'Mapa final'!$AJ$25="Moderado"),CONCATENATE("R2C",'Mapa final'!$R$25),"")</f>
        <v/>
      </c>
      <c r="AC33" s="38" t="e">
        <f>IF(AND('Mapa final'!#REF!="Media",'Mapa final'!#REF!="Mayor"),CONCATENATE("R2C",'Mapa final'!#REF!),"")</f>
        <v>#REF!</v>
      </c>
      <c r="AD33" s="39" t="e">
        <f>IF(AND('Mapa final'!#REF!="Muy Alta",'Mapa final'!#REF!="Mayor"),CONCATENATE("R2C",'Mapa final'!#REF!),"")</f>
        <v>#REF!</v>
      </c>
      <c r="AE33" s="39" t="str">
        <f>IF(AND('Mapa final'!$AH$22="Media",'Mapa final'!$AJ$22="Mayor"),CONCATENATE("R2C",'Mapa final'!$R$22),"")</f>
        <v/>
      </c>
      <c r="AF33" s="39" t="str">
        <f>IF(AND('Mapa final'!$AH$23="Media",'Mapa final'!$AJ$23="Mayor"),CONCATENATE("R2C",'Mapa final'!$R$23),"")</f>
        <v/>
      </c>
      <c r="AG33" s="39" t="str">
        <f>IF(AND('Mapa final'!$AH$24="Media",'Mapa final'!$AJ$24="Mayor"),CONCATENATE("R2C",'Mapa final'!$R$24),"")</f>
        <v/>
      </c>
      <c r="AH33" s="40" t="str">
        <f>IF(AND('Mapa final'!$AH$25="Media",'Mapa final'!$AJ$25="Mayor"),CONCATENATE("R2C",'Mapa final'!$R$25),"")</f>
        <v/>
      </c>
      <c r="AI33" s="41" t="e">
        <f>IF(AND('Mapa final'!#REF!="Media",'Mapa final'!#REF!="Catastrófico"),CONCATENATE("R2C",'Mapa final'!#REF!),"")</f>
        <v>#REF!</v>
      </c>
      <c r="AJ33" s="42" t="e">
        <f>IF(AND('Mapa final'!#REF!="Media",'Mapa final'!#REF!="Catastrófico"),CONCATENATE("R2C",'Mapa final'!#REF!),"")</f>
        <v>#REF!</v>
      </c>
      <c r="AK33" s="42" t="str">
        <f>IF(AND('Mapa final'!$AH$22="Media",'Mapa final'!$AJ$22="Catastrófico"),CONCATENATE("R2C",'Mapa final'!$R$22),"")</f>
        <v/>
      </c>
      <c r="AL33" s="42" t="str">
        <f>IF(AND('Mapa final'!$AH$23="Media",'Mapa final'!$AJ$23="Catastrófico"),CONCATENATE("R2C",'Mapa final'!$R$23),"")</f>
        <v/>
      </c>
      <c r="AM33" s="42" t="str">
        <f>IF(AND('Mapa final'!$AH$24="Media",'Mapa final'!$AJ$24="Catastrófico"),CONCATENATE("R2C",'Mapa final'!$R$24),"")</f>
        <v/>
      </c>
      <c r="AN33" s="43" t="str">
        <f>IF(AND('Mapa final'!$AH$25="Media",'Mapa final'!$AJ$25="Catastrófico"),CONCATENATE("R2C",'Mapa final'!$R$25),"")</f>
        <v/>
      </c>
      <c r="AO33" s="68"/>
      <c r="AP33" s="545"/>
      <c r="AQ33" s="546"/>
      <c r="AR33" s="546"/>
      <c r="AS33" s="546"/>
      <c r="AT33" s="546"/>
      <c r="AU33" s="547"/>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row>
    <row r="34" spans="2:77" ht="15" customHeight="1">
      <c r="B34" s="68"/>
      <c r="C34" s="461"/>
      <c r="D34" s="461"/>
      <c r="E34" s="462"/>
      <c r="F34" s="504"/>
      <c r="G34" s="505"/>
      <c r="H34" s="505"/>
      <c r="I34" s="505"/>
      <c r="J34" s="506"/>
      <c r="K34" s="53" t="str">
        <f>IF(AND('Mapa final'!$AH$26="Media",'Mapa final'!$AJ$26="Leve"),CONCATENATE("R2C",'Mapa final'!$R$26),"")</f>
        <v/>
      </c>
      <c r="L34" s="54" t="str">
        <f>IF(AND('Mapa final'!$AH$27="Media",'Mapa final'!$AJ$27="Leve"),CONCATENATE("R2C",'Mapa final'!$R$27),"")</f>
        <v/>
      </c>
      <c r="M34" s="54" t="str">
        <f>IF(AND('Mapa final'!$AH$28="Media",'Mapa final'!$AJ$28="Leve"),CONCATENATE("R2C",'Mapa final'!$R$28),"")</f>
        <v/>
      </c>
      <c r="N34" s="54" t="e">
        <f>IF(AND('Mapa final'!#REF!="Alta",'Mapa final'!#REF!="Leve"),CONCATENATE("R2C",'Mapa final'!#REF!),"")</f>
        <v>#REF!</v>
      </c>
      <c r="O34" s="54" t="str">
        <f>IF(AND('Mapa final'!$AH$30="Media",'Mapa final'!$AJ$30="Leve"),CONCATENATE("R2C",'Mapa final'!$R$30),"")</f>
        <v/>
      </c>
      <c r="P34" s="55" t="str">
        <f>IF(AND('Mapa final'!$AH$31="Media",'Mapa final'!$AJ$31="Leve"),CONCATENATE("R2C",'Mapa final'!$R$31),"")</f>
        <v/>
      </c>
      <c r="Q34" s="53" t="str">
        <f>IF(AND('Mapa final'!$AH$26="Media",'Mapa final'!$AJ$26="Menor"),CONCATENATE("R2C",'Mapa final'!$R$26),"")</f>
        <v/>
      </c>
      <c r="R34" s="54" t="str">
        <f>IF(AND('Mapa final'!$AH$27="Media",'Mapa final'!$AJ$27="Menor"),CONCATENATE("R2C",'Mapa final'!$R$27),"")</f>
        <v/>
      </c>
      <c r="S34" s="54" t="str">
        <f>IF(AND('Mapa final'!$AH$28="Media",'Mapa final'!$AJ$28="Menor"),CONCATENATE("R2C",'Mapa final'!$R$28),"")</f>
        <v/>
      </c>
      <c r="T34" s="54" t="str">
        <f>IF(AND('Mapa final'!$AH$29="Media",'Mapa final'!$AJ$29="Menor"),CONCATENATE("R2C",'Mapa final'!$R$29),"")</f>
        <v/>
      </c>
      <c r="U34" s="54" t="str">
        <f>IF(AND('Mapa final'!$AH$30="Media",'Mapa final'!$AJ$30="Menor"),CONCATENATE("R2C",'Mapa final'!$R$30),"")</f>
        <v/>
      </c>
      <c r="V34" s="55" t="str">
        <f>IF(AND('Mapa final'!$AH$31="Media",'Mapa final'!$AJ$31="Menor"),CONCATENATE("R2C",'Mapa final'!$R$31),"")</f>
        <v/>
      </c>
      <c r="W34" s="53" t="str">
        <f>IF(AND('Mapa final'!$AH$26="Media",'Mapa final'!$AJ$26="Moderado"),CONCATENATE("R2C",'Mapa final'!$R$26),"")</f>
        <v/>
      </c>
      <c r="X34" s="54" t="str">
        <f>IF(AND('Mapa final'!$AH$27="Media",'Mapa final'!$AJ$27="Moderado"),CONCATENATE("R2C",'Mapa final'!$R$27),"")</f>
        <v/>
      </c>
      <c r="Y34" s="54" t="str">
        <f>IF(AND('Mapa final'!$AH$28="Media",'Mapa final'!$AJ$28="Moderado"),CONCATENATE("R2C",'Mapa final'!$R$28),"")</f>
        <v/>
      </c>
      <c r="Z34" s="54" t="str">
        <f>IF(AND('Mapa final'!$AH$29="Media",'Mapa final'!$AJ$29="Moderado"),CONCATENATE("R2C",'Mapa final'!$R$29),"")</f>
        <v/>
      </c>
      <c r="AA34" s="54" t="str">
        <f>IF(AND('Mapa final'!$AH$30="Media",'Mapa final'!$AJ$30="Moderado"),CONCATENATE("R2C",'Mapa final'!$R$30),"")</f>
        <v/>
      </c>
      <c r="AB34" s="55" t="str">
        <f>IF(AND('Mapa final'!$AH$31="Media",'Mapa final'!$AJ$31="Moderado"),CONCATENATE("R2C",'Mapa final'!$R$31),"")</f>
        <v/>
      </c>
      <c r="AC34" s="38" t="str">
        <f>IF(AND('Mapa final'!$AH$26="Media",'Mapa final'!$AJ$26="Mayor"),CONCATENATE("R2C",'Mapa final'!$R$26),"")</f>
        <v/>
      </c>
      <c r="AD34" s="39" t="str">
        <f>IF(AND('Mapa final'!$AH$27="Media",'Mapa final'!$AJ$27="Mayor"),CONCATENATE("R2C",'Mapa final'!$R$27),"")</f>
        <v/>
      </c>
      <c r="AE34" s="39" t="str">
        <f>IF(AND('Mapa final'!$AH$28="Media",'Mapa final'!$AJ$28="Mayor"),CONCATENATE("R2C",'Mapa final'!$R$28),"")</f>
        <v/>
      </c>
      <c r="AF34" s="39" t="str">
        <f>IF(AND('Mapa final'!$AH$29="Media",'Mapa final'!$AJ$29="Mayor"),CONCATENATE("R2C",'Mapa final'!$R$29),"")</f>
        <v/>
      </c>
      <c r="AG34" s="39" t="str">
        <f>IF(AND('Mapa final'!$AH$30="Media",'Mapa final'!$AJ$30="Mayor"),CONCATENATE("R2C",'Mapa final'!$R$30),"")</f>
        <v/>
      </c>
      <c r="AH34" s="40" t="str">
        <f>IF(AND('Mapa final'!$AH$31="Media",'Mapa final'!$AJ$31="Mayor"),CONCATENATE("R2C",'Mapa final'!$R$31),"")</f>
        <v/>
      </c>
      <c r="AI34" s="41" t="str">
        <f>IF(AND('Mapa final'!$AH$26="Media",'Mapa final'!$AJ$26="Catastrófico"),CONCATENATE("R2C",'Mapa final'!$R$26),"")</f>
        <v/>
      </c>
      <c r="AJ34" s="42" t="str">
        <f>IF(AND('Mapa final'!$AH$27="Media",'Mapa final'!$AJ$27="Catastrófico"),CONCATENATE("R2C",'Mapa final'!$R$27),"")</f>
        <v/>
      </c>
      <c r="AK34" s="42" t="str">
        <f>IF(AND('Mapa final'!$AH$28="Media",'Mapa final'!$AJ$28="Catastrófico"),CONCATENATE("R2C",'Mapa final'!$R$28),"")</f>
        <v/>
      </c>
      <c r="AL34" s="42" t="str">
        <f>IF(AND('Mapa final'!$AH$29="Media",'Mapa final'!$AJ$29="Catastrófico"),CONCATENATE("R2C",'Mapa final'!$R$29),"")</f>
        <v/>
      </c>
      <c r="AM34" s="42" t="str">
        <f>IF(AND('Mapa final'!$AH$30="Media",'Mapa final'!$AJ$30="Catastrófico"),CONCATENATE("R2C",'Mapa final'!$R$30),"")</f>
        <v/>
      </c>
      <c r="AN34" s="43" t="str">
        <f>IF(AND('Mapa final'!$AH$31="Media",'Mapa final'!$AJ$31="Catastrófico"),CONCATENATE("R2C",'Mapa final'!$R$31),"")</f>
        <v/>
      </c>
      <c r="AO34" s="68"/>
      <c r="AP34" s="545"/>
      <c r="AQ34" s="546"/>
      <c r="AR34" s="546"/>
      <c r="AS34" s="546"/>
      <c r="AT34" s="546"/>
      <c r="AU34" s="547"/>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row>
    <row r="35" spans="2:77" ht="15" customHeight="1">
      <c r="B35" s="68"/>
      <c r="C35" s="461"/>
      <c r="D35" s="461"/>
      <c r="E35" s="462"/>
      <c r="F35" s="504"/>
      <c r="G35" s="505"/>
      <c r="H35" s="505"/>
      <c r="I35" s="505"/>
      <c r="J35" s="506"/>
      <c r="K35" s="53" t="str">
        <f>IF(AND('Mapa final'!$AH$32="Media",'Mapa final'!$AJ$32="Leve"),CONCATENATE("R2C",'Mapa final'!$R$32),"")</f>
        <v/>
      </c>
      <c r="L35" s="54" t="str">
        <f>IF(AND('Mapa final'!$AH$33="Media",'Mapa final'!$AJ$33="Leve"),CONCATENATE("R2C",'Mapa final'!$R$33),"")</f>
        <v/>
      </c>
      <c r="M35" s="54" t="str">
        <f>IF(AND('Mapa final'!$AH$34="Media",'Mapa final'!$AJ$34="Leve"),CONCATENATE("R2C",'Mapa final'!$R$34),"")</f>
        <v/>
      </c>
      <c r="N35" s="54" t="e">
        <f>IF(AND('Mapa final'!#REF!="Alta",'Mapa final'!#REF!="Leve"),CONCATENATE("R2C",'Mapa final'!#REF!),"")</f>
        <v>#REF!</v>
      </c>
      <c r="O35" s="54" t="str">
        <f>IF(AND('Mapa final'!$AH$36="Media",'Mapa final'!$AJ$36="Leve"),CONCATENATE("R2C",'Mapa final'!$R$36),"")</f>
        <v/>
      </c>
      <c r="P35" s="55" t="str">
        <f>IF(AND('Mapa final'!$AH$37="Media",'Mapa final'!$AJ$37="Leve"),CONCATENATE("R2C",'Mapa final'!$R$37),"")</f>
        <v/>
      </c>
      <c r="Q35" s="53" t="str">
        <f>IF(AND('Mapa final'!$AH$32="Media",'Mapa final'!$AJ$32="Menor"),CONCATENATE("R2C",'Mapa final'!$R$32),"")</f>
        <v/>
      </c>
      <c r="R35" s="54" t="str">
        <f>IF(AND('Mapa final'!$AH$33="Media",'Mapa final'!$AJ$33="Menor"),CONCATENATE("R2C",'Mapa final'!$R$33),"")</f>
        <v/>
      </c>
      <c r="S35" s="54" t="str">
        <f>IF(AND('Mapa final'!$AH$34="Media",'Mapa final'!$AJ$34="Menor"),CONCATENATE("R2C",'Mapa final'!$R$34),"")</f>
        <v/>
      </c>
      <c r="T35" s="54" t="str">
        <f>IF(AND('Mapa final'!$AH$35="Media",'Mapa final'!$AJ$35="Menor"),CONCATENATE("R2C",'Mapa final'!$R$35),"")</f>
        <v/>
      </c>
      <c r="U35" s="54" t="str">
        <f>IF(AND('Mapa final'!$AH$36="Media",'Mapa final'!$AJ$36="LMenor"),CONCATENATE("R2C",'Mapa final'!$R$36),"")</f>
        <v/>
      </c>
      <c r="V35" s="55" t="str">
        <f>IF(AND('Mapa final'!$AH$37="Media",'Mapa final'!$AJ$37="Menor"),CONCATENATE("R2C",'Mapa final'!$R$37),"")</f>
        <v/>
      </c>
      <c r="W35" s="53" t="str">
        <f>IF(AND('Mapa final'!$AH$32="Media",'Mapa final'!$AJ$32="Moderado"),CONCATENATE("R2C",'Mapa final'!$R$32),"")</f>
        <v/>
      </c>
      <c r="X35" s="54" t="str">
        <f>IF(AND('Mapa final'!$AH$33="Media",'Mapa final'!$AJ$33="Moderado"),CONCATENATE("R2C",'Mapa final'!$R$33),"")</f>
        <v/>
      </c>
      <c r="Y35" s="54" t="str">
        <f>IF(AND('Mapa final'!$AH$34="Media",'Mapa final'!$AJ$34="Moderado"),CONCATENATE("R2C",'Mapa final'!$R$34),"")</f>
        <v/>
      </c>
      <c r="Z35" s="54" t="str">
        <f>IF(AND('Mapa final'!$AH$35="Media",'Mapa final'!$AJ$35="Moderado"),CONCATENATE("R2C",'Mapa final'!$R$35),"")</f>
        <v/>
      </c>
      <c r="AA35" s="54" t="str">
        <f>IF(AND('Mapa final'!$AH$36="Media",'Mapa final'!$AJ$36="Moderado"),CONCATENATE("R2C",'Mapa final'!$R$36),"")</f>
        <v/>
      </c>
      <c r="AB35" s="55" t="str">
        <f>IF(AND('Mapa final'!$AH$37="Media",'Mapa final'!$AJ$37="Moderado"),CONCATENATE("R2C",'Mapa final'!$R$37),"")</f>
        <v/>
      </c>
      <c r="AC35" s="38" t="str">
        <f>IF(AND('Mapa final'!$AH$32="Media",'Mapa final'!$AJ$32="Mayor"),CONCATENATE("R2C",'Mapa final'!$R$32),"")</f>
        <v/>
      </c>
      <c r="AD35" s="39" t="str">
        <f>IF(AND('Mapa final'!$AH$33="Media",'Mapa final'!$AJ$33="Mayor"),CONCATENATE("R2C",'Mapa final'!$R$33),"")</f>
        <v/>
      </c>
      <c r="AE35" s="39" t="str">
        <f>IF(AND('Mapa final'!$AH$34="Media",'Mapa final'!$AJ$34="Mayor"),CONCATENATE("R2C",'Mapa final'!$R$34),"")</f>
        <v/>
      </c>
      <c r="AF35" s="39" t="str">
        <f>IF(AND('Mapa final'!$AH$35="Media",'Mapa final'!$AJ$35="Mayor"),CONCATENATE("R2C",'Mapa final'!$R$35),"")</f>
        <v/>
      </c>
      <c r="AG35" s="39" t="str">
        <f>IF(AND('Mapa final'!$AH$36="Media",'Mapa final'!$AJ$36="Mayor"),CONCATENATE("R2C",'Mapa final'!$R$36),"")</f>
        <v/>
      </c>
      <c r="AH35" s="40" t="str">
        <f>IF(AND('Mapa final'!$AH$37="Media",'Mapa final'!$AJ$37="Mayor"),CONCATENATE("R2C",'Mapa final'!$R$37),"")</f>
        <v/>
      </c>
      <c r="AI35" s="41" t="str">
        <f>IF(AND('Mapa final'!$AH$32="Media",'Mapa final'!$AJ$32="Catastrófico"),CONCATENATE("R2C",'Mapa final'!$R$32),"")</f>
        <v/>
      </c>
      <c r="AJ35" s="42" t="str">
        <f>IF(AND('Mapa final'!$AH$33="Media",'Mapa final'!$AJ$33="Catastrófico"),CONCATENATE("R2C",'Mapa final'!$R$33),"")</f>
        <v/>
      </c>
      <c r="AK35" s="42" t="str">
        <f>IF(AND('Mapa final'!$AH$34="Media",'Mapa final'!$AJ$34="Catastrófico"),CONCATENATE("R2C",'Mapa final'!$R$34),"")</f>
        <v/>
      </c>
      <c r="AL35" s="42" t="str">
        <f>IF(AND('Mapa final'!$AH$35="Media",'Mapa final'!$AJ$35="Catastrófico"),CONCATENATE("R2C",'Mapa final'!$R$35),"")</f>
        <v/>
      </c>
      <c r="AM35" s="42" t="str">
        <f>IF(AND('Mapa final'!$AH$36="Media",'Mapa final'!$AJ$36="LCatastrófico"),CONCATENATE("R2C",'Mapa final'!$R$36),"")</f>
        <v/>
      </c>
      <c r="AN35" s="43" t="str">
        <f>IF(AND('Mapa final'!$AH$37="Media",'Mapa final'!$AJ$37="Catastrófico"),CONCATENATE("R2C",'Mapa final'!$R$37),"")</f>
        <v/>
      </c>
      <c r="AO35" s="68"/>
      <c r="AP35" s="545"/>
      <c r="AQ35" s="546"/>
      <c r="AR35" s="546"/>
      <c r="AS35" s="546"/>
      <c r="AT35" s="546"/>
      <c r="AU35" s="547"/>
      <c r="AV35" s="6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row>
    <row r="36" spans="2:77" ht="15" customHeight="1">
      <c r="B36" s="68"/>
      <c r="C36" s="461"/>
      <c r="D36" s="461"/>
      <c r="E36" s="462"/>
      <c r="F36" s="504"/>
      <c r="G36" s="505"/>
      <c r="H36" s="505"/>
      <c r="I36" s="505"/>
      <c r="J36" s="506"/>
      <c r="K36" s="53" t="str">
        <f>IF(AND('Mapa final'!$AH$38="Media",'Mapa final'!$AJ$38="Leve"),CONCATENATE("R2C",'Mapa final'!$R$38),"")</f>
        <v/>
      </c>
      <c r="L36" s="54" t="str">
        <f>IF(AND('Mapa final'!$AH$39="Media",'Mapa final'!$AJ$39="Leve"),CONCATENATE("R2C",'Mapa final'!$R$39),"")</f>
        <v/>
      </c>
      <c r="M36" s="54" t="str">
        <f>IF(AND('Mapa final'!$AH$40="Media",'Mapa final'!$AJ$40="Leve"),CONCATENATE("R2C",'Mapa final'!$R$40),"")</f>
        <v/>
      </c>
      <c r="N36" s="54" t="e">
        <f>IF(AND('Mapa final'!#REF!="Alta",'Mapa final'!#REF!="Leve"),CONCATENATE("R2C",'Mapa final'!#REF!),"")</f>
        <v>#REF!</v>
      </c>
      <c r="O36" s="54" t="str">
        <f>IF(AND('Mapa final'!$AH$42="Media",'Mapa final'!$AJ$42="Leve"),CONCATENATE("R2C",'Mapa final'!$R$42),"")</f>
        <v/>
      </c>
      <c r="P36" s="55" t="str">
        <f>IF(AND('Mapa final'!$AH$43="Media",'Mapa final'!$AJ$43="Leve"),CONCATENATE("R2C",'Mapa final'!$R$43),"")</f>
        <v/>
      </c>
      <c r="Q36" s="53" t="str">
        <f>IF(AND('Mapa final'!$AH$38="Media",'Mapa final'!$AJ$38="Menor"),CONCATENATE("R2C",'Mapa final'!$R$38),"")</f>
        <v/>
      </c>
      <c r="R36" s="54" t="str">
        <f>IF(AND('Mapa final'!$AH$39="Media",'Mapa final'!$AJ$39="Menor"),CONCATENATE("R2C",'Mapa final'!$R$39),"")</f>
        <v/>
      </c>
      <c r="S36" s="54" t="str">
        <f>IF(AND('Mapa final'!$AH$40="Media",'Mapa final'!$AJ$40="Menor"),CONCATENATE("R2C",'Mapa final'!$R$40),"")</f>
        <v/>
      </c>
      <c r="T36" s="54" t="str">
        <f>IF(AND('Mapa final'!$AH$41="Media",'Mapa final'!$AJ$41="Menor"),CONCATENATE("R2C",'Mapa final'!$R$41),"")</f>
        <v/>
      </c>
      <c r="U36" s="54" t="str">
        <f>IF(AND('Mapa final'!$AH$42="Media",'Mapa final'!$AJ$42="Menor"),CONCATENATE("R2C",'Mapa final'!$R$42),"")</f>
        <v/>
      </c>
      <c r="V36" s="55" t="str">
        <f>IF(AND('Mapa final'!$AH$43="Media",'Mapa final'!$AJ$43="Menor"),CONCATENATE("R2C",'Mapa final'!$R$43),"")</f>
        <v/>
      </c>
      <c r="W36" s="53" t="str">
        <f>IF(AND('Mapa final'!$AH$38="Media",'Mapa final'!$AJ$38="Moderado"),CONCATENATE("R2C",'Mapa final'!$R$38),"")</f>
        <v/>
      </c>
      <c r="X36" s="54" t="str">
        <f>IF(AND('Mapa final'!$AH$39="Media",'Mapa final'!$AJ$39="Moderado"),CONCATENATE("R2C",'Mapa final'!$R$39),"")</f>
        <v/>
      </c>
      <c r="Y36" s="54" t="str">
        <f>IF(AND('Mapa final'!$AH$40="Media",'Mapa final'!$AJ$40="Moderado"),CONCATENATE("R2C",'Mapa final'!$R$40),"")</f>
        <v/>
      </c>
      <c r="Z36" s="54" t="str">
        <f>IF(AND('Mapa final'!$AH$41="Media",'Mapa final'!$AJ$41="Moderado"),CONCATENATE("R2C",'Mapa final'!$R$41),"")</f>
        <v/>
      </c>
      <c r="AA36" s="54" t="str">
        <f>IF(AND('Mapa final'!$AH$42="Media",'Mapa final'!$AJ$42="Moderado"),CONCATENATE("R2C",'Mapa final'!$R$42),"")</f>
        <v/>
      </c>
      <c r="AB36" s="55" t="str">
        <f>IF(AND('Mapa final'!$AH$43="Media",'Mapa final'!$AJ$43="Moderado"),CONCATENATE("R2C",'Mapa final'!$R$43),"")</f>
        <v/>
      </c>
      <c r="AC36" s="38" t="str">
        <f>IF(AND('Mapa final'!$AH$38="Media",'Mapa final'!$AJ$38="Mayor"),CONCATENATE("R2C",'Mapa final'!$R$38),"")</f>
        <v/>
      </c>
      <c r="AD36" s="39" t="str">
        <f>IF(AND('Mapa final'!$AH$39="Media",'Mapa final'!$AJ$39="Mayor"),CONCATENATE("R2C",'Mapa final'!$R$39),"")</f>
        <v/>
      </c>
      <c r="AE36" s="39" t="str">
        <f>IF(AND('Mapa final'!$AH$40="Media",'Mapa final'!$AJ$40="Mayor"),CONCATENATE("R2C",'Mapa final'!$R$40),"")</f>
        <v/>
      </c>
      <c r="AF36" s="39" t="str">
        <f>IF(AND('Mapa final'!$AH$41="Media",'Mapa final'!$AJ$41="Mayor"),CONCATENATE("R2C",'Mapa final'!$R$41),"")</f>
        <v/>
      </c>
      <c r="AG36" s="39" t="str">
        <f>IF(AND('Mapa final'!$AH$42="Media",'Mapa final'!$AJ$42="Mayor"),CONCATENATE("R2C",'Mapa final'!$R$42),"")</f>
        <v/>
      </c>
      <c r="AH36" s="40" t="str">
        <f>IF(AND('Mapa final'!$AH$43="Media",'Mapa final'!$AJ$43="Mayor"),CONCATENATE("R2C",'Mapa final'!$R$43),"")</f>
        <v/>
      </c>
      <c r="AI36" s="41" t="str">
        <f>IF(AND('Mapa final'!$AH$38="Media",'Mapa final'!$AJ$38="Catastrófico"),CONCATENATE("R2C",'Mapa final'!$R$38),"")</f>
        <v/>
      </c>
      <c r="AJ36" s="42" t="str">
        <f>IF(AND('Mapa final'!$AH$39="Media",'Mapa final'!$AJ$39="Catastrófico"),CONCATENATE("R2C",'Mapa final'!$R$39),"")</f>
        <v/>
      </c>
      <c r="AK36" s="42" t="str">
        <f>IF(AND('Mapa final'!$AH$40="Media",'Mapa final'!$AJ$40="Catastrófico"),CONCATENATE("R2C",'Mapa final'!$R$40),"")</f>
        <v/>
      </c>
      <c r="AL36" s="42" t="str">
        <f>IF(AND('Mapa final'!$AH$41="Media",'Mapa final'!$AJ$41="Catastrófico"),CONCATENATE("R2C",'Mapa final'!$R$41),"")</f>
        <v/>
      </c>
      <c r="AM36" s="42" t="str">
        <f>IF(AND('Mapa final'!$AH$42="Media",'Mapa final'!$AJ$42="Catastrófico"),CONCATENATE("R2C",'Mapa final'!$R$42),"")</f>
        <v/>
      </c>
      <c r="AN36" s="43" t="str">
        <f>IF(AND('Mapa final'!$AH$43="Media",'Mapa final'!$AJ$43="Catastrófico"),CONCATENATE("R2C",'Mapa final'!$R$43),"")</f>
        <v/>
      </c>
      <c r="AO36" s="68"/>
      <c r="AP36" s="545"/>
      <c r="AQ36" s="546"/>
      <c r="AR36" s="546"/>
      <c r="AS36" s="546"/>
      <c r="AT36" s="546"/>
      <c r="AU36" s="547"/>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row>
    <row r="37" spans="2:77" ht="15" customHeight="1">
      <c r="B37" s="68"/>
      <c r="C37" s="461"/>
      <c r="D37" s="461"/>
      <c r="E37" s="462"/>
      <c r="F37" s="504"/>
      <c r="G37" s="505"/>
      <c r="H37" s="505"/>
      <c r="I37" s="505"/>
      <c r="J37" s="506"/>
      <c r="K37" s="53" t="str">
        <f>IF(AND('Mapa final'!$AH$44="Media",'Mapa final'!$AJ$44="Leve"),CONCATENATE("R2C",'Mapa final'!$R$44),"")</f>
        <v/>
      </c>
      <c r="L37" s="54" t="str">
        <f>IF(AND('Mapa final'!$AH$45="Media",'Mapa final'!$AJ$45="Leve"),CONCATENATE("R2C",'Mapa final'!$R$45),"")</f>
        <v/>
      </c>
      <c r="M37" s="54" t="str">
        <f>IF(AND('Mapa final'!$AH$46="Media",'Mapa final'!$AJ$46="Leve"),CONCATENATE("R2C",'Mapa final'!$R$46),"")</f>
        <v/>
      </c>
      <c r="N37" s="54" t="e">
        <f>IF(AND('Mapa final'!#REF!="Alta",'Mapa final'!#REF!="Leve"),CONCATENATE("R2C",'Mapa final'!#REF!),"")</f>
        <v>#REF!</v>
      </c>
      <c r="O37" s="54" t="str">
        <f>IF(AND('Mapa final'!$AH$48="Media",'Mapa final'!$AJ$48="Leve"),CONCATENATE("R2C",'Mapa final'!$R$48),"")</f>
        <v/>
      </c>
      <c r="P37" s="55" t="str">
        <f>IF(AND('Mapa final'!$AH$59="Media",'Mapa final'!$AJ$49="Leve"),CONCATENATE("R2C",'Mapa final'!$R$49),"")</f>
        <v/>
      </c>
      <c r="Q37" s="53" t="str">
        <f>IF(AND('Mapa final'!$AH$44="Media",'Mapa final'!$AJ$44="Menor"),CONCATENATE("R2C",'Mapa final'!$R$44),"")</f>
        <v/>
      </c>
      <c r="R37" s="54" t="str">
        <f>IF(AND('Mapa final'!$AH$45="Media",'Mapa final'!$AJ$45="Menor"),CONCATENATE("R2C",'Mapa final'!$R$45),"")</f>
        <v/>
      </c>
      <c r="S37" s="54" t="str">
        <f>IF(AND('Mapa final'!$AH$46="Media",'Mapa final'!$AJ$46="Menor"),CONCATENATE("R2C",'Mapa final'!$R$46),"")</f>
        <v/>
      </c>
      <c r="T37" s="54" t="str">
        <f>IF(AND('Mapa final'!$AH$47="Media",'Mapa final'!$AJ$47="Menor"),CONCATENATE("R2C",'Mapa final'!$R$47),"")</f>
        <v/>
      </c>
      <c r="U37" s="54" t="str">
        <f>IF(AND('Mapa final'!$AH$48="Media",'Mapa final'!$AJ$48="Menor"),CONCATENATE("R2C",'Mapa final'!$R$48),"")</f>
        <v/>
      </c>
      <c r="V37" s="55" t="str">
        <f>IF(AND('Mapa final'!$AH$59="Media",'Mapa final'!$AJ$49="Menor"),CONCATENATE("R2C",'Mapa final'!$R$49),"")</f>
        <v/>
      </c>
      <c r="W37" s="53" t="str">
        <f>IF(AND('Mapa final'!$AH$44="Media",'Mapa final'!$AJ$44="Moderado"),CONCATENATE("R2C",'Mapa final'!$R$44),"")</f>
        <v/>
      </c>
      <c r="X37" s="54" t="str">
        <f>IF(AND('Mapa final'!$AH$45="Media",'Mapa final'!$AJ$45="Moderado"),CONCATENATE("R2C",'Mapa final'!$R$45),"")</f>
        <v/>
      </c>
      <c r="Y37" s="54" t="str">
        <f>IF(AND('Mapa final'!$AH$46="Media",'Mapa final'!$AJ$46="Moderado"),CONCATENATE("R2C",'Mapa final'!$R$46),"")</f>
        <v/>
      </c>
      <c r="Z37" s="54" t="str">
        <f>IF(AND('Mapa final'!$AH$47="Media",'Mapa final'!$AJ$47="Moderado"),CONCATENATE("R2C",'Mapa final'!$R$47),"")</f>
        <v/>
      </c>
      <c r="AA37" s="54" t="str">
        <f>IF(AND('Mapa final'!$AH$48="Media",'Mapa final'!$AJ$48="Moderado"),CONCATENATE("R2C",'Mapa final'!$R$48),"")</f>
        <v/>
      </c>
      <c r="AB37" s="55" t="str">
        <f>IF(AND('Mapa final'!$AH$59="Media",'Mapa final'!$AJ$49="Moderado"),CONCATENATE("R2C",'Mapa final'!$R$49),"")</f>
        <v/>
      </c>
      <c r="AC37" s="38" t="str">
        <f>IF(AND('Mapa final'!$AH$44="Media",'Mapa final'!$AJ$44="Mayor"),CONCATENATE("R2C",'Mapa final'!$R$44),"")</f>
        <v/>
      </c>
      <c r="AD37" s="39" t="str">
        <f>IF(AND('Mapa final'!$AH$45="Media",'Mapa final'!$AJ$45="Mayor"),CONCATENATE("R2C",'Mapa final'!$R$45),"")</f>
        <v/>
      </c>
      <c r="AE37" s="39" t="str">
        <f>IF(AND('Mapa final'!$AH$46="Media",'Mapa final'!$AJ$46="Mayor"),CONCATENATE("R2C",'Mapa final'!$R$46),"")</f>
        <v/>
      </c>
      <c r="AF37" s="39" t="str">
        <f>IF(AND('Mapa final'!$AH$47="Media",'Mapa final'!$AJ$47="Mayor"),CONCATENATE("R2C",'Mapa final'!$R$47),"")</f>
        <v/>
      </c>
      <c r="AG37" s="39" t="str">
        <f>IF(AND('Mapa final'!$AH$48="Media",'Mapa final'!$AJ$48="Mayor"),CONCATENATE("R2C",'Mapa final'!$R$48),"")</f>
        <v/>
      </c>
      <c r="AH37" s="40" t="str">
        <f>IF(AND('Mapa final'!$AH$59="Media",'Mapa final'!$AJ$49="Mayor"),CONCATENATE("R2C",'Mapa final'!$R$49),"")</f>
        <v/>
      </c>
      <c r="AI37" s="41" t="str">
        <f>IF(AND('Mapa final'!$AH$44="Media",'Mapa final'!$AJ$44="Catastrófico"),CONCATENATE("R2C",'Mapa final'!$R$44),"")</f>
        <v/>
      </c>
      <c r="AJ37" s="42" t="str">
        <f>IF(AND('Mapa final'!$AH$45="Media",'Mapa final'!$AJ$45="Catastrófico"),CONCATENATE("R2C",'Mapa final'!$R$45),"")</f>
        <v/>
      </c>
      <c r="AK37" s="42" t="str">
        <f>IF(AND('Mapa final'!$AH$46="Media",'Mapa final'!$AJ$46="Catastrófico"),CONCATENATE("R2C",'Mapa final'!$R$46),"")</f>
        <v/>
      </c>
      <c r="AL37" s="42" t="str">
        <f>IF(AND('Mapa final'!$AH$47="Media",'Mapa final'!$AJ$47="Catastrófico"),CONCATENATE("R2C",'Mapa final'!$R$47),"")</f>
        <v/>
      </c>
      <c r="AM37" s="42" t="str">
        <f>IF(AND('Mapa final'!$AH$48="Media",'Mapa final'!$AJ$48="Catastrófico"),CONCATENATE("R2C",'Mapa final'!$R$48),"")</f>
        <v/>
      </c>
      <c r="AN37" s="43" t="str">
        <f>IF(AND('Mapa final'!$AH$59="Media",'Mapa final'!$AJ$49="Catastrófico"),CONCATENATE("R2C",'Mapa final'!$R$49),"")</f>
        <v/>
      </c>
      <c r="AO37" s="68"/>
      <c r="AP37" s="545"/>
      <c r="AQ37" s="546"/>
      <c r="AR37" s="546"/>
      <c r="AS37" s="546"/>
      <c r="AT37" s="546"/>
      <c r="AU37" s="547"/>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row>
    <row r="38" spans="2:77" ht="15" customHeight="1">
      <c r="B38" s="68"/>
      <c r="C38" s="461"/>
      <c r="D38" s="461"/>
      <c r="E38" s="462"/>
      <c r="F38" s="504"/>
      <c r="G38" s="505"/>
      <c r="H38" s="505"/>
      <c r="I38" s="505"/>
      <c r="J38" s="506"/>
      <c r="K38" s="53" t="str">
        <f>IF(AND('Mapa final'!$AH$50="Media",'Mapa final'!$AJ$50="Leve"),CONCATENATE("R2C",'Mapa final'!$R$50),"")</f>
        <v/>
      </c>
      <c r="L38" s="54" t="str">
        <f>IF(AND('Mapa final'!$AH$51="Media",'Mapa final'!$AJ$51="Leve"),CONCATENATE("R2C",'Mapa final'!$R$51),"")</f>
        <v/>
      </c>
      <c r="M38" s="54" t="str">
        <f>IF(AND('Mapa final'!$AH$52="Media",'Mapa final'!$AJ$52="Leve"),CONCATENATE("R2C",'Mapa final'!$R$52),"")</f>
        <v/>
      </c>
      <c r="N38" s="54" t="e">
        <f>IF(AND('Mapa final'!#REF!="Alta",'Mapa final'!#REF!="Leve"),CONCATENATE("R2C",'Mapa final'!#REF!),"")</f>
        <v>#REF!</v>
      </c>
      <c r="O38" s="54" t="str">
        <f>IF(AND('Mapa final'!$AH$54="Media",'Mapa final'!$AJ$54="Leve"),CONCATENATE("R2C",'Mapa final'!$R$54),"")</f>
        <v/>
      </c>
      <c r="P38" s="55" t="str">
        <f>IF(AND('Mapa final'!$AH$55="Media",'Mapa final'!$AJ$55="Leve"),CONCATENATE("R2C",'Mapa final'!$R$55),"")</f>
        <v/>
      </c>
      <c r="Q38" s="53" t="str">
        <f>IF(AND('Mapa final'!$AH$50="Media",'Mapa final'!$AJ$50="Menor"),CONCATENATE("R2C",'Mapa final'!$R$50),"")</f>
        <v/>
      </c>
      <c r="R38" s="54" t="str">
        <f>IF(AND('Mapa final'!$AH$51="Media",'Mapa final'!$AJ$51="Menor"),CONCATENATE("R2C",'Mapa final'!$R$51),"")</f>
        <v/>
      </c>
      <c r="S38" s="54" t="str">
        <f>IF(AND('Mapa final'!$AH$52="Media",'Mapa final'!$AJ$52="Menor"),CONCATENATE("R2C",'Mapa final'!$R$52),"")</f>
        <v/>
      </c>
      <c r="T38" s="54" t="str">
        <f>IF(AND('Mapa final'!$AH$53="Media",'Mapa final'!$AJ$53="Menor"),CONCATENATE("R2C",'Mapa final'!$R$53),"")</f>
        <v/>
      </c>
      <c r="U38" s="54" t="str">
        <f>IF(AND('Mapa final'!$AH$54="Media",'Mapa final'!$AJ$54="Menor"),CONCATENATE("R2C",'Mapa final'!$R$54),"")</f>
        <v/>
      </c>
      <c r="V38" s="55" t="str">
        <f>IF(AND('Mapa final'!$AH$55="Media",'Mapa final'!$AJ$55="Menor"),CONCATENATE("R2C",'Mapa final'!$R$55),"")</f>
        <v/>
      </c>
      <c r="W38" s="53" t="str">
        <f>IF(AND('Mapa final'!$AH$50="Media",'Mapa final'!$AJ$50="Moderado"),CONCATENATE("R2C",'Mapa final'!$R$50),"")</f>
        <v/>
      </c>
      <c r="X38" s="54" t="str">
        <f>IF(AND('Mapa final'!$AH$51="Media",'Mapa final'!$AJ$51="Moderado"),CONCATENATE("R2C",'Mapa final'!$R$51),"")</f>
        <v/>
      </c>
      <c r="Y38" s="54" t="str">
        <f>IF(AND('Mapa final'!$AH$52="Media",'Mapa final'!$AJ$52="Moderado"),CONCATENATE("R2C",'Mapa final'!$R$52),"")</f>
        <v/>
      </c>
      <c r="Z38" s="54" t="str">
        <f>IF(AND('Mapa final'!$AH$53="Media",'Mapa final'!$AJ$53="Moderado"),CONCATENATE("R2C",'Mapa final'!$R$53),"")</f>
        <v/>
      </c>
      <c r="AA38" s="54" t="str">
        <f>IF(AND('Mapa final'!$AH$54="Media",'Mapa final'!$AJ$54="Moderado"),CONCATENATE("R2C",'Mapa final'!$R$54),"")</f>
        <v/>
      </c>
      <c r="AB38" s="55" t="str">
        <f>IF(AND('Mapa final'!$AH$55="Media",'Mapa final'!$AJ$55="Moderado"),CONCATENATE("R2C",'Mapa final'!$R$55),"")</f>
        <v/>
      </c>
      <c r="AC38" s="38" t="str">
        <f>IF(AND('Mapa final'!$AH$50="Media",'Mapa final'!$AJ$50="Mayor"),CONCATENATE("R2C",'Mapa final'!$R$50),"")</f>
        <v/>
      </c>
      <c r="AD38" s="39" t="str">
        <f>IF(AND('Mapa final'!$AH$51="Media",'Mapa final'!$AJ$51="Mayor"),CONCATENATE("R2C",'Mapa final'!$R$51),"")</f>
        <v/>
      </c>
      <c r="AE38" s="39" t="str">
        <f>IF(AND('Mapa final'!$AH$52="Media",'Mapa final'!$AJ$52="Mayor"),CONCATENATE("R2C",'Mapa final'!$R$52),"")</f>
        <v/>
      </c>
      <c r="AF38" s="39" t="str">
        <f>IF(AND('Mapa final'!$AH$53="Media",'Mapa final'!$AJ$53="Mayor"),CONCATENATE("R2C",'Mapa final'!$R$53),"")</f>
        <v/>
      </c>
      <c r="AG38" s="39" t="str">
        <f>IF(AND('Mapa final'!$AH$54="Media",'Mapa final'!$AJ$54="Mayor"),CONCATENATE("R2C",'Mapa final'!$R$54),"")</f>
        <v/>
      </c>
      <c r="AH38" s="40" t="str">
        <f>IF(AND('Mapa final'!$AH$55="Media",'Mapa final'!$AJ$55="Mayor"),CONCATENATE("R2C",'Mapa final'!$R$55),"")</f>
        <v/>
      </c>
      <c r="AI38" s="41" t="str">
        <f>IF(AND('Mapa final'!$AH$50="Media",'Mapa final'!$AJ$50="Catastrófico"),CONCATENATE("R2C",'Mapa final'!$R$50),"")</f>
        <v/>
      </c>
      <c r="AJ38" s="42" t="str">
        <f>IF(AND('Mapa final'!$AH$51="Media",'Mapa final'!$AJ$51="Catastrófico"),CONCATENATE("R2C",'Mapa final'!$R$51),"")</f>
        <v/>
      </c>
      <c r="AK38" s="42" t="str">
        <f>IF(AND('Mapa final'!$AH$52="Media",'Mapa final'!$AJ$52="Catastrófico"),CONCATENATE("R2C",'Mapa final'!$R$52),"")</f>
        <v/>
      </c>
      <c r="AL38" s="42" t="str">
        <f>IF(AND('Mapa final'!$AH$53="Media",'Mapa final'!$AJ$53="Catastrófico"),CONCATENATE("R2C",'Mapa final'!$R$53),"")</f>
        <v/>
      </c>
      <c r="AM38" s="42" t="str">
        <f>IF(AND('Mapa final'!$AH$54="Media",'Mapa final'!$AJ$54="Catastrófico"),CONCATENATE("R2C",'Mapa final'!$R$54),"")</f>
        <v/>
      </c>
      <c r="AN38" s="43" t="str">
        <f>IF(AND('Mapa final'!$AH$55="Media",'Mapa final'!$AJ$55="Catastrófico"),CONCATENATE("R2C",'Mapa final'!$R$55),"")</f>
        <v/>
      </c>
      <c r="AO38" s="68"/>
      <c r="AP38" s="545"/>
      <c r="AQ38" s="546"/>
      <c r="AR38" s="546"/>
      <c r="AS38" s="546"/>
      <c r="AT38" s="546"/>
      <c r="AU38" s="547"/>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row>
    <row r="39" spans="2:77" ht="15" customHeight="1">
      <c r="B39" s="68"/>
      <c r="C39" s="461"/>
      <c r="D39" s="461"/>
      <c r="E39" s="462"/>
      <c r="F39" s="504"/>
      <c r="G39" s="505"/>
      <c r="H39" s="505"/>
      <c r="I39" s="505"/>
      <c r="J39" s="506"/>
      <c r="K39" s="53" t="str">
        <f>IF(AND('Mapa final'!$AH$56="Media",'Mapa final'!$AJ$56="Leve"),CONCATENATE("R2C",'Mapa final'!$R$56),"")</f>
        <v/>
      </c>
      <c r="L39" s="54" t="str">
        <f>IF(AND('Mapa final'!$AH$57="Media",'Mapa final'!$AJ$57="Leve"),CONCATENATE("R2C",'Mapa final'!$R$57),"")</f>
        <v/>
      </c>
      <c r="M39" s="54" t="str">
        <f>IF(AND('Mapa final'!$AH$58="Media",'Mapa final'!$AJ$58="Leve"),CONCATENATE("R2C",'Mapa final'!$R$58),"")</f>
        <v/>
      </c>
      <c r="N39" s="54" t="e">
        <f>IF(AND('Mapa final'!#REF!="Alta",'Mapa final'!#REF!="Leve"),CONCATENATE("R2C",'Mapa final'!#REF!),"")</f>
        <v>#REF!</v>
      </c>
      <c r="O39" s="54" t="str">
        <f>IF(AND('Mapa final'!$AH$60="Media",'Mapa final'!$AJ$60="Leve"),CONCATENATE("R2C",'Mapa final'!$R$60),"")</f>
        <v/>
      </c>
      <c r="P39" s="55" t="str">
        <f>IF(AND('Mapa final'!$AH$61="Media",'Mapa final'!$AJ$61="Leve"),CONCATENATE("R2C",'Mapa final'!$R$61),"")</f>
        <v/>
      </c>
      <c r="Q39" s="53" t="str">
        <f>IF(AND('Mapa final'!$AH$56="Media",'Mapa final'!$AJ$56="Menor"),CONCATENATE("R2C",'Mapa final'!$R$56),"")</f>
        <v/>
      </c>
      <c r="R39" s="54" t="str">
        <f>IF(AND('Mapa final'!$AH$57="Media",'Mapa final'!$AJ$57="Menor"),CONCATENATE("R2C",'Mapa final'!$R$57),"")</f>
        <v/>
      </c>
      <c r="S39" s="54" t="str">
        <f>IF(AND('Mapa final'!$AH$58="Media",'Mapa final'!$AJ$58="Menor"),CONCATENATE("R2C",'Mapa final'!$R$58),"")</f>
        <v/>
      </c>
      <c r="T39" s="54" t="str">
        <f>IF(AND('Mapa final'!$AH$59="Media",'Mapa final'!$AJ$59="Menor"),CONCATENATE("R2C",'Mapa final'!$R$59),"")</f>
        <v/>
      </c>
      <c r="U39" s="54" t="str">
        <f>IF(AND('Mapa final'!$AH$60="Media",'Mapa final'!$AJ$60="Menor"),CONCATENATE("R2C",'Mapa final'!$R$60),"")</f>
        <v/>
      </c>
      <c r="V39" s="55" t="str">
        <f>IF(AND('Mapa final'!$AH$61="Media",'Mapa final'!$AJ$61="Menor"),CONCATENATE("R2C",'Mapa final'!$R$61),"")</f>
        <v/>
      </c>
      <c r="W39" s="53" t="str">
        <f>IF(AND('Mapa final'!$AH$56="Media",'Mapa final'!$AJ$56="Moderado"),CONCATENATE("R2C",'Mapa final'!$R$56),"")</f>
        <v/>
      </c>
      <c r="X39" s="54" t="str">
        <f>IF(AND('Mapa final'!$AH$57="Media",'Mapa final'!$AJ$57="Moderado"),CONCATENATE("R2C",'Mapa final'!$R$57),"")</f>
        <v/>
      </c>
      <c r="Y39" s="54" t="str">
        <f>IF(AND('Mapa final'!$AH$58="Media",'Mapa final'!$AJ$58="Moderado"),CONCATENATE("R2C",'Mapa final'!$R$58),"")</f>
        <v/>
      </c>
      <c r="Z39" s="54" t="str">
        <f>IF(AND('Mapa final'!$AH$59="Media",'Mapa final'!$AJ$59="Moderado"),CONCATENATE("R2C",'Mapa final'!$R$59),"")</f>
        <v/>
      </c>
      <c r="AA39" s="54" t="str">
        <f>IF(AND('Mapa final'!$AH$60="Media",'Mapa final'!$AJ$60="Moderado"),CONCATENATE("R2C",'Mapa final'!$R$60),"")</f>
        <v/>
      </c>
      <c r="AB39" s="55" t="str">
        <f>IF(AND('Mapa final'!$AH$61="Media",'Mapa final'!$AJ$61="Moderado"),CONCATENATE("R2C",'Mapa final'!$R$61),"")</f>
        <v/>
      </c>
      <c r="AC39" s="38" t="str">
        <f>IF(AND('Mapa final'!$AH$56="Media",'Mapa final'!$AJ$56="Mayor"),CONCATENATE("R2C",'Mapa final'!$R$56),"")</f>
        <v/>
      </c>
      <c r="AD39" s="39" t="str">
        <f>IF(AND('Mapa final'!$AH$57="Media",'Mapa final'!$AJ$57="Mayor"),CONCATENATE("R2C",'Mapa final'!$R$57),"")</f>
        <v/>
      </c>
      <c r="AE39" s="39" t="str">
        <f>IF(AND('Mapa final'!$AH$58="Media",'Mapa final'!$AJ$58="Mayor"),CONCATENATE("R2C",'Mapa final'!$R$58),"")</f>
        <v/>
      </c>
      <c r="AF39" s="39" t="str">
        <f>IF(AND('Mapa final'!$AH$59="Media",'Mapa final'!$AJ$59="Mayor"),CONCATENATE("R2C",'Mapa final'!$R$59),"")</f>
        <v/>
      </c>
      <c r="AG39" s="39" t="str">
        <f>IF(AND('Mapa final'!$AH$60="Media",'Mapa final'!$AJ$60="Mayor"),CONCATENATE("R2C",'Mapa final'!$R$60),"")</f>
        <v/>
      </c>
      <c r="AH39" s="40" t="str">
        <f>IF(AND('Mapa final'!$AH$61="Media",'Mapa final'!$AJ$61="Mayor"),CONCATENATE("R2C",'Mapa final'!$R$61),"")</f>
        <v/>
      </c>
      <c r="AI39" s="41" t="str">
        <f>IF(AND('Mapa final'!$AH$56="Media",'Mapa final'!$AJ$56="Catastrófico"),CONCATENATE("R2C",'Mapa final'!$R$56),"")</f>
        <v/>
      </c>
      <c r="AJ39" s="42" t="str">
        <f>IF(AND('Mapa final'!$AH$57="Media",'Mapa final'!$AJ$57="Catastrófico"),CONCATENATE("R2C",'Mapa final'!$R$57),"")</f>
        <v/>
      </c>
      <c r="AK39" s="42" t="str">
        <f>IF(AND('Mapa final'!$AH$58="Media",'Mapa final'!$AJ$58="Catastrófico"),CONCATENATE("R2C",'Mapa final'!$R$58),"")</f>
        <v/>
      </c>
      <c r="AL39" s="42" t="str">
        <f>IF(AND('Mapa final'!$AH$59="Media",'Mapa final'!$AJ$59="Catastrófico"),CONCATENATE("R2C",'Mapa final'!$R$59),"")</f>
        <v/>
      </c>
      <c r="AM39" s="42" t="str">
        <f>IF(AND('Mapa final'!$AH$60="Media",'Mapa final'!$AJ$60="Catastrófico"),CONCATENATE("R2C",'Mapa final'!$R$60),"")</f>
        <v/>
      </c>
      <c r="AN39" s="43" t="str">
        <f>IF(AND('Mapa final'!$AH$61="Media",'Mapa final'!$AJ$61="Catastrófico"),CONCATENATE("R2C",'Mapa final'!$R$61),"")</f>
        <v/>
      </c>
      <c r="AO39" s="68"/>
      <c r="AP39" s="545"/>
      <c r="AQ39" s="546"/>
      <c r="AR39" s="546"/>
      <c r="AS39" s="546"/>
      <c r="AT39" s="546"/>
      <c r="AU39" s="547"/>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row>
    <row r="40" spans="2:77" ht="15" customHeight="1">
      <c r="B40" s="68"/>
      <c r="C40" s="461"/>
      <c r="D40" s="461"/>
      <c r="E40" s="462"/>
      <c r="F40" s="504"/>
      <c r="G40" s="505"/>
      <c r="H40" s="505"/>
      <c r="I40" s="505"/>
      <c r="J40" s="506"/>
      <c r="K40" s="53" t="str">
        <f>IF(AND('Mapa final'!$AH$62="Media",'Mapa final'!$AJ$62="Leve"),CONCATENATE("R2C",'Mapa final'!$R$62),"")</f>
        <v/>
      </c>
      <c r="L40" s="54" t="str">
        <f>IF(AND('Mapa final'!$AH$63="Media",'Mapa final'!$AJ$63="Leve"),CONCATENATE("R2C",'Mapa final'!$R$63),"")</f>
        <v/>
      </c>
      <c r="M40" s="54" t="str">
        <f>IF(AND('Mapa final'!$AH$64="Media",'Mapa final'!$AJ$64="Leve"),CONCATENATE("R2C",'Mapa final'!$R$64),"")</f>
        <v/>
      </c>
      <c r="N40" s="54" t="e">
        <f>IF(AND('Mapa final'!#REF!="Alta",'Mapa final'!#REF!="Leve"),CONCATENATE("R2C",'Mapa final'!#REF!),"")</f>
        <v>#REF!</v>
      </c>
      <c r="O40" s="54" t="str">
        <f>IF(AND('Mapa final'!$AH$66="Media",'Mapa final'!$AJ$66="Leve"),CONCATENATE("R2C",'Mapa final'!$R$66),"")</f>
        <v/>
      </c>
      <c r="P40" s="55" t="str">
        <f>IF(AND('Mapa final'!$AH$67="Media",'Mapa final'!$AJ$67="Leve"),CONCATENATE("R2C",'Mapa final'!$R$67),"")</f>
        <v/>
      </c>
      <c r="Q40" s="53" t="str">
        <f>IF(AND('Mapa final'!$AH$62="Media",'Mapa final'!$AJ$62="Menor"),CONCATENATE("R2C",'Mapa final'!$R$62),"")</f>
        <v/>
      </c>
      <c r="R40" s="54" t="str">
        <f>IF(AND('Mapa final'!$AH$63="Media",'Mapa final'!$AJ$63="Menor"),CONCATENATE("R2C",'Mapa final'!$R$63),"")</f>
        <v/>
      </c>
      <c r="S40" s="54" t="str">
        <f>IF(AND('Mapa final'!$AH$64="Media",'Mapa final'!$AJ$64="Menor"),CONCATENATE("R2C",'Mapa final'!$R$64),"")</f>
        <v/>
      </c>
      <c r="T40" s="54" t="str">
        <f>IF(AND('Mapa final'!$AH$65="Media",'Mapa final'!$AJ$65="Menor"),CONCATENATE("R2C",'Mapa final'!$R$65),"")</f>
        <v/>
      </c>
      <c r="U40" s="54" t="str">
        <f>IF(AND('Mapa final'!$AH$66="Media",'Mapa final'!$AJ$66="Menor"),CONCATENATE("R2C",'Mapa final'!$R$66),"")</f>
        <v/>
      </c>
      <c r="V40" s="55" t="str">
        <f>IF(AND('Mapa final'!$AH$67="Media",'Mapa final'!$AJ$67="Menor"),CONCATENATE("R2C",'Mapa final'!$R$67),"")</f>
        <v/>
      </c>
      <c r="W40" s="53" t="str">
        <f>IF(AND('Mapa final'!$AH$62="Media",'Mapa final'!$AJ$62="Moderado"),CONCATENATE("R2C",'Mapa final'!$R$62),"")</f>
        <v/>
      </c>
      <c r="X40" s="54" t="str">
        <f>IF(AND('Mapa final'!$AH$63="Media",'Mapa final'!$AJ$63="Moderado"),CONCATENATE("R2C",'Mapa final'!$R$63),"")</f>
        <v/>
      </c>
      <c r="Y40" s="54" t="str">
        <f>IF(AND('Mapa final'!$AH$64="Media",'Mapa final'!$AJ$64="Moderado"),CONCATENATE("R2C",'Mapa final'!$R$64),"")</f>
        <v/>
      </c>
      <c r="Z40" s="54" t="str">
        <f>IF(AND('Mapa final'!$AH$65="Media",'Mapa final'!$AJ$65="Moderado"),CONCATENATE("R2C",'Mapa final'!$R$65),"")</f>
        <v/>
      </c>
      <c r="AA40" s="54" t="str">
        <f>IF(AND('Mapa final'!$AH$66="Media",'Mapa final'!$AJ$66="Moderado"),CONCATENATE("R2C",'Mapa final'!$R$66),"")</f>
        <v/>
      </c>
      <c r="AB40" s="55" t="str">
        <f>IF(AND('Mapa final'!$AH$67="Media",'Mapa final'!$AJ$67="Moderado"),CONCATENATE("R2C",'Mapa final'!$R$67),"")</f>
        <v/>
      </c>
      <c r="AC40" s="38" t="str">
        <f>IF(AND('Mapa final'!$AH$62="Media",'Mapa final'!$AJ$62="Mayor"),CONCATENATE("R2C",'Mapa final'!$R$62),"")</f>
        <v/>
      </c>
      <c r="AD40" s="39" t="str">
        <f>IF(AND('Mapa final'!$AH$63="Media",'Mapa final'!$AJ$63="Mayor"),CONCATENATE("R2C",'Mapa final'!$R$63),"")</f>
        <v/>
      </c>
      <c r="AE40" s="39" t="str">
        <f>IF(AND('Mapa final'!$AH$64="Media",'Mapa final'!$AJ$64="Mayor"),CONCATENATE("R2C",'Mapa final'!$R$64),"")</f>
        <v/>
      </c>
      <c r="AF40" s="39" t="str">
        <f>IF(AND('Mapa final'!$AH$65="Media",'Mapa final'!$AJ$65="Mayor"),CONCATENATE("R2C",'Mapa final'!$R$65),"")</f>
        <v/>
      </c>
      <c r="AG40" s="39" t="str">
        <f>IF(AND('Mapa final'!$AH$66="Media",'Mapa final'!$AJ$66="Mayor"),CONCATENATE("R2C",'Mapa final'!$R$66),"")</f>
        <v/>
      </c>
      <c r="AH40" s="40" t="str">
        <f>IF(AND('Mapa final'!$AH$67="Media",'Mapa final'!$AJ$67="Mayor"),CONCATENATE("R2C",'Mapa final'!$R$67),"")</f>
        <v/>
      </c>
      <c r="AI40" s="41" t="str">
        <f>IF(AND('Mapa final'!$AH$62="Media",'Mapa final'!$AJ$62="Catastrófico"),CONCATENATE("R2C",'Mapa final'!$R$62),"")</f>
        <v/>
      </c>
      <c r="AJ40" s="42" t="str">
        <f>IF(AND('Mapa final'!$AH$63="Media",'Mapa final'!$AJ$63="Catastrófico"),CONCATENATE("R2C",'Mapa final'!$R$63),"")</f>
        <v/>
      </c>
      <c r="AK40" s="42" t="str">
        <f>IF(AND('Mapa final'!$AH$64="Media",'Mapa final'!$AJ$64="Catastrófico"),CONCATENATE("R2C",'Mapa final'!$R$64),"")</f>
        <v/>
      </c>
      <c r="AL40" s="42" t="str">
        <f>IF(AND('Mapa final'!$AH$65="Media",'Mapa final'!$AJ$65="Catastrófico"),CONCATENATE("R2C",'Mapa final'!$R$65),"")</f>
        <v/>
      </c>
      <c r="AM40" s="42" t="str">
        <f>IF(AND('Mapa final'!$AH$66="Media",'Mapa final'!$AJ$66="Catastrófico"),CONCATENATE("R2C",'Mapa final'!$R$66),"")</f>
        <v/>
      </c>
      <c r="AN40" s="43" t="str">
        <f>IF(AND('Mapa final'!$AH$67="Media",'Mapa final'!$AJ$67="Catastrófico"),CONCATENATE("R2C",'Mapa final'!$R$67),"")</f>
        <v/>
      </c>
      <c r="AO40" s="68"/>
      <c r="AP40" s="545"/>
      <c r="AQ40" s="546"/>
      <c r="AR40" s="546"/>
      <c r="AS40" s="546"/>
      <c r="AT40" s="546"/>
      <c r="AU40" s="547"/>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row>
    <row r="41" spans="2:77" ht="15.75" customHeight="1" thickBot="1">
      <c r="B41" s="68"/>
      <c r="C41" s="461"/>
      <c r="D41" s="461"/>
      <c r="E41" s="462"/>
      <c r="F41" s="507"/>
      <c r="G41" s="508"/>
      <c r="H41" s="508"/>
      <c r="I41" s="508"/>
      <c r="J41" s="509"/>
      <c r="K41" s="53" t="str">
        <f>IF(AND('Mapa final'!$AH$68="Media",'Mapa final'!$AJ$68="Leve"),CONCATENATE("R2C",'Mapa final'!$R$68),"")</f>
        <v/>
      </c>
      <c r="L41" s="54" t="str">
        <f>IF(AND('Mapa final'!$AH$69="Media",'Mapa final'!$AJ$69="Leve"),CONCATENATE("R2C",'Mapa final'!$R$69),"")</f>
        <v/>
      </c>
      <c r="M41" s="54" t="str">
        <f>IF(AND('Mapa final'!$AH$70="Media",'Mapa final'!$AJ$70="Leve"),CONCATENATE("R2C",'Mapa final'!$R$70),"")</f>
        <v/>
      </c>
      <c r="N41" s="54" t="e">
        <f>IF(AND('Mapa final'!#REF!="Alta",'Mapa final'!#REF!="Leve"),CONCATENATE("R2C",'Mapa final'!#REF!),"")</f>
        <v>#REF!</v>
      </c>
      <c r="O41" s="54" t="str">
        <f>IF(AND('Mapa final'!$AH$73="Media",'Mapa final'!$AJ$73="Leve"),CONCATENATE("R2C",'Mapa final'!$R$73),"")</f>
        <v/>
      </c>
      <c r="P41" s="55" t="str">
        <f>IF(AND('Mapa final'!$AH$74="Media",'Mapa final'!$AJ$74="Leve"),CONCATENATE("R2C",'Mapa final'!$R$74),"")</f>
        <v/>
      </c>
      <c r="Q41" s="53" t="str">
        <f>IF(AND('Mapa final'!$AH$68="Media",'Mapa final'!$AJ$68="Menor"),CONCATENATE("R2C",'Mapa final'!$R$68),"")</f>
        <v/>
      </c>
      <c r="R41" s="54" t="str">
        <f>IF(AND('Mapa final'!$AH$69="Media",'Mapa final'!$AJ$69="Menor"),CONCATENATE("R2C",'Mapa final'!$R$69),"")</f>
        <v/>
      </c>
      <c r="S41" s="54" t="str">
        <f>IF(AND('Mapa final'!$AH$70="Media",'Mapa final'!$AJ$70="Menor"),CONCATENATE("R2C",'Mapa final'!$R$70),"")</f>
        <v/>
      </c>
      <c r="T41" s="54" t="str">
        <f>IF(AND('Mapa final'!$AH$71="Media",'Mapa final'!$AJ$71="Menor"),CONCATENATE("R2C",'Mapa final'!$R$71),"")</f>
        <v/>
      </c>
      <c r="U41" s="54" t="str">
        <f>IF(AND('Mapa final'!$AH$73="Media",'Mapa final'!$AJ$73="Menor"),CONCATENATE("R2C",'Mapa final'!$R$73),"")</f>
        <v/>
      </c>
      <c r="V41" s="55" t="str">
        <f>IF(AND('Mapa final'!$AH$74="Media",'Mapa final'!$AJ$74="Menor"),CONCATENATE("R2C",'Mapa final'!$R$74),"")</f>
        <v/>
      </c>
      <c r="W41" s="53" t="str">
        <f>IF(AND('Mapa final'!$AH$68="Media",'Mapa final'!$AJ$68="Moderado"),CONCATENATE("R2C",'Mapa final'!$R$68),"")</f>
        <v/>
      </c>
      <c r="X41" s="54" t="str">
        <f>IF(AND('Mapa final'!$AH$69="Media",'Mapa final'!$AJ$69="Moderado"),CONCATENATE("R2C",'Mapa final'!$R$69),"")</f>
        <v/>
      </c>
      <c r="Y41" s="54" t="str">
        <f>IF(AND('Mapa final'!$AH$70="Media",'Mapa final'!$AJ$70="Moderado"),CONCATENATE("R2C",'Mapa final'!$R$70),"")</f>
        <v/>
      </c>
      <c r="Z41" s="54" t="str">
        <f>IF(AND('Mapa final'!$AH$71="Media",'Mapa final'!$AJ$71="Moderado"),CONCATENATE("R2C",'Mapa final'!$R$71),"")</f>
        <v/>
      </c>
      <c r="AA41" s="54" t="str">
        <f>IF(AND('Mapa final'!$AH$73="Media",'Mapa final'!$AJ$73="Moderado"),CONCATENATE("R2C",'Mapa final'!$R$73),"")</f>
        <v/>
      </c>
      <c r="AB41" s="55" t="str">
        <f>IF(AND('Mapa final'!$AH$74="Media",'Mapa final'!$AJ$74="Moderado"),CONCATENATE("R2C",'Mapa final'!$R$74),"")</f>
        <v/>
      </c>
      <c r="AC41" s="44" t="str">
        <f>IF(AND('Mapa final'!$AH$68="Media",'Mapa final'!$AJ$68="Mayor"),CONCATENATE("R2C",'Mapa final'!$R$68),"")</f>
        <v/>
      </c>
      <c r="AD41" s="45" t="str">
        <f>IF(AND('Mapa final'!$AH$69="Media",'Mapa final'!$AJ$69="Mayor"),CONCATENATE("R2C",'Mapa final'!$R$69),"")</f>
        <v/>
      </c>
      <c r="AE41" s="45" t="str">
        <f>IF(AND('Mapa final'!$AH$70="Media",'Mapa final'!$AJ$70="Mayor"),CONCATENATE("R2C",'Mapa final'!$R$70),"")</f>
        <v/>
      </c>
      <c r="AF41" s="45" t="str">
        <f>IF(AND('Mapa final'!$AH$71="Media",'Mapa final'!$AJ$71="Mayor"),CONCATENATE("R2C",'Mapa final'!$R$71),"")</f>
        <v/>
      </c>
      <c r="AG41" s="45" t="str">
        <f>IF(AND('Mapa final'!$AH$73="Media",'Mapa final'!$AJ$73="Mayor"),CONCATENATE("R2C",'Mapa final'!$R$73),"")</f>
        <v/>
      </c>
      <c r="AH41" s="46" t="str">
        <f>IF(AND('Mapa final'!$AH$74="Media",'Mapa final'!$AJ$74="Mayor"),CONCATENATE("R2C",'Mapa final'!$R$74),"")</f>
        <v/>
      </c>
      <c r="AI41" s="47" t="str">
        <f>IF(AND('Mapa final'!$AH$68="Media",'Mapa final'!$AJ$68="Catastrófico"),CONCATENATE("R2C",'Mapa final'!$R$68),"")</f>
        <v/>
      </c>
      <c r="AJ41" s="48" t="str">
        <f>IF(AND('Mapa final'!$AH$69="Media",'Mapa final'!$AJ$69="Catastrófico"),CONCATENATE("R2C",'Mapa final'!$R$69),"")</f>
        <v/>
      </c>
      <c r="AK41" s="48" t="str">
        <f>IF(AND('Mapa final'!$AH$70="Media",'Mapa final'!$AJ$70="Catastrófico"),CONCATENATE("R2C",'Mapa final'!$R$70),"")</f>
        <v/>
      </c>
      <c r="AL41" s="48" t="str">
        <f>IF(AND('Mapa final'!$AH$71="Media",'Mapa final'!$AJ$71="Catastrófico"),CONCATENATE("R2C",'Mapa final'!$R$71),"")</f>
        <v/>
      </c>
      <c r="AM41" s="48" t="str">
        <f>IF(AND('Mapa final'!$AH$73="Media",'Mapa final'!$AJ$73="Catastrófico"),CONCATENATE("R2C",'Mapa final'!$R$73),"")</f>
        <v/>
      </c>
      <c r="AN41" s="49" t="str">
        <f>IF(AND('Mapa final'!$AH$74="Muy Alta",'Mapa final'!$AJ$74="Catastrófico"),CONCATENATE("R2C",'Mapa final'!$R$74),"")</f>
        <v/>
      </c>
      <c r="AO41" s="68"/>
      <c r="AP41" s="548"/>
      <c r="AQ41" s="549"/>
      <c r="AR41" s="549"/>
      <c r="AS41" s="549"/>
      <c r="AT41" s="549"/>
      <c r="AU41" s="550"/>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row>
    <row r="42" spans="2:77" ht="15" customHeight="1">
      <c r="B42" s="68"/>
      <c r="C42" s="461"/>
      <c r="D42" s="461"/>
      <c r="E42" s="462"/>
      <c r="F42" s="501" t="s">
        <v>258</v>
      </c>
      <c r="G42" s="502"/>
      <c r="H42" s="502"/>
      <c r="I42" s="502"/>
      <c r="J42" s="502"/>
      <c r="K42" s="59"/>
      <c r="L42" s="60" t="e">
        <f>IF(AND('Mapa final'!#REF!="Baja",'Mapa final'!#REF!="Leve"),CONCATENATE("R2C",'Mapa final'!$R$15),"")</f>
        <v>#REF!</v>
      </c>
      <c r="M42" s="60" t="e">
        <f>IF(AND('Mapa final'!#REF!="Baja",'Mapa final'!#REF!="Leve"),CONCATENATE("R2C",'Mapa final'!#REF!),"")</f>
        <v>#REF!</v>
      </c>
      <c r="N42" s="54" t="e">
        <f>IF(AND('Mapa final'!#REF!="Alta",'Mapa final'!#REF!="Leve"),CONCATENATE("R2C",'Mapa final'!#REF!),"")</f>
        <v>#REF!</v>
      </c>
      <c r="O42" s="60" t="e">
        <f>IF(AND('Mapa final'!#REF!="Baja",'Mapa final'!#REF!="Leve"),CONCATENATE("R2C",'Mapa final'!#REF!),"")</f>
        <v>#REF!</v>
      </c>
      <c r="P42" s="61" t="e">
        <f>IF(AND('Mapa final'!#REF!="Baja",'Mapa final'!#REF!="Leve"),CONCATENATE("R2C",'Mapa final'!#REF!),"")</f>
        <v>#REF!</v>
      </c>
      <c r="Q42" s="50"/>
      <c r="R42" s="51" t="e">
        <f>IF(AND('Mapa final'!#REF!="Baja",'Mapa final'!#REF!="Menore"),CONCATENATE("R2C",'Mapa final'!$R$15),"")</f>
        <v>#REF!</v>
      </c>
      <c r="S42" s="51" t="e">
        <f>IF(AND('Mapa final'!#REF!="Baja",'Mapa final'!#REF!="Menor"),CONCATENATE("R2C",'Mapa final'!#REF!),"")</f>
        <v>#REF!</v>
      </c>
      <c r="T42" s="51" t="e">
        <f>IF(AND('Mapa final'!#REF!="Baja",'Mapa final'!#REF!="Menor"),CONCATENATE("R2C",'Mapa final'!#REF!),"")</f>
        <v>#REF!</v>
      </c>
      <c r="U42" s="51" t="e">
        <f>IF(AND('Mapa final'!#REF!="Baja",'Mapa final'!#REF!="Menor"),CONCATENATE("R2C",'Mapa final'!#REF!),"")</f>
        <v>#REF!</v>
      </c>
      <c r="V42" s="52" t="e">
        <f>IF(AND('Mapa final'!#REF!="Baja",'Mapa final'!#REF!="Menor"),CONCATENATE("R2C",'Mapa final'!#REF!),"")</f>
        <v>#REF!</v>
      </c>
      <c r="W42" s="50"/>
      <c r="X42" s="51" t="e">
        <f>IF(AND('Mapa final'!#REF!="Baja",'Mapa final'!#REF!="Moderado"),CONCATENATE("R2C",'Mapa final'!$R$15),"")</f>
        <v>#REF!</v>
      </c>
      <c r="Y42" s="51"/>
      <c r="Z42" s="51" t="e">
        <f>IF(AND('Mapa final'!#REF!="Baja",'Mapa final'!#REF!="Moderado"),CONCATENATE("R2C",'Mapa final'!#REF!),"")</f>
        <v>#REF!</v>
      </c>
      <c r="AA42" s="51" t="e">
        <f>IF(AND('Mapa final'!#REF!="Baja",'Mapa final'!#REF!="Moderado"),CONCATENATE("R2C",'Mapa final'!#REF!),"")</f>
        <v>#REF!</v>
      </c>
      <c r="AB42" s="52" t="e">
        <f>IF(AND('Mapa final'!#REF!="Baja",'Mapa final'!#REF!="Moderado"),CONCATENATE("R2C",'Mapa final'!#REF!),"")</f>
        <v>#REF!</v>
      </c>
      <c r="AC42" s="32"/>
      <c r="AD42" s="33" t="e">
        <f>IF(AND('Mapa final'!#REF!="Baja",'Mapa final'!#REF!="Mayor"),CONCATENATE("R2C",'Mapa final'!$R$15),"")</f>
        <v>#REF!</v>
      </c>
      <c r="AE42" s="33" t="e">
        <f>IF(AND('Mapa final'!#REF!="Baja",'Mapa final'!#REF!="Mayor"),CONCATENATE("R2C",'Mapa final'!#REF!),"")</f>
        <v>#REF!</v>
      </c>
      <c r="AF42" s="33" t="e">
        <f>IF(AND('Mapa final'!#REF!="Baja",'Mapa final'!#REF!="Mayor"),CONCATENATE("R2C",'Mapa final'!#REF!),"")</f>
        <v>#REF!</v>
      </c>
      <c r="AG42" s="33" t="e">
        <f>IF(AND('Mapa final'!#REF!="Baja",'Mapa final'!#REF!="Mayor"),CONCATENATE("R2C",'Mapa final'!#REF!),"")</f>
        <v>#REF!</v>
      </c>
      <c r="AH42" s="34" t="e">
        <f>IF(AND('Mapa final'!#REF!="Baja",'Mapa final'!#REF!="Mayor"),CONCATENATE("R2C",'Mapa final'!#REF!),"")</f>
        <v>#REF!</v>
      </c>
      <c r="AI42" s="35"/>
      <c r="AJ42" s="36" t="e">
        <f>IF(AND('Mapa final'!#REF!="Baja",'Mapa final'!#REF!="Catastrófico"),CONCATENATE("R2C",'Mapa final'!$R$15),"")</f>
        <v>#REF!</v>
      </c>
      <c r="AK42" s="36" t="e">
        <f>IF(AND('Mapa final'!#REF!="Baja",'Mapa final'!#REF!="Catastrófico"),CONCATENATE("R2C",'Mapa final'!#REF!),"")</f>
        <v>#REF!</v>
      </c>
      <c r="AL42" s="36" t="e">
        <f>IF(AND('Mapa final'!#REF!="Baja",'Mapa final'!#REF!="Catastrófico"),CONCATENATE("R2C",'Mapa final'!#REF!),"")</f>
        <v>#REF!</v>
      </c>
      <c r="AM42" s="36" t="e">
        <f>IF(AND('Mapa final'!#REF!="Baja",'Mapa final'!#REF!="Catastrófico"),CONCATENATE("R2C",'Mapa final'!#REF!),"")</f>
        <v>#REF!</v>
      </c>
      <c r="AN42" s="37" t="e">
        <f>IF(AND('Mapa final'!#REF!="Baja",'Mapa final'!#REF!="Catastrófico"),CONCATENATE("R2C",'Mapa final'!#REF!),"")</f>
        <v>#REF!</v>
      </c>
      <c r="AO42" s="68"/>
      <c r="AP42" s="533" t="s">
        <v>259</v>
      </c>
      <c r="AQ42" s="534"/>
      <c r="AR42" s="534"/>
      <c r="AS42" s="534"/>
      <c r="AT42" s="534"/>
      <c r="AU42" s="535"/>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row>
    <row r="43" spans="2:77" ht="15" customHeight="1">
      <c r="B43" s="68"/>
      <c r="C43" s="461"/>
      <c r="D43" s="461"/>
      <c r="E43" s="462"/>
      <c r="F43" s="520"/>
      <c r="G43" s="505"/>
      <c r="H43" s="505"/>
      <c r="I43" s="505"/>
      <c r="J43" s="505"/>
      <c r="K43" s="62" t="e">
        <f>IF(AND('Mapa final'!#REF!="Baja",'Mapa final'!#REF!="Leve"),CONCATENATE("R2C",'Mapa final'!#REF!),"")</f>
        <v>#REF!</v>
      </c>
      <c r="L43" s="63" t="e">
        <f>IF(AND('Mapa final'!#REF!="Baja",'Mapa final'!#REF!="Leve"),CONCATENATE("R2C",'Mapa final'!#REF!),"")</f>
        <v>#REF!</v>
      </c>
      <c r="M43" s="63" t="str">
        <f>IF(AND('Mapa final'!$AH$22="Baja",'Mapa final'!$AJ$22="Leve"),CONCATENATE("R2C",'Mapa final'!$R$22),"")</f>
        <v/>
      </c>
      <c r="N43" s="54" t="e">
        <f>IF(AND('Mapa final'!#REF!="Alta",'Mapa final'!#REF!="Leve"),CONCATENATE("R2C",'Mapa final'!#REF!),"")</f>
        <v>#REF!</v>
      </c>
      <c r="O43" s="63" t="str">
        <f>IF(AND('Mapa final'!$AH$24="Baja",'Mapa final'!$AJ$24="Leve"),CONCATENATE("R2C",'Mapa final'!$R$24),"")</f>
        <v/>
      </c>
      <c r="P43" s="64" t="str">
        <f>IF(AND('Mapa final'!$AH$25="Baja",'Mapa final'!$AJ$25="Leve"),CONCATENATE("R2C",'Mapa final'!$R$25),"")</f>
        <v/>
      </c>
      <c r="Q43" s="53" t="e">
        <f>IF(AND('Mapa final'!#REF!="Baja",'Mapa final'!#REF!="Menor"),CONCATENATE("R2C",'Mapa final'!#REF!),"")</f>
        <v>#REF!</v>
      </c>
      <c r="R43" s="54" t="e">
        <f>IF(AND('Mapa final'!#REF!="Baja",'Mapa final'!#REF!="Menor"),CONCATENATE("R2C",'Mapa final'!#REF!),"")</f>
        <v>#REF!</v>
      </c>
      <c r="S43" s="54" t="str">
        <f>IF(AND('Mapa final'!$AH$22="Baja",'Mapa final'!$AJ$22="Menor"),CONCATENATE("R2C",'Mapa final'!$R$22),"")</f>
        <v/>
      </c>
      <c r="T43" s="54" t="str">
        <f>IF(AND('Mapa final'!$AH$23="Baja",'Mapa final'!$AJ$23="Menor"),CONCATENATE("R2C",'Mapa final'!$R$23),"")</f>
        <v/>
      </c>
      <c r="U43" s="54" t="str">
        <f>IF(AND('Mapa final'!$AH$24="Baja",'Mapa final'!$AJ$24="Menor"),CONCATENATE("R2C",'Mapa final'!$R$24),"")</f>
        <v/>
      </c>
      <c r="V43" s="55" t="str">
        <f>IF(AND('Mapa final'!$AH$25="Baja",'Mapa final'!$AJ$25="Menor"),CONCATENATE("R2C",'Mapa final'!$R$25),"")</f>
        <v/>
      </c>
      <c r="W43" s="53" t="e">
        <f>IF(AND('Mapa final'!#REF!="Baja",'Mapa final'!#REF!="Moderado"),CONCATENATE("R2C",'Mapa final'!#REF!),"")</f>
        <v>#REF!</v>
      </c>
      <c r="X43" s="54" t="e">
        <f>IF(AND('Mapa final'!#REF!="Baja",'Mapa final'!#REF!="Moderado"),CONCATENATE("R2C",'Mapa final'!#REF!),"")</f>
        <v>#REF!</v>
      </c>
      <c r="Y43" s="54" t="str">
        <f>IF(AND('Mapa final'!$AH$22="Baja",'Mapa final'!$AJ$22="Moderado"),CONCATENATE("R2C",'Mapa final'!$R$22),"")</f>
        <v/>
      </c>
      <c r="Z43" s="54" t="str">
        <f>IF(AND('Mapa final'!$AH$23="Baja",'Mapa final'!$AJ$23="Moderado"),CONCATENATE("R2C",'Mapa final'!$R$23),"")</f>
        <v/>
      </c>
      <c r="AA43" s="54" t="str">
        <f>IF(AND('Mapa final'!$AH$24="Baja",'Mapa final'!$AJ$24="Moderado"),CONCATENATE("R2C",'Mapa final'!$R$24),"")</f>
        <v/>
      </c>
      <c r="AB43" s="55" t="str">
        <f>IF(AND('Mapa final'!$AH$25="Baja",'Mapa final'!$AJ$25="Moderado"),CONCATENATE("R2C",'Mapa final'!$R$25),"")</f>
        <v/>
      </c>
      <c r="AC43" s="38" t="e">
        <f>IF(AND('Mapa final'!#REF!="Baja",'Mapa final'!#REF!="Mayor"),CONCATENATE("R2C",'Mapa final'!#REF!),"")</f>
        <v>#REF!</v>
      </c>
      <c r="AD43" s="39" t="e">
        <f>IF(AND('Mapa final'!#REF!="Baja",'Mapa final'!#REF!="Mayor"),CONCATENATE("R2C",'Mapa final'!#REF!),"")</f>
        <v>#REF!</v>
      </c>
      <c r="AE43" s="39" t="str">
        <f>IF(AND('Mapa final'!$AH$22="Baja",'Mapa final'!$AJ$22="Mayor"),CONCATENATE("R2C",'Mapa final'!$R$22),"")</f>
        <v/>
      </c>
      <c r="AF43" s="39" t="str">
        <f>IF(AND('Mapa final'!$AH$23="Baja",'Mapa final'!$AJ$23="Mayor"),CONCATENATE("R2C",'Mapa final'!$R$23),"")</f>
        <v/>
      </c>
      <c r="AG43" s="39" t="str">
        <f>IF(AND('Mapa final'!$AH$24="Baja",'Mapa final'!$AJ$24="Mayor"),CONCATENATE("R2C",'Mapa final'!$R$24),"")</f>
        <v/>
      </c>
      <c r="AH43" s="40" t="str">
        <f>IF(AND('Mapa final'!$AH$25="Baja",'Mapa final'!$AJ$25="Mayor"),CONCATENATE("R2C",'Mapa final'!$R$25),"")</f>
        <v/>
      </c>
      <c r="AI43" s="41" t="e">
        <f>IF(AND('Mapa final'!#REF!="Baja",'Mapa final'!#REF!="Catastrófico"),CONCATENATE("R2C",'Mapa final'!#REF!),"")</f>
        <v>#REF!</v>
      </c>
      <c r="AJ43" s="42" t="e">
        <f>IF(AND('Mapa final'!#REF!="Baja",'Mapa final'!#REF!="Catastrófico"),CONCATENATE("R2C",'Mapa final'!#REF!),"")</f>
        <v>#REF!</v>
      </c>
      <c r="AK43" s="42" t="str">
        <f>IF(AND('Mapa final'!$AH$22="Baja",'Mapa final'!$AJ$22="Catastrófico"),CONCATENATE("R2C",'Mapa final'!$R$22),"")</f>
        <v/>
      </c>
      <c r="AL43" s="42" t="str">
        <f>IF(AND('Mapa final'!$AH$23="Baja",'Mapa final'!$AJ$23="Catastrófico"),CONCATENATE("R2C",'Mapa final'!$R$23),"")</f>
        <v/>
      </c>
      <c r="AM43" s="42" t="str">
        <f>IF(AND('Mapa final'!$AH$24="Baja",'Mapa final'!$AJ$24="Catastrófico"),CONCATENATE("R2C",'Mapa final'!$R$24),"")</f>
        <v/>
      </c>
      <c r="AN43" s="43" t="str">
        <f>IF(AND('Mapa final'!$AH$25="Baja",'Mapa final'!$AJ$25="Catastrófico"),CONCATENATE("R2C",'Mapa final'!$R$25),"")</f>
        <v/>
      </c>
      <c r="AO43" s="68"/>
      <c r="AP43" s="536"/>
      <c r="AQ43" s="537"/>
      <c r="AR43" s="537"/>
      <c r="AS43" s="537"/>
      <c r="AT43" s="537"/>
      <c r="AU43" s="53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row>
    <row r="44" spans="2:77" ht="15" customHeight="1">
      <c r="B44" s="68"/>
      <c r="C44" s="461"/>
      <c r="D44" s="461"/>
      <c r="E44" s="462"/>
      <c r="F44" s="504"/>
      <c r="G44" s="505"/>
      <c r="H44" s="505"/>
      <c r="I44" s="505"/>
      <c r="J44" s="505"/>
      <c r="K44" s="62" t="str">
        <f>IF(AND('Mapa final'!$AH$26="Baja",'Mapa final'!$AJ$26="Leve"),CONCATENATE("R2C",'Mapa final'!$R$26),"")</f>
        <v/>
      </c>
      <c r="L44" s="63" t="str">
        <f>IF(AND('Mapa final'!$AH$27="Baja",'Mapa final'!$AJ$27="Leve"),CONCATENATE("R2C",'Mapa final'!$R$27),"")</f>
        <v/>
      </c>
      <c r="M44" s="63" t="str">
        <f>IF(AND('Mapa final'!$AH$28="Baja",'Mapa final'!$AJ$28="Leve"),CONCATENATE("R2C",'Mapa final'!$R$28),"")</f>
        <v/>
      </c>
      <c r="N44" s="54" t="e">
        <f>IF(AND('Mapa final'!#REF!="Alta",'Mapa final'!#REF!="Leve"),CONCATENATE("R2C",'Mapa final'!#REF!),"")</f>
        <v>#REF!</v>
      </c>
      <c r="O44" s="63" t="str">
        <f>IF(AND('Mapa final'!$AH$30="Baja",'Mapa final'!$AJ$30="Leve"),CONCATENATE("R2C",'Mapa final'!$R$30),"")</f>
        <v/>
      </c>
      <c r="P44" s="64" t="str">
        <f>IF(AND('Mapa final'!$AH$31="Baja",'Mapa final'!$AJ$31="Leve"),CONCATENATE("R2C",'Mapa final'!$R$31),"")</f>
        <v/>
      </c>
      <c r="Q44" s="53" t="str">
        <f>IF(AND('Mapa final'!$AH$26="Baja",'Mapa final'!$AJ$26="Menor"),CONCATENATE("R2C",'Mapa final'!$R$26),"")</f>
        <v/>
      </c>
      <c r="R44" s="54" t="str">
        <f>IF(AND('Mapa final'!$AH$27="Baja",'Mapa final'!$AJ$27="Menor"),CONCATENATE("R2C",'Mapa final'!$R$27),"")</f>
        <v/>
      </c>
      <c r="S44" s="54" t="str">
        <f>IF(AND('Mapa final'!$AH$28="Baja",'Mapa final'!$AJ$28="Menor"),CONCATENATE("R2C",'Mapa final'!$R$28),"")</f>
        <v/>
      </c>
      <c r="T44" s="54" t="str">
        <f>IF(AND('Mapa final'!$AH$29="Baja",'Mapa final'!$AJ$29="Menor"),CONCATENATE("R2C",'Mapa final'!$R$29),"")</f>
        <v/>
      </c>
      <c r="U44" s="54" t="str">
        <f>IF(AND('Mapa final'!$AH$30="Baja",'Mapa final'!$AJ$30="Menor"),CONCATENATE("R2C",'Mapa final'!$R$30),"")</f>
        <v/>
      </c>
      <c r="V44" s="55" t="str">
        <f>IF(AND('Mapa final'!$AH$31="Baja",'Mapa final'!$AJ$31="Menor"),CONCATENATE("R2C",'Mapa final'!$R$31),"")</f>
        <v/>
      </c>
      <c r="W44" s="53" t="str">
        <f>IF(AND('Mapa final'!$AH$26="Baja",'Mapa final'!$AJ$26="Moderado"),CONCATENATE("R2C",'Mapa final'!$R$26),"")</f>
        <v/>
      </c>
      <c r="X44" s="54" t="str">
        <f>IF(AND('Mapa final'!$AH$27="Baja",'Mapa final'!$AJ$27="Moderado"),CONCATENATE("R2C",'Mapa final'!$R$27),"")</f>
        <v/>
      </c>
      <c r="Y44" s="54" t="str">
        <f>IF(AND('Mapa final'!$AH$28="Baja",'Mapa final'!$AJ$28="Moderado"),CONCATENATE("R2C",'Mapa final'!$R$28),"")</f>
        <v/>
      </c>
      <c r="Z44" s="54" t="str">
        <f>IF(AND('Mapa final'!$AH$29="Baja",'Mapa final'!$AJ$29="Moderado"),CONCATENATE("R2C",'Mapa final'!$R$29),"")</f>
        <v/>
      </c>
      <c r="AA44" s="54" t="str">
        <f>IF(AND('Mapa final'!$AH$30="Baja",'Mapa final'!$AJ$30="Moderado"),CONCATENATE("R2C",'Mapa final'!$R$30),"")</f>
        <v/>
      </c>
      <c r="AB44" s="55" t="str">
        <f>IF(AND('Mapa final'!$AH$31="Baja",'Mapa final'!$AJ$31="Moderado"),CONCATENATE("R2C",'Mapa final'!$R$31),"")</f>
        <v/>
      </c>
      <c r="AC44" s="38" t="str">
        <f>IF(AND('Mapa final'!$AH$26="Baja",'Mapa final'!$AJ$26="Mayor"),CONCATENATE("R2C",'Mapa final'!$R$26),"")</f>
        <v/>
      </c>
      <c r="AD44" s="39" t="str">
        <f>IF(AND('Mapa final'!$AH$27="Baja",'Mapa final'!$AJ$27="Mayor"),CONCATENATE("R2C",'Mapa final'!$R$27),"")</f>
        <v/>
      </c>
      <c r="AE44" s="39" t="str">
        <f>IF(AND('Mapa final'!$AH$28="Baja",'Mapa final'!$AJ$28="Mayor"),CONCATENATE("R2C",'Mapa final'!$R$28),"")</f>
        <v/>
      </c>
      <c r="AF44" s="39" t="str">
        <f>IF(AND('Mapa final'!$AH$29="Baja",'Mapa final'!$AJ$29="Mayor"),CONCATENATE("R2C",'Mapa final'!$R$29),"")</f>
        <v/>
      </c>
      <c r="AG44" s="39" t="str">
        <f>IF(AND('Mapa final'!$AH$30="Baja",'Mapa final'!$AJ$30="Mayor"),CONCATENATE("R2C",'Mapa final'!$R$30),"")</f>
        <v/>
      </c>
      <c r="AH44" s="40" t="str">
        <f>IF(AND('Mapa final'!$AH$31="Baja",'Mapa final'!$AJ$31="Mayor"),CONCATENATE("R2C",'Mapa final'!$R$31),"")</f>
        <v/>
      </c>
      <c r="AI44" s="41" t="str">
        <f>IF(AND('Mapa final'!$AH$26="Baja",'Mapa final'!$AJ$26="Catastrófico"),CONCATENATE("R2C",'Mapa final'!$R$26),"")</f>
        <v/>
      </c>
      <c r="AJ44" s="42" t="str">
        <f>IF(AND('Mapa final'!$AH$27="Baja",'Mapa final'!$AJ$27="Catastrófico"),CONCATENATE("R2C",'Mapa final'!$R$27),"")</f>
        <v/>
      </c>
      <c r="AK44" s="42" t="str">
        <f>IF(AND('Mapa final'!$AH$28="Baja",'Mapa final'!$AJ$28="Catastrófico"),CONCATENATE("R2C",'Mapa final'!$R$28),"")</f>
        <v/>
      </c>
      <c r="AL44" s="42" t="str">
        <f>IF(AND('Mapa final'!$AH$29="Baja",'Mapa final'!$AJ$29="Catastrófico"),CONCATENATE("R2C",'Mapa final'!$R$29),"")</f>
        <v/>
      </c>
      <c r="AM44" s="42" t="str">
        <f>IF(AND('Mapa final'!$AH$30="Baja",'Mapa final'!$AJ$30="Catastrófico"),CONCATENATE("R2C",'Mapa final'!$R$30),"")</f>
        <v/>
      </c>
      <c r="AN44" s="43" t="str">
        <f>IF(AND('Mapa final'!$AH$31="Baja",'Mapa final'!$AJ$31="Catastrófico"),CONCATENATE("R2C",'Mapa final'!$R$31),"")</f>
        <v/>
      </c>
      <c r="AO44" s="68"/>
      <c r="AP44" s="536"/>
      <c r="AQ44" s="537"/>
      <c r="AR44" s="537"/>
      <c r="AS44" s="537"/>
      <c r="AT44" s="537"/>
      <c r="AU44" s="538"/>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row>
    <row r="45" spans="2:77" ht="15" customHeight="1">
      <c r="B45" s="68"/>
      <c r="C45" s="461"/>
      <c r="D45" s="461"/>
      <c r="E45" s="462"/>
      <c r="F45" s="504"/>
      <c r="G45" s="505"/>
      <c r="H45" s="505"/>
      <c r="I45" s="505"/>
      <c r="J45" s="505"/>
      <c r="K45" s="62" t="str">
        <f>IF(AND('Mapa final'!$AH$32="Baja",'Mapa final'!$AJ$32="Leve"),CONCATENATE("R2C",'Mapa final'!$R$32),"")</f>
        <v/>
      </c>
      <c r="L45" s="63" t="str">
        <f>IF(AND('Mapa final'!$AH$33="Baja",'Mapa final'!$AJ$33="Leve"),CONCATENATE("R2C",'Mapa final'!$R$33),"")</f>
        <v/>
      </c>
      <c r="M45" s="63" t="str">
        <f>IF(AND('Mapa final'!$AH$34="Baja",'Mapa final'!$AJ$34="Leve"),CONCATENATE("R2C",'Mapa final'!$R$34),"")</f>
        <v/>
      </c>
      <c r="N45" s="54" t="e">
        <f>IF(AND('Mapa final'!#REF!="Alta",'Mapa final'!#REF!="Leve"),CONCATENATE("R2C",'Mapa final'!#REF!),"")</f>
        <v>#REF!</v>
      </c>
      <c r="O45" s="63" t="str">
        <f>IF(AND('Mapa final'!$AH$36="Baja",'Mapa final'!$AJ$36="Leve"),CONCATENATE("R2C",'Mapa final'!$R$36),"")</f>
        <v/>
      </c>
      <c r="P45" s="64" t="str">
        <f>IF(AND('Mapa final'!$AH$37="Baja",'Mapa final'!$AJ$37="Leve"),CONCATENATE("R2C",'Mapa final'!$R$37),"")</f>
        <v/>
      </c>
      <c r="Q45" s="53" t="str">
        <f>IF(AND('Mapa final'!$AH$32="Baja",'Mapa final'!$AJ$32="Menor"),CONCATENATE("R2C",'Mapa final'!$R$32),"")</f>
        <v/>
      </c>
      <c r="R45" s="54" t="str">
        <f>IF(AND('Mapa final'!$AH$33="Baja",'Mapa final'!$AJ$33="Menor"),CONCATENATE("R2C",'Mapa final'!$R$33),"")</f>
        <v/>
      </c>
      <c r="S45" s="54" t="str">
        <f>IF(AND('Mapa final'!$AH$34="Baja",'Mapa final'!$AJ$34="Menor"),CONCATENATE("R2C",'Mapa final'!$R$34),"")</f>
        <v/>
      </c>
      <c r="T45" s="54" t="str">
        <f>IF(AND('Mapa final'!$AH$35="Baja",'Mapa final'!$AJ$35="Menor"),CONCATENATE("R2C",'Mapa final'!$R$35),"")</f>
        <v/>
      </c>
      <c r="U45" s="54" t="str">
        <f>IF(AND('Mapa final'!$AH$36="Baja",'Mapa final'!$AJ$36="LMenor"),CONCATENATE("R2C",'Mapa final'!$R$36),"")</f>
        <v/>
      </c>
      <c r="V45" s="55" t="str">
        <f>IF(AND('Mapa final'!$AH$37="Baja",'Mapa final'!$AJ$37="Menor"),CONCATENATE("R2C",'Mapa final'!$R$37),"")</f>
        <v/>
      </c>
      <c r="W45" s="53" t="str">
        <f>IF(AND('Mapa final'!$AH$32="Baja",'Mapa final'!$AJ$32="Moderado"),CONCATENATE("R2C",'Mapa final'!$R$32),"")</f>
        <v/>
      </c>
      <c r="X45" s="54" t="str">
        <f>IF(AND('Mapa final'!$AH$33="Baja",'Mapa final'!$AJ$33="Moderado"),CONCATENATE("R2C",'Mapa final'!$R$33),"")</f>
        <v/>
      </c>
      <c r="Y45" s="54" t="str">
        <f>IF(AND('Mapa final'!$AH$34="Baja",'Mapa final'!$AJ$34="Moderado"),CONCATENATE("R2C",'Mapa final'!$R$34),"")</f>
        <v/>
      </c>
      <c r="Z45" s="54" t="str">
        <f>IF(AND('Mapa final'!$AH$35="Baja",'Mapa final'!$AJ$35="Moderado"),CONCATENATE("R2C",'Mapa final'!$R$35),"")</f>
        <v/>
      </c>
      <c r="AA45" s="54" t="str">
        <f>IF(AND('Mapa final'!$AH$36="Baja",'Mapa final'!$AJ$36="Moderado"),CONCATENATE("R2C",'Mapa final'!$R$36),"")</f>
        <v/>
      </c>
      <c r="AB45" s="55" t="str">
        <f>IF(AND('Mapa final'!$AH$37="Baja",'Mapa final'!$AJ$37="Moderado"),CONCATENATE("R2C",'Mapa final'!$R$37),"")</f>
        <v/>
      </c>
      <c r="AC45" s="38" t="str">
        <f>IF(AND('Mapa final'!$AH$32="Baja",'Mapa final'!$AJ$32="Mayor"),CONCATENATE("R2C",'Mapa final'!$R$32),"")</f>
        <v/>
      </c>
      <c r="AD45" s="39" t="str">
        <f>IF(AND('Mapa final'!$AH$33="Baja",'Mapa final'!$AJ$33="Mayor"),CONCATENATE("R2C",'Mapa final'!$R$33),"")</f>
        <v/>
      </c>
      <c r="AE45" s="39" t="str">
        <f>IF(AND('Mapa final'!$AH$34="Baja",'Mapa final'!$AJ$34="Mayor"),CONCATENATE("R2C",'Mapa final'!$R$34),"")</f>
        <v/>
      </c>
      <c r="AF45" s="39" t="str">
        <f>IF(AND('Mapa final'!$AH$35="Baja",'Mapa final'!$AJ$35="Mayor"),CONCATENATE("R2C",'Mapa final'!$R$35),"")</f>
        <v/>
      </c>
      <c r="AG45" s="39" t="str">
        <f>IF(AND('Mapa final'!$AH$36="Baja",'Mapa final'!$AJ$36="Mayor"),CONCATENATE("R2C",'Mapa final'!$R$36),"")</f>
        <v/>
      </c>
      <c r="AH45" s="40" t="str">
        <f>IF(AND('Mapa final'!$AH$37="Baja",'Mapa final'!$AJ$37="Mayor"),CONCATENATE("R2C",'Mapa final'!$R$37),"")</f>
        <v/>
      </c>
      <c r="AI45" s="41" t="str">
        <f>IF(AND('Mapa final'!$AH$32="Baja",'Mapa final'!$AJ$32="Catastrófico"),CONCATENATE("R2C",'Mapa final'!$R$32),"")</f>
        <v/>
      </c>
      <c r="AJ45" s="42" t="str">
        <f>IF(AND('Mapa final'!$AH$33="Baja",'Mapa final'!$AJ$33="Catastrófico"),CONCATENATE("R2C",'Mapa final'!$R$33),"")</f>
        <v/>
      </c>
      <c r="AK45" s="42" t="str">
        <f>IF(AND('Mapa final'!$AH$34="Baja",'Mapa final'!$AJ$34="Catastrófico"),CONCATENATE("R2C",'Mapa final'!$R$34),"")</f>
        <v/>
      </c>
      <c r="AL45" s="42" t="str">
        <f>IF(AND('Mapa final'!$AH$35="Baja",'Mapa final'!$AJ$35="Catastrófico"),CONCATENATE("R2C",'Mapa final'!$R$35),"")</f>
        <v/>
      </c>
      <c r="AM45" s="42" t="str">
        <f>IF(AND('Mapa final'!$AH$36="Baja",'Mapa final'!$AJ$36="LCatastrófico"),CONCATENATE("R2C",'Mapa final'!$R$36),"")</f>
        <v/>
      </c>
      <c r="AN45" s="43" t="str">
        <f>IF(AND('Mapa final'!$AH$37="Baja",'Mapa final'!$AJ$37="Catastrófico"),CONCATENATE("R2C",'Mapa final'!$R$37),"")</f>
        <v/>
      </c>
      <c r="AO45" s="68"/>
      <c r="AP45" s="536"/>
      <c r="AQ45" s="537"/>
      <c r="AR45" s="537"/>
      <c r="AS45" s="537"/>
      <c r="AT45" s="537"/>
      <c r="AU45" s="53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row>
    <row r="46" spans="2:77" ht="15" customHeight="1">
      <c r="B46" s="68"/>
      <c r="C46" s="461"/>
      <c r="D46" s="461"/>
      <c r="E46" s="462"/>
      <c r="F46" s="504"/>
      <c r="G46" s="505"/>
      <c r="H46" s="505"/>
      <c r="I46" s="505"/>
      <c r="J46" s="505"/>
      <c r="K46" s="62" t="str">
        <f>IF(AND('Mapa final'!$AH$38="Baja",'Mapa final'!$AJ$38="Leve"),CONCATENATE("R2C",'Mapa final'!$R$38),"")</f>
        <v/>
      </c>
      <c r="L46" s="63" t="str">
        <f>IF(AND('Mapa final'!$AH$39="Baja",'Mapa final'!$AJ$39="Leve"),CONCATENATE("R2C",'Mapa final'!$R$39),"")</f>
        <v/>
      </c>
      <c r="M46" s="63" t="str">
        <f>IF(AND('Mapa final'!$AH$40="Baja",'Mapa final'!$AJ$40="Leve"),CONCATENATE("R2C",'Mapa final'!$R$40),"")</f>
        <v/>
      </c>
      <c r="N46" s="54" t="e">
        <f>IF(AND('Mapa final'!#REF!="Alta",'Mapa final'!#REF!="Leve"),CONCATENATE("R2C",'Mapa final'!#REF!),"")</f>
        <v>#REF!</v>
      </c>
      <c r="O46" s="63" t="str">
        <f>IF(AND('Mapa final'!$AH$42="Baja",'Mapa final'!$AJ$42="Leve"),CONCATENATE("R2C",'Mapa final'!$R$42),"")</f>
        <v/>
      </c>
      <c r="P46" s="64" t="str">
        <f>IF(AND('Mapa final'!$AH$43="Baja",'Mapa final'!$AJ$43="Leve"),CONCATENATE("R2C",'Mapa final'!$R$43),"")</f>
        <v/>
      </c>
      <c r="Q46" s="53" t="str">
        <f>IF(AND('Mapa final'!$AH$38="Baja",'Mapa final'!$AJ$38="Menor"),CONCATENATE("R2C",'Mapa final'!$R$38),"")</f>
        <v/>
      </c>
      <c r="R46" s="54" t="str">
        <f>IF(AND('Mapa final'!$AH$39="Baja",'Mapa final'!$AJ$39="Menor"),CONCATENATE("R2C",'Mapa final'!$R$39),"")</f>
        <v/>
      </c>
      <c r="S46" s="54" t="str">
        <f>IF(AND('Mapa final'!$AH$40="Baja",'Mapa final'!$AJ$40="Menor"),CONCATENATE("R2C",'Mapa final'!$R$40),"")</f>
        <v/>
      </c>
      <c r="T46" s="54" t="str">
        <f>IF(AND('Mapa final'!$AH$41="Baja",'Mapa final'!$AJ$41="Menor"),CONCATENATE("R2C",'Mapa final'!$R$41),"")</f>
        <v/>
      </c>
      <c r="U46" s="54" t="str">
        <f>IF(AND('Mapa final'!$AH$42="Baja",'Mapa final'!$AJ$42="Menor"),CONCATENATE("R2C",'Mapa final'!$R$42),"")</f>
        <v/>
      </c>
      <c r="V46" s="55" t="str">
        <f>IF(AND('Mapa final'!$AH$43="Baja",'Mapa final'!$AJ$43="Menor"),CONCATENATE("R2C",'Mapa final'!$R$43),"")</f>
        <v/>
      </c>
      <c r="W46" s="53" t="str">
        <f>IF(AND('Mapa final'!$AH$38="Baja",'Mapa final'!$AJ$38="Moderado"),CONCATENATE("R2C",'Mapa final'!$R$38),"")</f>
        <v/>
      </c>
      <c r="X46" s="54" t="str">
        <f>IF(AND('Mapa final'!$AH$39="Baja",'Mapa final'!$AJ$39="Moderado"),CONCATENATE("R2C",'Mapa final'!$R$39),"")</f>
        <v/>
      </c>
      <c r="Y46" s="54" t="str">
        <f>IF(AND('Mapa final'!$AH$40="Baja",'Mapa final'!$AJ$40="Moderado"),CONCATENATE("R2C",'Mapa final'!$R$40),"")</f>
        <v/>
      </c>
      <c r="Z46" s="54" t="str">
        <f>IF(AND('Mapa final'!$AH$41="Baja",'Mapa final'!$AJ$41="Moderado"),CONCATENATE("R2C",'Mapa final'!$R$41),"")</f>
        <v/>
      </c>
      <c r="AA46" s="54" t="str">
        <f>IF(AND('Mapa final'!$AH$42="Baja",'Mapa final'!$AJ$42="Moderado"),CONCATENATE("R2C",'Mapa final'!$R$42),"")</f>
        <v/>
      </c>
      <c r="AB46" s="55" t="str">
        <f>IF(AND('Mapa final'!$AH$43="Baja",'Mapa final'!$AJ$43="Moderado"),CONCATENATE("R2C",'Mapa final'!$R$43),"")</f>
        <v/>
      </c>
      <c r="AC46" s="38" t="str">
        <f>IF(AND('Mapa final'!$AH$38="Baja",'Mapa final'!$AJ$38="Mayor"),CONCATENATE("R2C",'Mapa final'!$R$38),"")</f>
        <v/>
      </c>
      <c r="AD46" s="39" t="str">
        <f>IF(AND('Mapa final'!$AH$39="Baja",'Mapa final'!$AJ$39="Mayor"),CONCATENATE("R2C",'Mapa final'!$R$39),"")</f>
        <v/>
      </c>
      <c r="AE46" s="39" t="str">
        <f>IF(AND('Mapa final'!$AH$40="Baja",'Mapa final'!$AJ$40="Mayor"),CONCATENATE("R2C",'Mapa final'!$R$40),"")</f>
        <v/>
      </c>
      <c r="AF46" s="39" t="str">
        <f>IF(AND('Mapa final'!$AH$41="Baja",'Mapa final'!$AJ$41="Mayor"),CONCATENATE("R2C",'Mapa final'!$R$41),"")</f>
        <v/>
      </c>
      <c r="AG46" s="39" t="str">
        <f>IF(AND('Mapa final'!$AH$42="Baja",'Mapa final'!$AJ$42="Mayor"),CONCATENATE("R2C",'Mapa final'!$R$42),"")</f>
        <v/>
      </c>
      <c r="AH46" s="40" t="str">
        <f>IF(AND('Mapa final'!$AH$43="Baja",'Mapa final'!$AJ$43="Mayor"),CONCATENATE("R2C",'Mapa final'!$R$43),"")</f>
        <v/>
      </c>
      <c r="AI46" s="41" t="str">
        <f>IF(AND('Mapa final'!$AH$38="Baja",'Mapa final'!$AJ$38="Catastrófico"),CONCATENATE("R2C",'Mapa final'!$R$38),"")</f>
        <v/>
      </c>
      <c r="AJ46" s="42" t="str">
        <f>IF(AND('Mapa final'!$AH$39="Baja",'Mapa final'!$AJ$39="Catastrófico"),CONCATENATE("R2C",'Mapa final'!$R$39),"")</f>
        <v/>
      </c>
      <c r="AK46" s="42" t="str">
        <f>IF(AND('Mapa final'!$AH$40="Baja",'Mapa final'!$AJ$40="Catastrófico"),CONCATENATE("R2C",'Mapa final'!$R$40),"")</f>
        <v/>
      </c>
      <c r="AL46" s="42" t="str">
        <f>IF(AND('Mapa final'!$AH$41="Baja",'Mapa final'!$AJ$41="Catastrófico"),CONCATENATE("R2C",'Mapa final'!$R$41),"")</f>
        <v/>
      </c>
      <c r="AM46" s="42" t="str">
        <f>IF(AND('Mapa final'!$AH$42="Baja",'Mapa final'!$AJ$42="Catastrófico"),CONCATENATE("R2C",'Mapa final'!$R$42),"")</f>
        <v/>
      </c>
      <c r="AN46" s="43" t="str">
        <f>IF(AND('Mapa final'!$AH$43="Baja",'Mapa final'!$AJ$43="Catastrófico"),CONCATENATE("R2C",'Mapa final'!$R$43),"")</f>
        <v/>
      </c>
      <c r="AO46" s="68"/>
      <c r="AP46" s="536"/>
      <c r="AQ46" s="537"/>
      <c r="AR46" s="537"/>
      <c r="AS46" s="537"/>
      <c r="AT46" s="537"/>
      <c r="AU46" s="53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row>
    <row r="47" spans="2:77" ht="15" customHeight="1">
      <c r="B47" s="68"/>
      <c r="C47" s="461"/>
      <c r="D47" s="461"/>
      <c r="E47" s="462"/>
      <c r="F47" s="504"/>
      <c r="G47" s="505"/>
      <c r="H47" s="505"/>
      <c r="I47" s="505"/>
      <c r="J47" s="505"/>
      <c r="K47" s="62" t="str">
        <f>IF(AND('Mapa final'!$AH$44="Baja",'Mapa final'!$AJ$44="Leve"),CONCATENATE("R2C",'Mapa final'!$R$44),"")</f>
        <v/>
      </c>
      <c r="L47" s="63" t="str">
        <f>IF(AND('Mapa final'!$AH$45="Baja",'Mapa final'!$AJ$45="Leve"),CONCATENATE("R2C",'Mapa final'!$R$45),"")</f>
        <v/>
      </c>
      <c r="M47" s="63" t="str">
        <f>IF(AND('Mapa final'!$AH$46="Baja",'Mapa final'!$AJ$46="Leve"),CONCATENATE("R2C",'Mapa final'!$R$46),"")</f>
        <v/>
      </c>
      <c r="N47" s="54" t="e">
        <f>IF(AND('Mapa final'!#REF!="Alta",'Mapa final'!#REF!="Leve"),CONCATENATE("R2C",'Mapa final'!#REF!),"")</f>
        <v>#REF!</v>
      </c>
      <c r="O47" s="63" t="str">
        <f>IF(AND('Mapa final'!$AH$48="Baja",'Mapa final'!$AJ$48="Leve"),CONCATENATE("R2C",'Mapa final'!$R$48),"")</f>
        <v/>
      </c>
      <c r="P47" s="64" t="str">
        <f>IF(AND('Mapa final'!$AH$59="Baja",'Mapa final'!$AJ$49="Leve"),CONCATENATE("R2C",'Mapa final'!$R$49),"")</f>
        <v/>
      </c>
      <c r="Q47" s="53" t="str">
        <f>IF(AND('Mapa final'!$AH$44="Baja",'Mapa final'!$AJ$44="Menor"),CONCATENATE("R2C",'Mapa final'!$R$44),"")</f>
        <v/>
      </c>
      <c r="R47" s="54" t="str">
        <f>IF(AND('Mapa final'!$AH$45="Baja",'Mapa final'!$AJ$45="Menor"),CONCATENATE("R2C",'Mapa final'!$R$45),"")</f>
        <v/>
      </c>
      <c r="S47" s="54" t="str">
        <f>IF(AND('Mapa final'!$AH$46="Baja",'Mapa final'!$AJ$46="Menor"),CONCATENATE("R2C",'Mapa final'!$R$46),"")</f>
        <v/>
      </c>
      <c r="T47" s="54" t="str">
        <f>IF(AND('Mapa final'!$AH$47="Baja",'Mapa final'!$AJ$47="Menor"),CONCATENATE("R2C",'Mapa final'!$R$47),"")</f>
        <v/>
      </c>
      <c r="U47" s="54" t="str">
        <f>IF(AND('Mapa final'!$AH$48="Baja",'Mapa final'!$AJ$48="Menor"),CONCATENATE("R2C",'Mapa final'!$R$48),"")</f>
        <v/>
      </c>
      <c r="V47" s="55" t="str">
        <f>IF(AND('Mapa final'!$AH$59="Baja",'Mapa final'!$AJ$49="Menor"),CONCATENATE("R2C",'Mapa final'!$R$49),"")</f>
        <v/>
      </c>
      <c r="W47" s="53" t="str">
        <f>IF(AND('Mapa final'!$AH$44="Baja",'Mapa final'!$AJ$44="Moderado"),CONCATENATE("R2C",'Mapa final'!$R$44),"")</f>
        <v/>
      </c>
      <c r="X47" s="54" t="str">
        <f>IF(AND('Mapa final'!$AH$45="Baja",'Mapa final'!$AJ$45="Moderado"),CONCATENATE("R2C",'Mapa final'!$R$45),"")</f>
        <v/>
      </c>
      <c r="Y47" s="54" t="str">
        <f>IF(AND('Mapa final'!$AH$46="Baja",'Mapa final'!$AJ$46="Moderado"),CONCATENATE("R2C",'Mapa final'!$R$46),"")</f>
        <v/>
      </c>
      <c r="Z47" s="54" t="str">
        <f>IF(AND('Mapa final'!$AH$47="Baja",'Mapa final'!$AJ$47="Moderado"),CONCATENATE("R2C",'Mapa final'!$R$47),"")</f>
        <v/>
      </c>
      <c r="AA47" s="54" t="str">
        <f>IF(AND('Mapa final'!$AH$48="Baja",'Mapa final'!$AJ$48="Moderado"),CONCATENATE("R2C",'Mapa final'!$R$48),"")</f>
        <v/>
      </c>
      <c r="AB47" s="55" t="str">
        <f>IF(AND('Mapa final'!$AH$59="Baja",'Mapa final'!$AJ$49="Moderado"),CONCATENATE("R2C",'Mapa final'!$R$49),"")</f>
        <v/>
      </c>
      <c r="AC47" s="38" t="str">
        <f>IF(AND('Mapa final'!$AH$44="Baja",'Mapa final'!$AJ$44="Mayor"),CONCATENATE("R2C",'Mapa final'!$R$44),"")</f>
        <v/>
      </c>
      <c r="AD47" s="39" t="str">
        <f>IF(AND('Mapa final'!$AH$45="Baja",'Mapa final'!$AJ$45="Mayor"),CONCATENATE("R2C",'Mapa final'!$R$45),"")</f>
        <v/>
      </c>
      <c r="AE47" s="39" t="str">
        <f>IF(AND('Mapa final'!$AH$46="Baja",'Mapa final'!$AJ$46="Mayor"),CONCATENATE("R2C",'Mapa final'!$R$46),"")</f>
        <v/>
      </c>
      <c r="AF47" s="39" t="str">
        <f>IF(AND('Mapa final'!$AH$47="Baja",'Mapa final'!$AJ$47="Mayor"),CONCATENATE("R2C",'Mapa final'!$R$47),"")</f>
        <v/>
      </c>
      <c r="AG47" s="39" t="str">
        <f>IF(AND('Mapa final'!$AH$48="Baja",'Mapa final'!$AJ$48="Mayor"),CONCATENATE("R2C",'Mapa final'!$R$48),"")</f>
        <v/>
      </c>
      <c r="AH47" s="40" t="str">
        <f>IF(AND('Mapa final'!$AH$59="Baja",'Mapa final'!$AJ$49="Mayor"),CONCATENATE("R2C",'Mapa final'!$R$49),"")</f>
        <v/>
      </c>
      <c r="AI47" s="41" t="str">
        <f>IF(AND('Mapa final'!$AH$44="Baja",'Mapa final'!$AJ$44="Catastrófico"),CONCATENATE("R2C",'Mapa final'!$R$44),"")</f>
        <v/>
      </c>
      <c r="AJ47" s="42" t="str">
        <f>IF(AND('Mapa final'!$AH$45="Baja",'Mapa final'!$AJ$45="Catastrófico"),CONCATENATE("R2C",'Mapa final'!$R$45),"")</f>
        <v/>
      </c>
      <c r="AK47" s="42" t="str">
        <f>IF(AND('Mapa final'!$AH$46="Baja",'Mapa final'!$AJ$46="Catastrófico"),CONCATENATE("R2C",'Mapa final'!$R$46),"")</f>
        <v/>
      </c>
      <c r="AL47" s="42" t="str">
        <f>IF(AND('Mapa final'!$AH$47="Baja",'Mapa final'!$AJ$47="Catastrófico"),CONCATENATE("R2C",'Mapa final'!$R$47),"")</f>
        <v/>
      </c>
      <c r="AM47" s="42" t="str">
        <f>IF(AND('Mapa final'!$AH$48="Baja",'Mapa final'!$AJ$48="Catastrófico"),CONCATENATE("R2C",'Mapa final'!$R$48),"")</f>
        <v/>
      </c>
      <c r="AN47" s="43" t="str">
        <f>IF(AND('Mapa final'!$AH$59="Baja",'Mapa final'!$AJ$49="Catastrófico"),CONCATENATE("R2C",'Mapa final'!$R$49),"")</f>
        <v/>
      </c>
      <c r="AO47" s="68"/>
      <c r="AP47" s="536"/>
      <c r="AQ47" s="537"/>
      <c r="AR47" s="537"/>
      <c r="AS47" s="537"/>
      <c r="AT47" s="537"/>
      <c r="AU47" s="53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row>
    <row r="48" spans="2:77" ht="15" customHeight="1">
      <c r="B48" s="68"/>
      <c r="C48" s="461"/>
      <c r="D48" s="461"/>
      <c r="E48" s="462"/>
      <c r="F48" s="504"/>
      <c r="G48" s="505"/>
      <c r="H48" s="505"/>
      <c r="I48" s="505"/>
      <c r="J48" s="505"/>
      <c r="K48" s="62" t="str">
        <f>IF(AND('Mapa final'!$AH$50="Baja",'Mapa final'!$AJ$50="Leve"),CONCATENATE("R2C",'Mapa final'!$R$50),"")</f>
        <v/>
      </c>
      <c r="L48" s="63" t="str">
        <f>IF(AND('Mapa final'!$AH$51="Baja",'Mapa final'!$AJ$51="Leve"),CONCATENATE("R2C",'Mapa final'!$R$51),"")</f>
        <v/>
      </c>
      <c r="M48" s="63" t="str">
        <f>IF(AND('Mapa final'!$AH$52="Baja",'Mapa final'!$AJ$52="Leve"),CONCATENATE("R2C",'Mapa final'!$R$52),"")</f>
        <v/>
      </c>
      <c r="N48" s="54" t="e">
        <f>IF(AND('Mapa final'!#REF!="Alta",'Mapa final'!#REF!="Leve"),CONCATENATE("R2C",'Mapa final'!#REF!),"")</f>
        <v>#REF!</v>
      </c>
      <c r="O48" s="63" t="str">
        <f>IF(AND('Mapa final'!$AH$54="Baja",'Mapa final'!$AJ$54="Leve"),CONCATENATE("R2C",'Mapa final'!$R$54),"")</f>
        <v/>
      </c>
      <c r="P48" s="64" t="str">
        <f>IF(AND('Mapa final'!$AH$55="Baja",'Mapa final'!$AJ$55="Leve"),CONCATENATE("R2C",'Mapa final'!$R$55),"")</f>
        <v/>
      </c>
      <c r="Q48" s="53" t="str">
        <f>IF(AND('Mapa final'!$AH$50="Baja",'Mapa final'!$AJ$50="Menor"),CONCATENATE("R2C",'Mapa final'!$R$50),"")</f>
        <v/>
      </c>
      <c r="R48" s="54" t="str">
        <f>IF(AND('Mapa final'!$AH$51="Baja",'Mapa final'!$AJ$51="Menor"),CONCATENATE("R2C",'Mapa final'!$R$51),"")</f>
        <v/>
      </c>
      <c r="S48" s="54" t="str">
        <f>IF(AND('Mapa final'!$AH$52="Baja",'Mapa final'!$AJ$52="Menor"),CONCATENATE("R2C",'Mapa final'!$R$52),"")</f>
        <v/>
      </c>
      <c r="T48" s="54" t="str">
        <f>IF(AND('Mapa final'!$AH$53="Baja",'Mapa final'!$AJ$53="Menor"),CONCATENATE("R2C",'Mapa final'!$R$53),"")</f>
        <v/>
      </c>
      <c r="U48" s="54" t="str">
        <f>IF(AND('Mapa final'!$AH$54="Baja",'Mapa final'!$AJ$54="Menor"),CONCATENATE("R2C",'Mapa final'!$R$54),"")</f>
        <v/>
      </c>
      <c r="V48" s="55" t="str">
        <f>IF(AND('Mapa final'!$AH$55="Baja",'Mapa final'!$AJ$55="Menor"),CONCATENATE("R2C",'Mapa final'!$R$55),"")</f>
        <v/>
      </c>
      <c r="W48" s="53" t="str">
        <f>IF(AND('Mapa final'!$AH$50="Baja",'Mapa final'!$AJ$50="Moderado"),CONCATENATE("R2C",'Mapa final'!$R$50),"")</f>
        <v/>
      </c>
      <c r="X48" s="54" t="str">
        <f>IF(AND('Mapa final'!$AH$51="Baja",'Mapa final'!$AJ$51="Moderado"),CONCATENATE("R2C",'Mapa final'!$R$51),"")</f>
        <v/>
      </c>
      <c r="Y48" s="54" t="str">
        <f>IF(AND('Mapa final'!$AH$52="Baja",'Mapa final'!$AJ$52="Moderado"),CONCATENATE("R2C",'Mapa final'!$R$52),"")</f>
        <v/>
      </c>
      <c r="Z48" s="54" t="str">
        <f>IF(AND('Mapa final'!$AH$53="Baja",'Mapa final'!$AJ$53="Moderado"),CONCATENATE("R2C",'Mapa final'!$R$53),"")</f>
        <v/>
      </c>
      <c r="AA48" s="54" t="str">
        <f>IF(AND('Mapa final'!$AH$54="Baja",'Mapa final'!$AJ$54="Moderado"),CONCATENATE("R2C",'Mapa final'!$R$54),"")</f>
        <v/>
      </c>
      <c r="AB48" s="55" t="str">
        <f>IF(AND('Mapa final'!$AH$55="Baja",'Mapa final'!$AJ$55="Moderado"),CONCATENATE("R2C",'Mapa final'!$R$55),"")</f>
        <v/>
      </c>
      <c r="AC48" s="38" t="str">
        <f>IF(AND('Mapa final'!$AH$50="Baja",'Mapa final'!$AJ$50="Mayor"),CONCATENATE("R2C",'Mapa final'!$R$50),"")</f>
        <v/>
      </c>
      <c r="AD48" s="39" t="str">
        <f>IF(AND('Mapa final'!$AH$51="Baja",'Mapa final'!$AJ$51="Mayor"),CONCATENATE("R2C",'Mapa final'!$R$51),"")</f>
        <v/>
      </c>
      <c r="AE48" s="39" t="str">
        <f>IF(AND('Mapa final'!$AH$52="Baja",'Mapa final'!$AJ$52="Mayor"),CONCATENATE("R2C",'Mapa final'!$R$52),"")</f>
        <v/>
      </c>
      <c r="AF48" s="39" t="str">
        <f>IF(AND('Mapa final'!$AH$53="Baja",'Mapa final'!$AJ$53="Mayor"),CONCATENATE("R2C",'Mapa final'!$R$53),"")</f>
        <v/>
      </c>
      <c r="AG48" s="39" t="str">
        <f>IF(AND('Mapa final'!$AH$54="Baja",'Mapa final'!$AJ$54="Mayor"),CONCATENATE("R2C",'Mapa final'!$R$54),"")</f>
        <v/>
      </c>
      <c r="AH48" s="40" t="str">
        <f>IF(AND('Mapa final'!$AH$55="Baja",'Mapa final'!$AJ$55="Mayor"),CONCATENATE("R2C",'Mapa final'!$R$55),"")</f>
        <v/>
      </c>
      <c r="AI48" s="41" t="str">
        <f>IF(AND('Mapa final'!$AH$50="Baja",'Mapa final'!$AJ$50="Catastrófico"),CONCATENATE("R2C",'Mapa final'!$R$50),"")</f>
        <v/>
      </c>
      <c r="AJ48" s="42" t="str">
        <f>IF(AND('Mapa final'!$AH$51="Baja",'Mapa final'!$AJ$51="Catastrófico"),CONCATENATE("R2C",'Mapa final'!$R$51),"")</f>
        <v/>
      </c>
      <c r="AK48" s="42" t="str">
        <f>IF(AND('Mapa final'!$AH$52="Baja",'Mapa final'!$AJ$52="Catastrófico"),CONCATENATE("R2C",'Mapa final'!$R$52),"")</f>
        <v/>
      </c>
      <c r="AL48" s="42" t="str">
        <f>IF(AND('Mapa final'!$AH$53="Baja",'Mapa final'!$AJ$53="Catastrófico"),CONCATENATE("R2C",'Mapa final'!$R$53),"")</f>
        <v/>
      </c>
      <c r="AM48" s="42" t="str">
        <f>IF(AND('Mapa final'!$AH$54="Baja",'Mapa final'!$AJ$54="Catastrófico"),CONCATENATE("R2C",'Mapa final'!$R$54),"")</f>
        <v/>
      </c>
      <c r="AN48" s="43" t="str">
        <f>IF(AND('Mapa final'!$AH$55="Baja",'Mapa final'!$AJ$55="Catastrófico"),CONCATENATE("R2C",'Mapa final'!$R$55),"")</f>
        <v/>
      </c>
      <c r="AO48" s="68"/>
      <c r="AP48" s="536"/>
      <c r="AQ48" s="537"/>
      <c r="AR48" s="537"/>
      <c r="AS48" s="537"/>
      <c r="AT48" s="537"/>
      <c r="AU48" s="53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row>
    <row r="49" spans="2:81" ht="15" customHeight="1">
      <c r="B49" s="68"/>
      <c r="C49" s="461"/>
      <c r="D49" s="461"/>
      <c r="E49" s="462"/>
      <c r="F49" s="504"/>
      <c r="G49" s="505"/>
      <c r="H49" s="505"/>
      <c r="I49" s="505"/>
      <c r="J49" s="505"/>
      <c r="K49" s="62" t="str">
        <f>IF(AND('Mapa final'!$AH$56="Baja",'Mapa final'!$AJ$56="Leve"),CONCATENATE("R2C",'Mapa final'!$R$56),"")</f>
        <v/>
      </c>
      <c r="L49" s="63" t="str">
        <f>IF(AND('Mapa final'!$AH$57="Baja",'Mapa final'!$AJ$57="Leve"),CONCATENATE("R2C",'Mapa final'!$R$57),"")</f>
        <v/>
      </c>
      <c r="M49" s="63" t="str">
        <f>IF(AND('Mapa final'!$AH$58="Baja",'Mapa final'!$AJ$58="Leve"),CONCATENATE("R2C",'Mapa final'!$R$58),"")</f>
        <v/>
      </c>
      <c r="N49" s="54" t="e">
        <f>IF(AND('Mapa final'!#REF!="Alta",'Mapa final'!#REF!="Leve"),CONCATENATE("R2C",'Mapa final'!#REF!),"")</f>
        <v>#REF!</v>
      </c>
      <c r="O49" s="63" t="str">
        <f>IF(AND('Mapa final'!$AH$60="Baja",'Mapa final'!$AJ$60="Leve"),CONCATENATE("R2C",'Mapa final'!$R$60),"")</f>
        <v/>
      </c>
      <c r="P49" s="64" t="str">
        <f>IF(AND('Mapa final'!$AH$61="Baja",'Mapa final'!$AJ$61="Leve"),CONCATENATE("R2C",'Mapa final'!$R$61),"")</f>
        <v/>
      </c>
      <c r="Q49" s="53" t="str">
        <f>IF(AND('Mapa final'!$AH$56="Baja",'Mapa final'!$AJ$56="Menor"),CONCATENATE("R2C",'Mapa final'!$R$56),"")</f>
        <v/>
      </c>
      <c r="R49" s="54" t="str">
        <f>IF(AND('Mapa final'!$AH$57="Baja",'Mapa final'!$AJ$57="Menor"),CONCATENATE("R2C",'Mapa final'!$R$57),"")</f>
        <v/>
      </c>
      <c r="S49" s="54" t="str">
        <f>IF(AND('Mapa final'!$AH$58="Baja",'Mapa final'!$AJ$58="Menor"),CONCATENATE("R2C",'Mapa final'!$R$58),"")</f>
        <v/>
      </c>
      <c r="T49" s="54" t="str">
        <f>IF(AND('Mapa final'!$AH$59="Baja",'Mapa final'!$AJ$59="Menor"),CONCATENATE("R2C",'Mapa final'!$R$59),"")</f>
        <v/>
      </c>
      <c r="U49" s="54" t="str">
        <f>IF(AND('Mapa final'!$AH$60="Baja",'Mapa final'!$AJ$60="Menor"),CONCATENATE("R2C",'Mapa final'!$R$60),"")</f>
        <v/>
      </c>
      <c r="V49" s="55" t="str">
        <f>IF(AND('Mapa final'!$AH$61="Baja",'Mapa final'!$AJ$61="Menor"),CONCATENATE("R2C",'Mapa final'!$R$61),"")</f>
        <v/>
      </c>
      <c r="W49" s="53" t="str">
        <f>IF(AND('Mapa final'!$AH$56="Baja",'Mapa final'!$AJ$56="Moderado"),CONCATENATE("R2C",'Mapa final'!$R$56),"")</f>
        <v/>
      </c>
      <c r="X49" s="54" t="str">
        <f>IF(AND('Mapa final'!$AH$57="Baja",'Mapa final'!$AJ$57="Moderado"),CONCATENATE("R2C",'Mapa final'!$R$57),"")</f>
        <v/>
      </c>
      <c r="Y49" s="54" t="str">
        <f>IF(AND('Mapa final'!$AH$58="Baja",'Mapa final'!$AJ$58="Moderado"),CONCATENATE("R2C",'Mapa final'!$R$58),"")</f>
        <v/>
      </c>
      <c r="Z49" s="54" t="str">
        <f>IF(AND('Mapa final'!$AH$59="Baja",'Mapa final'!$AJ$59="Moderado"),CONCATENATE("R2C",'Mapa final'!$R$59),"")</f>
        <v/>
      </c>
      <c r="AA49" s="54" t="str">
        <f>IF(AND('Mapa final'!$AH$60="Baja",'Mapa final'!$AJ$60="Moderado"),CONCATENATE("R2C",'Mapa final'!$R$60),"")</f>
        <v/>
      </c>
      <c r="AB49" s="55" t="str">
        <f>IF(AND('Mapa final'!$AH$61="Baja",'Mapa final'!$AJ$61="Moderado"),CONCATENATE("R2C",'Mapa final'!$R$61),"")</f>
        <v/>
      </c>
      <c r="AC49" s="38" t="str">
        <f>IF(AND('Mapa final'!$AH$56="Baja",'Mapa final'!$AJ$56="Mayor"),CONCATENATE("R2C",'Mapa final'!$R$56),"")</f>
        <v/>
      </c>
      <c r="AD49" s="39" t="str">
        <f>IF(AND('Mapa final'!$AH$57="Baja",'Mapa final'!$AJ$57="Mayor"),CONCATENATE("R2C",'Mapa final'!$R$57),"")</f>
        <v/>
      </c>
      <c r="AE49" s="39" t="str">
        <f>IF(AND('Mapa final'!$AH$58="Baja",'Mapa final'!$AJ$58="Mayor"),CONCATENATE("R2C",'Mapa final'!$R$58),"")</f>
        <v/>
      </c>
      <c r="AF49" s="39" t="str">
        <f>IF(AND('Mapa final'!$AH$59="Baja",'Mapa final'!$AJ$59="Mayor"),CONCATENATE("R2C",'Mapa final'!$R$59),"")</f>
        <v/>
      </c>
      <c r="AG49" s="39" t="str">
        <f>IF(AND('Mapa final'!$AH$60="Baja",'Mapa final'!$AJ$60="Mayor"),CONCATENATE("R2C",'Mapa final'!$R$60),"")</f>
        <v/>
      </c>
      <c r="AH49" s="40" t="str">
        <f>IF(AND('Mapa final'!$AH$61="Baja",'Mapa final'!$AJ$61="Mayor"),CONCATENATE("R2C",'Mapa final'!$R$61),"")</f>
        <v/>
      </c>
      <c r="AI49" s="41" t="str">
        <f>IF(AND('Mapa final'!$AH$56="Baja",'Mapa final'!$AJ$56="Catastrófico"),CONCATENATE("R2C",'Mapa final'!$R$56),"")</f>
        <v/>
      </c>
      <c r="AJ49" s="42" t="str">
        <f>IF(AND('Mapa final'!$AH$57="Baja",'Mapa final'!$AJ$57="Catastrófico"),CONCATENATE("R2C",'Mapa final'!$R$57),"")</f>
        <v/>
      </c>
      <c r="AK49" s="42" t="str">
        <f>IF(AND('Mapa final'!$AH$58="Baja",'Mapa final'!$AJ$58="Catastrófico"),CONCATENATE("R2C",'Mapa final'!$R$58),"")</f>
        <v/>
      </c>
      <c r="AL49" s="42" t="str">
        <f>IF(AND('Mapa final'!$AH$59="Baja",'Mapa final'!$AJ$59="Catastrófico"),CONCATENATE("R2C",'Mapa final'!$R$59),"")</f>
        <v/>
      </c>
      <c r="AM49" s="42" t="str">
        <f>IF(AND('Mapa final'!$AH$60="Baja",'Mapa final'!$AJ$60="Catastrófico"),CONCATENATE("R2C",'Mapa final'!$R$60),"")</f>
        <v/>
      </c>
      <c r="AN49" s="43" t="str">
        <f>IF(AND('Mapa final'!$AH$61="Baja",'Mapa final'!$AJ$61="Catastrófico"),CONCATENATE("R2C",'Mapa final'!$R$61),"")</f>
        <v/>
      </c>
      <c r="AO49" s="68"/>
      <c r="AP49" s="536"/>
      <c r="AQ49" s="537"/>
      <c r="AR49" s="537"/>
      <c r="AS49" s="537"/>
      <c r="AT49" s="537"/>
      <c r="AU49" s="53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row>
    <row r="50" spans="2:81" ht="15" customHeight="1">
      <c r="B50" s="68"/>
      <c r="C50" s="461"/>
      <c r="D50" s="461"/>
      <c r="E50" s="462"/>
      <c r="F50" s="504"/>
      <c r="G50" s="505"/>
      <c r="H50" s="505"/>
      <c r="I50" s="505"/>
      <c r="J50" s="505"/>
      <c r="K50" s="62" t="str">
        <f>IF(AND('Mapa final'!$AH$62="Baja",'Mapa final'!$AJ$62="Leve"),CONCATENATE("R2C",'Mapa final'!$R$62),"")</f>
        <v/>
      </c>
      <c r="L50" s="63" t="str">
        <f>IF(AND('Mapa final'!$AH$63="Baja",'Mapa final'!$AJ$63="Leve"),CONCATENATE("R2C",'Mapa final'!$R$63),"")</f>
        <v/>
      </c>
      <c r="M50" s="63" t="str">
        <f>IF(AND('Mapa final'!$AH$64="Baja",'Mapa final'!$AJ$64="Leve"),CONCATENATE("R2C",'Mapa final'!$R$64),"")</f>
        <v/>
      </c>
      <c r="N50" s="54" t="e">
        <f>IF(AND('Mapa final'!#REF!="Alta",'Mapa final'!#REF!="Leve"),CONCATENATE("R2C",'Mapa final'!#REF!),"")</f>
        <v>#REF!</v>
      </c>
      <c r="O50" s="63" t="str">
        <f>IF(AND('Mapa final'!$AH$66="Baja",'Mapa final'!$AJ$66="Leve"),CONCATENATE("R2C",'Mapa final'!$R$66),"")</f>
        <v/>
      </c>
      <c r="P50" s="64" t="str">
        <f>IF(AND('Mapa final'!$AH$67="Baja",'Mapa final'!$AJ$67="Leve"),CONCATENATE("R2C",'Mapa final'!$R$67),"")</f>
        <v/>
      </c>
      <c r="Q50" s="53" t="str">
        <f>IF(AND('Mapa final'!$AH$62="Baja",'Mapa final'!$AJ$62="Menor"),CONCATENATE("R2C",'Mapa final'!$R$62),"")</f>
        <v/>
      </c>
      <c r="R50" s="54" t="str">
        <f>IF(AND('Mapa final'!$AH$63="Baja",'Mapa final'!$AJ$63="Menor"),CONCATENATE("R2C",'Mapa final'!$R$63),"")</f>
        <v/>
      </c>
      <c r="S50" s="54" t="str">
        <f>IF(AND('Mapa final'!$AH$64="Baja",'Mapa final'!$AJ$64="Menor"),CONCATENATE("R2C",'Mapa final'!$R$64),"")</f>
        <v/>
      </c>
      <c r="T50" s="54" t="str">
        <f>IF(AND('Mapa final'!$AH$65="Baja",'Mapa final'!$AJ$65="Menor"),CONCATENATE("R2C",'Mapa final'!$R$65),"")</f>
        <v/>
      </c>
      <c r="U50" s="54" t="str">
        <f>IF(AND('Mapa final'!$AH$66="Baja",'Mapa final'!$AJ$66="Menor"),CONCATENATE("R2C",'Mapa final'!$R$66),"")</f>
        <v/>
      </c>
      <c r="V50" s="55" t="str">
        <f>IF(AND('Mapa final'!$AH$67="Baja",'Mapa final'!$AJ$67="Menor"),CONCATENATE("R2C",'Mapa final'!$R$67),"")</f>
        <v/>
      </c>
      <c r="W50" s="53" t="str">
        <f>IF(AND('Mapa final'!$AH$62="Baja",'Mapa final'!$AJ$62="Moderado"),CONCATENATE("R2C",'Mapa final'!$R$62),"")</f>
        <v/>
      </c>
      <c r="X50" s="54" t="str">
        <f>IF(AND('Mapa final'!$AH$63="Baja",'Mapa final'!$AJ$63="Moderado"),CONCATENATE("R2C",'Mapa final'!$R$63),"")</f>
        <v/>
      </c>
      <c r="Y50" s="54" t="str">
        <f>IF(AND('Mapa final'!$AH$64="Baja",'Mapa final'!$AJ$64="Moderado"),CONCATENATE("R2C",'Mapa final'!$R$64),"")</f>
        <v/>
      </c>
      <c r="Z50" s="54" t="str">
        <f>IF(AND('Mapa final'!$AH$65="Baja",'Mapa final'!$AJ$65="Moderado"),CONCATENATE("R2C",'Mapa final'!$R$65),"")</f>
        <v/>
      </c>
      <c r="AA50" s="54" t="str">
        <f>IF(AND('Mapa final'!$AH$66="Baja",'Mapa final'!$AJ$66="Moderado"),CONCATENATE("R2C",'Mapa final'!$R$66),"")</f>
        <v/>
      </c>
      <c r="AB50" s="55" t="str">
        <f>IF(AND('Mapa final'!$AH$67="Baja",'Mapa final'!$AJ$67="Moderado"),CONCATENATE("R2C",'Mapa final'!$R$67),"")</f>
        <v/>
      </c>
      <c r="AC50" s="38" t="str">
        <f>IF(AND('Mapa final'!$AH$62="Baja",'Mapa final'!$AJ$62="Mayor"),CONCATENATE("R2C",'Mapa final'!$R$62),"")</f>
        <v/>
      </c>
      <c r="AD50" s="39" t="str">
        <f>IF(AND('Mapa final'!$AH$63="Baja",'Mapa final'!$AJ$63="Mayor"),CONCATENATE("R2C",'Mapa final'!$R$63),"")</f>
        <v/>
      </c>
      <c r="AE50" s="39" t="str">
        <f>IF(AND('Mapa final'!$AH$64="Baja",'Mapa final'!$AJ$64="Mayor"),CONCATENATE("R2C",'Mapa final'!$R$64),"")</f>
        <v/>
      </c>
      <c r="AF50" s="39" t="str">
        <f>IF(AND('Mapa final'!$AH$65="Baja",'Mapa final'!$AJ$65="Mayor"),CONCATENATE("R2C",'Mapa final'!$R$65),"")</f>
        <v/>
      </c>
      <c r="AG50" s="39" t="str">
        <f>IF(AND('Mapa final'!$AH$66="Baja",'Mapa final'!$AJ$66="Mayor"),CONCATENATE("R2C",'Mapa final'!$R$66),"")</f>
        <v/>
      </c>
      <c r="AH50" s="40" t="str">
        <f>IF(AND('Mapa final'!$AH$67="Baja",'Mapa final'!$AJ$67="Mayor"),CONCATENATE("R2C",'Mapa final'!$R$67),"")</f>
        <v/>
      </c>
      <c r="AI50" s="41" t="str">
        <f>IF(AND('Mapa final'!$AH$62="Baja",'Mapa final'!$AJ$62="Catastrófico"),CONCATENATE("R2C",'Mapa final'!$R$62),"")</f>
        <v/>
      </c>
      <c r="AJ50" s="42" t="str">
        <f>IF(AND('Mapa final'!$AH$63="Baja",'Mapa final'!$AJ$63="Catastrófico"),CONCATENATE("R2C",'Mapa final'!$R$63),"")</f>
        <v/>
      </c>
      <c r="AK50" s="42" t="str">
        <f>IF(AND('Mapa final'!$AH$64="Baja",'Mapa final'!$AJ$64="Catastrófico"),CONCATENATE("R2C",'Mapa final'!$R$64),"")</f>
        <v/>
      </c>
      <c r="AL50" s="42" t="str">
        <f>IF(AND('Mapa final'!$AH$65="Baja",'Mapa final'!$AJ$65="Catastrófico"),CONCATENATE("R2C",'Mapa final'!$R$65),"")</f>
        <v/>
      </c>
      <c r="AM50" s="42" t="str">
        <f>IF(AND('Mapa final'!$AH$66="Baja",'Mapa final'!$AJ$66="Catastrófico"),CONCATENATE("R2C",'Mapa final'!$R$66),"")</f>
        <v/>
      </c>
      <c r="AN50" s="43" t="str">
        <f>IF(AND('Mapa final'!$AH$67="Baja",'Mapa final'!$AJ$67="Catastrófico"),CONCATENATE("R2C",'Mapa final'!$R$67),"")</f>
        <v/>
      </c>
      <c r="AO50" s="68"/>
      <c r="AP50" s="536"/>
      <c r="AQ50" s="537"/>
      <c r="AR50" s="537"/>
      <c r="AS50" s="537"/>
      <c r="AT50" s="537"/>
      <c r="AU50" s="53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row>
    <row r="51" spans="2:81" ht="15.75" customHeight="1" thickBot="1">
      <c r="B51" s="68"/>
      <c r="C51" s="461"/>
      <c r="D51" s="461"/>
      <c r="E51" s="462"/>
      <c r="F51" s="507"/>
      <c r="G51" s="508"/>
      <c r="H51" s="508"/>
      <c r="I51" s="508"/>
      <c r="J51" s="508"/>
      <c r="K51" s="65" t="str">
        <f>IF(AND('Mapa final'!$AH$68="Baja",'Mapa final'!$AJ$68="Leve"),CONCATENATE("R2C",'Mapa final'!$R$68),"")</f>
        <v/>
      </c>
      <c r="L51" s="66" t="str">
        <f>IF(AND('Mapa final'!$AH$69="Baja",'Mapa final'!$AJ$69="Leve"),CONCATENATE("R2C",'Mapa final'!$R$69),"")</f>
        <v/>
      </c>
      <c r="M51" s="66" t="str">
        <f>IF(AND('Mapa final'!$AH$70="Baja",'Mapa final'!$AJ$70="Leve"),CONCATENATE("R2C",'Mapa final'!$R$70),"")</f>
        <v/>
      </c>
      <c r="N51" s="54" t="e">
        <f>IF(AND('Mapa final'!#REF!="Alta",'Mapa final'!#REF!="Leve"),CONCATENATE("R2C",'Mapa final'!#REF!),"")</f>
        <v>#REF!</v>
      </c>
      <c r="O51" s="66" t="str">
        <f>IF(AND('Mapa final'!$AH$73="Baja",'Mapa final'!$AJ$73="Leve"),CONCATENATE("R2C",'Mapa final'!$R$73),"")</f>
        <v/>
      </c>
      <c r="P51" s="67" t="str">
        <f>IF(AND('Mapa final'!$AH$74="Baja",'Mapa final'!$AJ$74="Leve"),CONCATENATE("R2C",'Mapa final'!$R$74),"")</f>
        <v/>
      </c>
      <c r="Q51" s="53" t="str">
        <f>IF(AND('Mapa final'!$AH$68="Baja",'Mapa final'!$AJ$68="Menor"),CONCATENATE("R2C",'Mapa final'!$R$68),"")</f>
        <v/>
      </c>
      <c r="R51" s="54" t="str">
        <f>IF(AND('Mapa final'!$AH$69="Baja",'Mapa final'!$AJ$69="Menor"),CONCATENATE("R2C",'Mapa final'!$R$69),"")</f>
        <v/>
      </c>
      <c r="S51" s="54" t="str">
        <f>IF(AND('Mapa final'!$AH$70="Baja",'Mapa final'!$AJ$70="Menor"),CONCATENATE("R2C",'Mapa final'!$R$70),"")</f>
        <v/>
      </c>
      <c r="T51" s="54" t="str">
        <f>IF(AND('Mapa final'!$AH$71="Baja",'Mapa final'!$AJ$71="Menor"),CONCATENATE("R2C",'Mapa final'!$R$71),"")</f>
        <v/>
      </c>
      <c r="U51" s="54" t="str">
        <f>IF(AND('Mapa final'!$AH$73="Baja",'Mapa final'!$AJ$73="Menor"),CONCATENATE("R2C",'Mapa final'!$R$73),"")</f>
        <v/>
      </c>
      <c r="V51" s="55" t="str">
        <f>IF(AND('Mapa final'!$AH$74="Baja",'Mapa final'!$AJ$74="Menor"),CONCATENATE("R2C",'Mapa final'!$R$74),"")</f>
        <v/>
      </c>
      <c r="W51" s="56" t="str">
        <f>IF(AND('Mapa final'!$AH$68="Baja",'Mapa final'!$AJ$68="Moderado"),CONCATENATE("R2C",'Mapa final'!$R$68),"")</f>
        <v/>
      </c>
      <c r="X51" s="57" t="str">
        <f>IF(AND('Mapa final'!$AH$69="Baja",'Mapa final'!$AJ$69="Moderado"),CONCATENATE("R2C",'Mapa final'!$R$69),"")</f>
        <v/>
      </c>
      <c r="Y51" s="57" t="str">
        <f>IF(AND('Mapa final'!$AH$70="Baja",'Mapa final'!$AJ$70="Moderado"),CONCATENATE("R2C",'Mapa final'!$R$70),"")</f>
        <v/>
      </c>
      <c r="Z51" s="57" t="str">
        <f>IF(AND('Mapa final'!$AH$71="Baja",'Mapa final'!$AJ$71="Moderado"),CONCATENATE("R2C",'Mapa final'!$R$71),"")</f>
        <v/>
      </c>
      <c r="AA51" s="57" t="str">
        <f>IF(AND('Mapa final'!$AH$73="Baja",'Mapa final'!$AJ$73="Moderado"),CONCATENATE("R2C",'Mapa final'!$R$73),"")</f>
        <v/>
      </c>
      <c r="AB51" s="58" t="str">
        <f>IF(AND('Mapa final'!$AH$74="Baja",'Mapa final'!$AJ$74="Moderado"),CONCATENATE("R2C",'Mapa final'!$R$74),"")</f>
        <v/>
      </c>
      <c r="AC51" s="44" t="str">
        <f>IF(AND('Mapa final'!$AH$68="Baja",'Mapa final'!$AJ$68="Mayor"),CONCATENATE("R2C",'Mapa final'!$R$68),"")</f>
        <v/>
      </c>
      <c r="AD51" s="45" t="str">
        <f>IF(AND('Mapa final'!$AH$69="Baja",'Mapa final'!$AJ$69="Mayor"),CONCATENATE("R2C",'Mapa final'!$R$69),"")</f>
        <v/>
      </c>
      <c r="AE51" s="45" t="str">
        <f>IF(AND('Mapa final'!$AH$70="Baja",'Mapa final'!$AJ$70="Mayor"),CONCATENATE("R2C",'Mapa final'!$R$70),"")</f>
        <v/>
      </c>
      <c r="AF51" s="45" t="str">
        <f>IF(AND('Mapa final'!$AH$71="Baja",'Mapa final'!$AJ$71="Mayor"),CONCATENATE("R2C",'Mapa final'!$R$71),"")</f>
        <v/>
      </c>
      <c r="AG51" s="45" t="str">
        <f>IF(AND('Mapa final'!$AH$73="Baja",'Mapa final'!$AJ$73="Mayor"),CONCATENATE("R2C",'Mapa final'!$R$73),"")</f>
        <v/>
      </c>
      <c r="AH51" s="46" t="str">
        <f>IF(AND('Mapa final'!$AH$74="Baja",'Mapa final'!$AJ$74="Mayor"),CONCATENATE("R2C",'Mapa final'!$R$74),"")</f>
        <v/>
      </c>
      <c r="AI51" s="47" t="str">
        <f>IF(AND('Mapa final'!$AH$68="Baja",'Mapa final'!$AJ$68="Catastrófico"),CONCATENATE("R2C",'Mapa final'!$R$68),"")</f>
        <v/>
      </c>
      <c r="AJ51" s="48" t="str">
        <f>IF(AND('Mapa final'!$AH$69="Baja",'Mapa final'!$AJ$69="Catastrófico"),CONCATENATE("R2C",'Mapa final'!$R$69),"")</f>
        <v/>
      </c>
      <c r="AK51" s="48" t="str">
        <f>IF(AND('Mapa final'!$AH$70="Baja",'Mapa final'!$AJ$70="Catastrófico"),CONCATENATE("R2C",'Mapa final'!$R$70),"")</f>
        <v/>
      </c>
      <c r="AL51" s="48" t="str">
        <f>IF(AND('Mapa final'!$AH$71="Baja",'Mapa final'!$AJ$71="Catastrófico"),CONCATENATE("R2C",'Mapa final'!$R$71),"")</f>
        <v/>
      </c>
      <c r="AM51" s="48" t="str">
        <f>IF(AND('Mapa final'!$AH$73="Baja",'Mapa final'!$AJ$73="Catastrófico"),CONCATENATE("R2C",'Mapa final'!$R$73),"")</f>
        <v/>
      </c>
      <c r="AN51" s="49" t="str">
        <f>IF(AND('Mapa final'!$AH$74="Baja",'Mapa final'!$AJ$74="Catastrófico"),CONCATENATE("R2C",'Mapa final'!$R$74),"")</f>
        <v/>
      </c>
      <c r="AO51" s="68"/>
      <c r="AP51" s="539"/>
      <c r="AQ51" s="540"/>
      <c r="AR51" s="540"/>
      <c r="AS51" s="540"/>
      <c r="AT51" s="540"/>
      <c r="AU51" s="541"/>
    </row>
    <row r="52" spans="2:81" ht="41.25" customHeight="1">
      <c r="B52" s="68"/>
      <c r="C52" s="461"/>
      <c r="D52" s="461"/>
      <c r="E52" s="462"/>
      <c r="F52" s="501" t="s">
        <v>260</v>
      </c>
      <c r="G52" s="502"/>
      <c r="H52" s="502"/>
      <c r="I52" s="502"/>
      <c r="J52" s="503"/>
      <c r="K52" s="59"/>
      <c r="L52" s="60" t="e">
        <f>IF(AND('Mapa final'!#REF!="Muy Baja",'Mapa final'!#REF!="Leve"),CONCATENATE("R2C",'Mapa final'!$R$15),"")</f>
        <v>#REF!</v>
      </c>
      <c r="M52" s="60" t="e">
        <f>IF(AND('Mapa final'!#REF!="Muy Baja",'Mapa final'!#REF!="Leve"),CONCATENATE("R2C",'Mapa final'!#REF!),"")</f>
        <v>#REF!</v>
      </c>
      <c r="N52" s="54" t="e">
        <f>IF(AND('Mapa final'!#REF!="Alta",'Mapa final'!#REF!="Leve"),CONCATENATE("R2C",'Mapa final'!#REF!),"")</f>
        <v>#REF!</v>
      </c>
      <c r="O52" s="60" t="e">
        <f>IF(AND('Mapa final'!#REF!="Muy Baja",'Mapa final'!#REF!="Leve"),CONCATENATE("R2C",'Mapa final'!#REF!),"")</f>
        <v>#REF!</v>
      </c>
      <c r="P52" s="61" t="e">
        <f>IF(AND('Mapa final'!#REF!="Muy Baja",'Mapa final'!#REF!="Leve"),CONCATENATE("R2C",'Mapa final'!#REF!),"")</f>
        <v>#REF!</v>
      </c>
      <c r="Q52" s="59"/>
      <c r="R52" s="60" t="e">
        <f>IF(AND('Mapa final'!#REF!="Muy Baja",'Mapa final'!#REF!="Menore"),CONCATENATE("R2C",'Mapa final'!$R$15),"")</f>
        <v>#REF!</v>
      </c>
      <c r="S52" s="60" t="e">
        <f>IF(AND('Mapa final'!#REF!="Muy Baja",'Mapa final'!#REF!="Menor"),CONCATENATE("R2C",'Mapa final'!#REF!),"")</f>
        <v>#REF!</v>
      </c>
      <c r="T52" s="60" t="e">
        <f>IF(AND('Mapa final'!#REF!="Muy Baja",'Mapa final'!#REF!="Menor"),CONCATENATE("R2C",'Mapa final'!#REF!),"")</f>
        <v>#REF!</v>
      </c>
      <c r="U52" s="60" t="e">
        <f>IF(AND('Mapa final'!#REF!="Muy Baja",'Mapa final'!#REF!="Menor"),CONCATENATE("R2C",'Mapa final'!#REF!),"")</f>
        <v>#REF!</v>
      </c>
      <c r="V52" s="61" t="e">
        <f>IF(AND('Mapa final'!#REF!="Muy Baja",'Mapa final'!#REF!="Menor"),CONCATENATE("R2C",'Mapa final'!#REF!),"")</f>
        <v>#REF!</v>
      </c>
      <c r="W52" s="50"/>
      <c r="X52" s="194" t="e">
        <f>IF(AND('Mapa final'!#REF!="Muy Baja",'Mapa final'!#REF!="Moderado"),CONCATENATE("R2C",'Mapa final'!$D$15),"")</f>
        <v>#REF!</v>
      </c>
      <c r="Y52" s="51"/>
      <c r="Z52" s="51" t="e">
        <f>IF(AND('Mapa final'!#REF!="Muy Baja",'Mapa final'!#REF!="Moderado"),CONCATENATE("R2C",'Mapa final'!#REF!),"")</f>
        <v>#REF!</v>
      </c>
      <c r="AA52" s="51" t="e">
        <f>IF(AND('Mapa final'!#REF!="Muy Baja",'Mapa final'!#REF!="Moderado"),CONCATENATE("R2C",'Mapa final'!#REF!),"")</f>
        <v>#REF!</v>
      </c>
      <c r="AB52" s="52" t="e">
        <f>IF(AND('Mapa final'!#REF!="Muy Baja",'Mapa final'!#REF!="Moderado"),CONCATENATE("R2C",'Mapa final'!#REF!),"")</f>
        <v>#REF!</v>
      </c>
      <c r="AC52" s="32"/>
      <c r="AD52" s="33" t="e">
        <f>IF(AND('Mapa final'!#REF!="Muy Baja",'Mapa final'!#REF!="Mayor"),CONCATENATE("R2C",'Mapa final'!$R$15),"")</f>
        <v>#REF!</v>
      </c>
      <c r="AE52" s="193" t="e">
        <f>IF(AND('Mapa final'!#REF!="Muy Baja",'Mapa final'!#REF!="Mayor"),CONCATENATE("R2C",'Mapa final'!#REF!),"")</f>
        <v>#REF!</v>
      </c>
      <c r="AF52" s="33" t="e">
        <f>IF(AND('Mapa final'!#REF!="Muy Baja",'Mapa final'!#REF!="Mayor"),CONCATENATE("R2C",'Mapa final'!#REF!),"")</f>
        <v>#REF!</v>
      </c>
      <c r="AG52" s="33" t="e">
        <f>IF(AND('Mapa final'!#REF!="Muy Baja",'Mapa final'!#REF!="Mayor"),CONCATENATE("R2C",'Mapa final'!#REF!),"")</f>
        <v>#REF!</v>
      </c>
      <c r="AH52" s="34" t="e">
        <f>IF(AND('Mapa final'!#REF!="Muy Baja",'Mapa final'!#REF!="Mayor"),CONCATENATE("R2C",'Mapa final'!#REF!),"")</f>
        <v>#REF!</v>
      </c>
      <c r="AI52" s="35"/>
      <c r="AJ52" s="36" t="e">
        <f>IF(AND('Mapa final'!#REF!="Muy Baja",'Mapa final'!#REF!="Catastrófico"),CONCATENATE("R2C",'Mapa final'!$D$15),"")</f>
        <v>#REF!</v>
      </c>
      <c r="AK52" s="36" t="e">
        <f>IF(AND('Mapa final'!#REF!="Muy Baja",'Mapa final'!#REF!="Catastrófico"),CONCATENATE("R2C",'Mapa final'!#REF!),"")</f>
        <v>#REF!</v>
      </c>
      <c r="AL52" s="36" t="e">
        <f>IF(AND('Mapa final'!#REF!="Muy Baja",'Mapa final'!#REF!="Catastrófico"),CONCATENATE("R2C",'Mapa final'!#REF!),"")</f>
        <v>#REF!</v>
      </c>
      <c r="AM52" s="36" t="e">
        <f>IF(AND('Mapa final'!#REF!="Muy Baja",'Mapa final'!#REF!="Catastrófico"),CONCATENATE("R2C",'Mapa final'!#REF!),"")</f>
        <v>#REF!</v>
      </c>
      <c r="AN52" s="37" t="e">
        <f>IF(AND('Mapa final'!#REF!="Muy Baja",'Mapa final'!#REF!="Catastrófico"),CONCATENATE("R2C",'Mapa final'!#REF!),"")</f>
        <v>#REF!</v>
      </c>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220"/>
      <c r="BM52" s="220"/>
      <c r="BN52" s="220"/>
      <c r="BO52" s="220"/>
      <c r="BP52" s="220"/>
      <c r="BQ52" s="220"/>
      <c r="BR52" s="68"/>
      <c r="BS52" s="68"/>
      <c r="BT52" s="68"/>
      <c r="BU52" s="68"/>
      <c r="BV52" s="68"/>
      <c r="BW52" s="68"/>
      <c r="BX52" s="68"/>
      <c r="BY52" s="68"/>
      <c r="BZ52" s="68"/>
      <c r="CA52" s="68"/>
      <c r="CB52" s="68"/>
      <c r="CC52" s="68"/>
    </row>
    <row r="53" spans="2:81" ht="81.95" customHeight="1">
      <c r="B53" s="68"/>
      <c r="C53" s="461"/>
      <c r="D53" s="461"/>
      <c r="E53" s="462"/>
      <c r="F53" s="520"/>
      <c r="G53" s="505"/>
      <c r="H53" s="505"/>
      <c r="I53" s="505"/>
      <c r="J53" s="506"/>
      <c r="K53" s="62" t="e">
        <f>IF(AND('Mapa final'!#REF!="Muy Baja",'Mapa final'!#REF!="Leve"),CONCATENATE("R2C",'Mapa final'!#REF!),"")</f>
        <v>#REF!</v>
      </c>
      <c r="L53" s="63" t="e">
        <f>IF(AND('Mapa final'!#REF!="Muy Baja",'Mapa final'!#REF!="Leve"),CONCATENATE("R2C",'Mapa final'!#REF!),"")</f>
        <v>#REF!</v>
      </c>
      <c r="M53" s="63" t="str">
        <f>IF(AND('Mapa final'!$AH$22="Muy Baja",'Mapa final'!$AJ$22="Leve"),CONCATENATE("R2C",'Mapa final'!$R$22),"")</f>
        <v/>
      </c>
      <c r="N53" s="54" t="e">
        <f>IF(AND('Mapa final'!#REF!="Alta",'Mapa final'!#REF!="Leve"),CONCATENATE("R2C",'Mapa final'!#REF!),"")</f>
        <v>#REF!</v>
      </c>
      <c r="O53" s="63" t="str">
        <f>IF(AND('Mapa final'!$AH$24="Muy Baja",'Mapa final'!$AJ$24="Leve"),CONCATENATE("R2C",'Mapa final'!$R$24),"")</f>
        <v/>
      </c>
      <c r="P53" s="64" t="str">
        <f>IF(AND('Mapa final'!$AH$25="Muy Baja",'Mapa final'!$AJ$25="Leve"),CONCATENATE("R2C",'Mapa final'!$R$25),"")</f>
        <v/>
      </c>
      <c r="Q53" s="62" t="e">
        <f>IF(AND('Mapa final'!#REF!="Muy Baja",'Mapa final'!#REF!="Menor"),CONCATENATE("R2C",'Mapa final'!#REF!),"")</f>
        <v>#REF!</v>
      </c>
      <c r="R53" s="63" t="e">
        <f>IF(AND('Mapa final'!#REF!="Muy Baja",'Mapa final'!#REF!="Menor"),CONCATENATE("R2C",'Mapa final'!#REF!),"")</f>
        <v>#REF!</v>
      </c>
      <c r="S53" s="63" t="str">
        <f>IF(AND('Mapa final'!$AH$22="Muy Baja",'Mapa final'!$AJ$22="Menor"),CONCATENATE("R2C",'Mapa final'!$R$22),"")</f>
        <v/>
      </c>
      <c r="T53" s="63" t="str">
        <f>IF(AND('Mapa final'!$AH$23="Muy Baja",'Mapa final'!$AJ$23="Menor"),CONCATENATE("R2C",'Mapa final'!$R$23),"")</f>
        <v/>
      </c>
      <c r="U53" s="63" t="str">
        <f>IF(AND('Mapa final'!$AH$24="Muy Baja",'Mapa final'!$AJ$24="Menor"),CONCATENATE("R2C",'Mapa final'!$R$24),"")</f>
        <v/>
      </c>
      <c r="V53" s="64" t="str">
        <f>IF(AND('Mapa final'!$AH$25="Muy Baja",'Mapa final'!$AJ$25="Menor"),CONCATENATE("R2C",'Mapa final'!$R$25),"")</f>
        <v/>
      </c>
      <c r="W53" s="53" t="e">
        <f>IF(AND('Mapa final'!#REF!="Muy Baja",'Mapa final'!#REF!="Moderado"),CONCATENATE("R2C",'Mapa final'!#REF!),"")</f>
        <v>#REF!</v>
      </c>
      <c r="X53" s="54" t="e">
        <f>IF(AND('Mapa final'!#REF!="Muy Baja",'Mapa final'!#REF!="Moderado"),CONCATENATE("R2C",'Mapa final'!#REF!),"")</f>
        <v>#REF!</v>
      </c>
      <c r="Y53" s="54" t="str">
        <f>IF(AND('Mapa final'!$AH$22="Muy Baja",'Mapa final'!$AJ$22="Moderado"),CONCATENATE("R2C",'Mapa final'!$R$22),"")</f>
        <v/>
      </c>
      <c r="Z53" s="54" t="str">
        <f>IF(AND('Mapa final'!$AH$23="Muy Baja",'Mapa final'!$AJ$23="Moderado"),CONCATENATE("R2C",'Mapa final'!$R$23),"")</f>
        <v/>
      </c>
      <c r="AA53" s="54" t="str">
        <f>IF(AND('Mapa final'!$AH$24="Muy Baja",'Mapa final'!$AJ$24="Moderado"),CONCATENATE("R2C",'Mapa final'!$R$24),"")</f>
        <v/>
      </c>
      <c r="AB53" s="55" t="str">
        <f>IF(AND('Mapa final'!$AH$25="Muy Baja",'Mapa final'!$AJ$25="Moderado"),CONCATENATE("R2C",'Mapa final'!$R$25),"")</f>
        <v/>
      </c>
      <c r="AC53" s="38" t="e">
        <f>IF(AND('Mapa final'!#REF!="Muy Baja",'Mapa final'!#REF!="Mayor"),CONCATENATE("R2C",'Mapa final'!#REF!),"")</f>
        <v>#REF!</v>
      </c>
      <c r="AD53" s="39" t="e">
        <f>IF(AND('Mapa final'!#REF!="Muy Baja",'Mapa final'!#REF!="Mayor"),CONCATENATE("R2C",'Mapa final'!#REF!),"")</f>
        <v>#REF!</v>
      </c>
      <c r="AE53" s="39" t="str">
        <f>IF(AND('Mapa final'!$AH$22="Muy Baja",'Mapa final'!$AJ$22="Mayor"),CONCATENATE("R2C",'Mapa final'!$R$22),"")</f>
        <v/>
      </c>
      <c r="AF53" s="39" t="str">
        <f>IF(AND('Mapa final'!$AH$23="Muy Baja",'Mapa final'!$AJ$23="Mayor"),CONCATENATE("R2C",'Mapa final'!$R$23),"")</f>
        <v/>
      </c>
      <c r="AG53" s="39" t="str">
        <f>IF(AND('Mapa final'!$AH$24="Muy Baja",'Mapa final'!$AJ$24="Mayor"),CONCATENATE("R2C",'Mapa final'!$R$24),"")</f>
        <v/>
      </c>
      <c r="AH53" s="40" t="str">
        <f>IF(AND('Mapa final'!$AH$25="Muy Baja",'Mapa final'!$AJ$25="Mayor"),CONCATENATE("R2C",'Mapa final'!$R$25),"")</f>
        <v/>
      </c>
      <c r="AI53" s="41" t="e">
        <f>IF(AND('Mapa final'!#REF!="Muy Baja",'Mapa final'!#REF!="Catastrófico"),CONCATENATE("R2C",'Mapa final'!#REF!),"")</f>
        <v>#REF!</v>
      </c>
      <c r="AJ53" s="42" t="e">
        <f>IF(AND('Mapa final'!#REF!="Muy Baja",'Mapa final'!#REF!="Catastrófico"),CONCATENATE("R2C",'Mapa final'!#REF!),"")</f>
        <v>#REF!</v>
      </c>
      <c r="AK53" s="42" t="str">
        <f>IF(AND('Mapa final'!$AH$22="Muy Baja",'Mapa final'!$AJ$22="Catastrófico"),CONCATENATE("R2C",'Mapa final'!$R$22),"")</f>
        <v/>
      </c>
      <c r="AL53" s="42" t="str">
        <f>IF(AND('Mapa final'!$AH$23="Muy Baja",'Mapa final'!$AJ$23="Catastrófico"),CONCATENATE("R2C",'Mapa final'!$R$23),"")</f>
        <v/>
      </c>
      <c r="AM53" s="42" t="str">
        <f>IF(AND('Mapa final'!$AH$24="Muy Baja",'Mapa final'!$AJ$24="Catastrófico"),CONCATENATE("R2C",'Mapa final'!$R$24),"")</f>
        <v/>
      </c>
      <c r="AN53" s="43" t="str">
        <f>IF(AND('Mapa final'!$AH$25="Muy Baja",'Mapa final'!$AJ$25="Catastrófico"),CONCATENATE("R2C",'Mapa final'!$R$25),"")</f>
        <v/>
      </c>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221"/>
      <c r="BM53" s="221"/>
      <c r="BN53" s="221"/>
      <c r="BO53" s="221"/>
      <c r="BP53" s="221"/>
      <c r="BQ53" s="221"/>
      <c r="BR53" s="68"/>
      <c r="BS53" s="68"/>
      <c r="BT53" s="68"/>
      <c r="BU53" s="68"/>
      <c r="BV53" s="68"/>
      <c r="BW53" s="68"/>
      <c r="BX53" s="68"/>
      <c r="BY53" s="68"/>
      <c r="BZ53" s="68"/>
      <c r="CA53" s="68"/>
      <c r="CB53" s="68"/>
      <c r="CC53" s="68"/>
    </row>
    <row r="54" spans="2:81" ht="81.95" customHeight="1">
      <c r="B54" s="68"/>
      <c r="C54" s="461"/>
      <c r="D54" s="461"/>
      <c r="E54" s="462"/>
      <c r="F54" s="520"/>
      <c r="G54" s="505"/>
      <c r="H54" s="505"/>
      <c r="I54" s="505"/>
      <c r="J54" s="506"/>
      <c r="K54" s="62" t="str">
        <f>IF(AND('Mapa final'!$AH$26="Muy Baja",'Mapa final'!$AJ$26="Leve"),CONCATENATE("R2C",'Mapa final'!$R$26),"")</f>
        <v/>
      </c>
      <c r="L54" s="63" t="str">
        <f>IF(AND('Mapa final'!$AH$27="Muy Baja",'Mapa final'!$AJ$27="Leve"),CONCATENATE("R2C",'Mapa final'!$R$27),"")</f>
        <v/>
      </c>
      <c r="M54" s="63" t="str">
        <f>IF(AND('Mapa final'!$AH$28="Muy Baja",'Mapa final'!$AJ$28="Leve"),CONCATENATE("R2C",'Mapa final'!$R$28),"")</f>
        <v/>
      </c>
      <c r="N54" s="54" t="e">
        <f>IF(AND('Mapa final'!#REF!="Alta",'Mapa final'!#REF!="Leve"),CONCATENATE("R2C",'Mapa final'!#REF!),"")</f>
        <v>#REF!</v>
      </c>
      <c r="O54" s="63" t="str">
        <f>IF(AND('Mapa final'!$AH$30="Muy Baja",'Mapa final'!$AJ$30="Leve"),CONCATENATE("R2C",'Mapa final'!$R$30),"")</f>
        <v/>
      </c>
      <c r="P54" s="64" t="str">
        <f>IF(AND('Mapa final'!$AH$31="Muy Baja",'Mapa final'!$AJ$31="Leve"),CONCATENATE("R2C",'Mapa final'!$R$31),"")</f>
        <v/>
      </c>
      <c r="Q54" s="62" t="str">
        <f>IF(AND('Mapa final'!$AH$26="Muy Baja",'Mapa final'!$AJ$26="Menor"),CONCATENATE("R2C",'Mapa final'!$R$26),"")</f>
        <v/>
      </c>
      <c r="R54" s="63" t="str">
        <f>IF(AND('Mapa final'!$AH$27="Muy Baja",'Mapa final'!$AJ$27="Menor"),CONCATENATE("R2C",'Mapa final'!$R$27),"")</f>
        <v/>
      </c>
      <c r="S54" s="63" t="str">
        <f>IF(AND('Mapa final'!$AH$28="Muy Baja",'Mapa final'!$AJ$28="Menor"),CONCATENATE("R2C",'Mapa final'!$R$28),"")</f>
        <v/>
      </c>
      <c r="T54" s="63" t="str">
        <f>IF(AND('Mapa final'!$AH$29="Muy Baja",'Mapa final'!$AJ$29="Menor"),CONCATENATE("R2C",'Mapa final'!$R$29),"")</f>
        <v/>
      </c>
      <c r="U54" s="63" t="str">
        <f>IF(AND('Mapa final'!$AH$30="Muy Baja",'Mapa final'!$AJ$30="Menor"),CONCATENATE("R2C",'Mapa final'!$R$30),"")</f>
        <v/>
      </c>
      <c r="V54" s="64" t="str">
        <f>IF(AND('Mapa final'!$AH$31="Muy Baja",'Mapa final'!$AJ$31="Menor"),CONCATENATE("R2C",'Mapa final'!$R$31),"")</f>
        <v/>
      </c>
      <c r="W54" s="53" t="str">
        <f>IF(AND('Mapa final'!$AH$26="Muy Baja",'Mapa final'!$AJ$26="Moderado"),CONCATENATE("R2C",'Mapa final'!$R$26),"")</f>
        <v/>
      </c>
      <c r="X54" s="54" t="str">
        <f>IF(AND('Mapa final'!$AH$27="Muy Baja",'Mapa final'!$AJ$27="Moderado"),CONCATENATE("R2C",'Mapa final'!$R$27),"")</f>
        <v/>
      </c>
      <c r="Y54" s="54" t="str">
        <f>IF(AND('Mapa final'!$AH$28="Muy Baja",'Mapa final'!$AJ$28="Moderado"),CONCATENATE("R2C",'Mapa final'!$R$28),"")</f>
        <v/>
      </c>
      <c r="Z54" s="54" t="str">
        <f>IF(AND('Mapa final'!$AH$29="Muy Baja",'Mapa final'!$AJ$29="Moderado"),CONCATENATE("R2C",'Mapa final'!$R$29),"")</f>
        <v/>
      </c>
      <c r="AA54" s="54" t="str">
        <f>IF(AND('Mapa final'!$AH$30="Muy Baja",'Mapa final'!$AJ$30="Moderado"),CONCATENATE("R2C",'Mapa final'!$R$30),"")</f>
        <v/>
      </c>
      <c r="AB54" s="55" t="str">
        <f>IF(AND('Mapa final'!$AH$31="Muy Baja",'Mapa final'!$AJ$31="Moderado"),CONCATENATE("R2C",'Mapa final'!$R$31),"")</f>
        <v/>
      </c>
      <c r="AC54" s="38" t="str">
        <f>IF(AND('Mapa final'!$AH$26="Muy Baja",'Mapa final'!$AJ$26="Mayor"),CONCATENATE("R2C",'Mapa final'!$R$26),"")</f>
        <v/>
      </c>
      <c r="AD54" s="39" t="str">
        <f>IF(AND('Mapa final'!$AH$27="Muy Baja",'Mapa final'!$AJ$27="Mayor"),CONCATENATE("R2C",'Mapa final'!$R$27),"")</f>
        <v/>
      </c>
      <c r="AE54" s="39" t="str">
        <f>IF(AND('Mapa final'!$AH$28="Muy Baja",'Mapa final'!$AJ$28="Mayor"),CONCATENATE("R2C",'Mapa final'!$R$28),"")</f>
        <v/>
      </c>
      <c r="AF54" s="39" t="str">
        <f>IF(AND('Mapa final'!$AH$29="Muy Baja",'Mapa final'!$AJ$29="Mayor"),CONCATENATE("R2C",'Mapa final'!$R$29),"")</f>
        <v/>
      </c>
      <c r="AG54" s="39" t="str">
        <f>IF(AND('Mapa final'!$AH$30="Muy Baja",'Mapa final'!$AJ$30="Mayor"),CONCATENATE("R2C",'Mapa final'!$R$30),"")</f>
        <v/>
      </c>
      <c r="AH54" s="40" t="str">
        <f>IF(AND('Mapa final'!$AH$31="Muy Baja",'Mapa final'!$AJ$31="Mayor"),CONCATENATE("R2C",'Mapa final'!$R$31),"")</f>
        <v/>
      </c>
      <c r="AI54" s="41" t="str">
        <f>IF(AND('Mapa final'!$AH$26="Muy Baja",'Mapa final'!$AJ$26="Catastrófico"),CONCATENATE("R2C",'Mapa final'!$R$26),"")</f>
        <v/>
      </c>
      <c r="AJ54" s="42" t="str">
        <f>IF(AND('Mapa final'!$AH$27="Muy Baja",'Mapa final'!$AJ$27="Catastrófico"),CONCATENATE("R2C",'Mapa final'!$R$27),"")</f>
        <v/>
      </c>
      <c r="AK54" s="42" t="str">
        <f>IF(AND('Mapa final'!$AH$28="Muy Baja",'Mapa final'!$AJ$28="Catastrófico"),CONCATENATE("R2C",'Mapa final'!$R$28),"")</f>
        <v/>
      </c>
      <c r="AL54" s="42" t="str">
        <f>IF(AND('Mapa final'!$AH$29="Muy Baja",'Mapa final'!$AJ$29="Catastrófico"),CONCATENATE("R2C",'Mapa final'!$R$29),"")</f>
        <v/>
      </c>
      <c r="AM54" s="42" t="str">
        <f>IF(AND('Mapa final'!$AH$30="Muy Baja",'Mapa final'!$AJ$30="Catastrófico"),CONCATENATE("R2C",'Mapa final'!$R$30),"")</f>
        <v/>
      </c>
      <c r="AN54" s="43" t="str">
        <f>IF(AND('Mapa final'!$AH$31="Muy Baja",'Mapa final'!$AJ$31="Catastrófico"),CONCATENATE("R2C",'Mapa final'!$R$31),"")</f>
        <v/>
      </c>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221"/>
      <c r="BM54" s="221"/>
      <c r="BN54" s="221"/>
      <c r="BO54" s="221"/>
      <c r="BP54" s="221"/>
      <c r="BQ54" s="221"/>
      <c r="BR54" s="68"/>
      <c r="BS54" s="68"/>
      <c r="BT54" s="68"/>
      <c r="BU54" s="68"/>
      <c r="BV54" s="68"/>
      <c r="BW54" s="68"/>
      <c r="BX54" s="68"/>
      <c r="BY54" s="68"/>
      <c r="BZ54" s="68"/>
      <c r="CA54" s="68"/>
      <c r="CB54" s="68"/>
      <c r="CC54" s="68"/>
    </row>
    <row r="55" spans="2:81" ht="81.95" customHeight="1">
      <c r="B55" s="68"/>
      <c r="C55" s="461"/>
      <c r="D55" s="461"/>
      <c r="E55" s="462"/>
      <c r="F55" s="504"/>
      <c r="G55" s="505"/>
      <c r="H55" s="505"/>
      <c r="I55" s="505"/>
      <c r="J55" s="506"/>
      <c r="K55" s="62" t="str">
        <f>IF(AND('Mapa final'!$AH$32="Muy Baja",'Mapa final'!$AJ$32="Leve"),CONCATENATE("R2C",'Mapa final'!$R$32),"")</f>
        <v/>
      </c>
      <c r="L55" s="63" t="str">
        <f>IF(AND('Mapa final'!$AH$33="Muy Baja",'Mapa final'!$AJ$33="Leve"),CONCATENATE("R2C",'Mapa final'!$R$33),"")</f>
        <v/>
      </c>
      <c r="M55" s="63" t="str">
        <f>IF(AND('Mapa final'!$AH$34="Muy Baja",'Mapa final'!$AJ$34="Leve"),CONCATENATE("R2C",'Mapa final'!$R$34),"")</f>
        <v/>
      </c>
      <c r="N55" s="54" t="e">
        <f>IF(AND('Mapa final'!#REF!="Alta",'Mapa final'!#REF!="Leve"),CONCATENATE("R2C",'Mapa final'!#REF!),"")</f>
        <v>#REF!</v>
      </c>
      <c r="O55" s="63" t="str">
        <f>IF(AND('Mapa final'!$AH$36="Muy Baja",'Mapa final'!$AJ$36="Leve"),CONCATENATE("R2C",'Mapa final'!$R$36),"")</f>
        <v/>
      </c>
      <c r="P55" s="64" t="str">
        <f>IF(AND('Mapa final'!$AH$37="Muy Baja",'Mapa final'!$AJ$37="Leve"),CONCATENATE("R2C",'Mapa final'!$R$37),"")</f>
        <v/>
      </c>
      <c r="Q55" s="62" t="str">
        <f>IF(AND('Mapa final'!$AH$32="Muy Baja",'Mapa final'!$AJ$32="Menor"),CONCATENATE("R2C",'Mapa final'!$R$32),"")</f>
        <v/>
      </c>
      <c r="R55" s="63" t="str">
        <f>IF(AND('Mapa final'!$AH$33="Muy Baja",'Mapa final'!$AJ$33="Menor"),CONCATENATE("R2C",'Mapa final'!$R$33),"")</f>
        <v/>
      </c>
      <c r="S55" s="63" t="str">
        <f>IF(AND('Mapa final'!$AH$34="Muy Baja",'Mapa final'!$AJ$34="Menor"),CONCATENATE("R2C",'Mapa final'!$R$34),"")</f>
        <v/>
      </c>
      <c r="T55" s="63" t="str">
        <f>IF(AND('Mapa final'!$AH$35="Muy Baja",'Mapa final'!$AJ$35="Menor"),CONCATENATE("R2C",'Mapa final'!$R$35),"")</f>
        <v/>
      </c>
      <c r="U55" s="63" t="str">
        <f>IF(AND('Mapa final'!$AH$36="Muy Baja",'Mapa final'!$AJ$36="LMenor"),CONCATENATE("R2C",'Mapa final'!$R$36),"")</f>
        <v/>
      </c>
      <c r="V55" s="64" t="str">
        <f>IF(AND('Mapa final'!$AH$37="Muy Baja",'Mapa final'!$AJ$37="Menor"),CONCATENATE("R2C",'Mapa final'!$R$37),"")</f>
        <v/>
      </c>
      <c r="W55" s="53" t="str">
        <f>IF(AND('Mapa final'!$AH$32="Muy Baja",'Mapa final'!$AJ$32="Moderado"),CONCATENATE("R2C",'Mapa final'!$R$32),"")</f>
        <v/>
      </c>
      <c r="X55" s="54" t="str">
        <f>IF(AND('Mapa final'!$AH$33="Muy Baja",'Mapa final'!$AJ$33="Moderado"),CONCATENATE("R2C",'Mapa final'!$R$33),"")</f>
        <v/>
      </c>
      <c r="Y55" s="54" t="str">
        <f>IF(AND('Mapa final'!$AH$34="Muy Baja",'Mapa final'!$AJ$34="Moderado"),CONCATENATE("R2C",'Mapa final'!$R$34),"")</f>
        <v/>
      </c>
      <c r="Z55" s="54" t="str">
        <f>IF(AND('Mapa final'!$AH$35="Muy Baja",'Mapa final'!$AJ$35="Moderado"),CONCATENATE("R2C",'Mapa final'!$R$35),"")</f>
        <v/>
      </c>
      <c r="AA55" s="54" t="str">
        <f>IF(AND('Mapa final'!$AH$36="Muy Baja",'Mapa final'!$AJ$36="Moderado"),CONCATENATE("R2C",'Mapa final'!$R$36),"")</f>
        <v/>
      </c>
      <c r="AB55" s="55" t="str">
        <f>IF(AND('Mapa final'!$AH$37="Muy Baja",'Mapa final'!$AJ$37="Moderado"),CONCATENATE("R2C",'Mapa final'!$R$37),"")</f>
        <v/>
      </c>
      <c r="AC55" s="38" t="str">
        <f>IF(AND('Mapa final'!$AH$32="Muy Baja",'Mapa final'!$AJ$32="Mayor"),CONCATENATE("R2C",'Mapa final'!$R$32),"")</f>
        <v/>
      </c>
      <c r="AD55" s="39" t="str">
        <f>IF(AND('Mapa final'!$AH$33="Muy Baja",'Mapa final'!$AJ$33="Mayor"),CONCATENATE("R2C",'Mapa final'!$R$33),"")</f>
        <v/>
      </c>
      <c r="AE55" s="39" t="str">
        <f>IF(AND('Mapa final'!$AH$34="Muy Baja",'Mapa final'!$AJ$34="Mayor"),CONCATENATE("R2C",'Mapa final'!$R$34),"")</f>
        <v/>
      </c>
      <c r="AF55" s="39" t="str">
        <f>IF(AND('Mapa final'!$AH$35="Muy Baja",'Mapa final'!$AJ$35="Mayor"),CONCATENATE("R2C",'Mapa final'!$R$35),"")</f>
        <v/>
      </c>
      <c r="AG55" s="39" t="str">
        <f>IF(AND('Mapa final'!$AH$36="Muy Baja",'Mapa final'!$AJ$36="Mayor"),CONCATENATE("R2C",'Mapa final'!$R$36),"")</f>
        <v/>
      </c>
      <c r="AH55" s="40" t="str">
        <f>IF(AND('Mapa final'!$AH$37="Muy Baja",'Mapa final'!$AJ$37="Mayor"),CONCATENATE("R2C",'Mapa final'!$R$37),"")</f>
        <v/>
      </c>
      <c r="AI55" s="41" t="str">
        <f>IF(AND('Mapa final'!$AH$32="Muy Baja",'Mapa final'!$AJ$32="Catastrófico"),CONCATENATE("R2C",'Mapa final'!$R$32),"")</f>
        <v/>
      </c>
      <c r="AJ55" s="42" t="str">
        <f>IF(AND('Mapa final'!$AH$33="Muy Baja",'Mapa final'!$AJ$33="Catastrófico"),CONCATENATE("R2C",'Mapa final'!$R$33),"")</f>
        <v/>
      </c>
      <c r="AK55" s="42" t="str">
        <f>IF(AND('Mapa final'!$AH$34="Muy Baja",'Mapa final'!$AJ$34="Catastrófico"),CONCATENATE("R2C",'Mapa final'!$R$34),"")</f>
        <v/>
      </c>
      <c r="AL55" s="42" t="str">
        <f>IF(AND('Mapa final'!$AH$35="Muy Baja",'Mapa final'!$AJ$35="Catastrófico"),CONCATENATE("R2C",'Mapa final'!$R$35),"")</f>
        <v/>
      </c>
      <c r="AM55" s="42" t="str">
        <f>IF(AND('Mapa final'!$AH$36="Muy Baja",'Mapa final'!$AJ$36="LCatastrófico"),CONCATENATE("R2C",'Mapa final'!$R$36),"")</f>
        <v/>
      </c>
      <c r="AN55" s="43" t="str">
        <f>IF(AND('Mapa final'!$AH$37="Muy Baja",'Mapa final'!$AJ$37="Catastrófico"),CONCATENATE("R2C",'Mapa final'!$R$37),"")</f>
        <v/>
      </c>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221"/>
      <c r="BM55" s="221"/>
      <c r="BN55" s="221"/>
      <c r="BO55" s="221"/>
      <c r="BP55" s="221"/>
      <c r="BQ55" s="221"/>
      <c r="BR55" s="68"/>
      <c r="BS55" s="68"/>
      <c r="BT55" s="68"/>
      <c r="BU55" s="68"/>
      <c r="BV55" s="68"/>
      <c r="BW55" s="68"/>
      <c r="BX55" s="68"/>
      <c r="BY55" s="68"/>
      <c r="BZ55" s="68"/>
      <c r="CA55" s="68"/>
      <c r="CB55" s="68"/>
      <c r="CC55" s="68"/>
    </row>
    <row r="56" spans="2:81" ht="81.95" customHeight="1">
      <c r="B56" s="68"/>
      <c r="C56" s="461"/>
      <c r="D56" s="461"/>
      <c r="E56" s="462"/>
      <c r="F56" s="504"/>
      <c r="G56" s="505"/>
      <c r="H56" s="505"/>
      <c r="I56" s="505"/>
      <c r="J56" s="506"/>
      <c r="K56" s="62" t="str">
        <f>IF(AND('Mapa final'!$AH$38="Muy Baja",'Mapa final'!$AJ$38="Leve"),CONCATENATE("R2C",'Mapa final'!$R$38),"")</f>
        <v/>
      </c>
      <c r="L56" s="63" t="str">
        <f>IF(AND('Mapa final'!$AH$39="Muy Baja",'Mapa final'!$AJ$39="Leve"),CONCATENATE("R2C",'Mapa final'!$R$39),"")</f>
        <v/>
      </c>
      <c r="M56" s="63" t="str">
        <f>IF(AND('Mapa final'!$AH$40="Muy Baja",'Mapa final'!$AJ$40="Leve"),CONCATENATE("R2C",'Mapa final'!$R$40),"")</f>
        <v/>
      </c>
      <c r="N56" s="54" t="e">
        <f>IF(AND('Mapa final'!#REF!="Alta",'Mapa final'!#REF!="Leve"),CONCATENATE("R2C",'Mapa final'!#REF!),"")</f>
        <v>#REF!</v>
      </c>
      <c r="O56" s="63" t="str">
        <f>IF(AND('Mapa final'!$AH$42="Muy Baja",'Mapa final'!$AJ$42="Leve"),CONCATENATE("R2C",'Mapa final'!$R$42),"")</f>
        <v/>
      </c>
      <c r="P56" s="64" t="str">
        <f>IF(AND('Mapa final'!$AH$43="Muy Baja",'Mapa final'!$AJ$43="Leve"),CONCATENATE("R2C",'Mapa final'!$R$43),"")</f>
        <v/>
      </c>
      <c r="Q56" s="62" t="str">
        <f>IF(AND('Mapa final'!$AH$38="Muy Baja",'Mapa final'!$AJ$38="Menor"),CONCATENATE("R2C",'Mapa final'!$R$38),"")</f>
        <v/>
      </c>
      <c r="R56" s="63" t="str">
        <f>IF(AND('Mapa final'!$AH$39="Muy Baja",'Mapa final'!$AJ$39="Menor"),CONCATENATE("R2C",'Mapa final'!$R$39),"")</f>
        <v/>
      </c>
      <c r="S56" s="63" t="str">
        <f>IF(AND('Mapa final'!$AH$40="Muy Baja",'Mapa final'!$AJ$40="Menor"),CONCATENATE("R2C",'Mapa final'!$R$40),"")</f>
        <v/>
      </c>
      <c r="T56" s="63" t="str">
        <f>IF(AND('Mapa final'!$AH$41="Muy Baja",'Mapa final'!$AJ$41="Menor"),CONCATENATE("R2C",'Mapa final'!$R$41),"")</f>
        <v/>
      </c>
      <c r="U56" s="63" t="str">
        <f>IF(AND('Mapa final'!$AH$42="Muy Baja",'Mapa final'!$AJ$42="Menor"),CONCATENATE("R2C",'Mapa final'!$R$42),"")</f>
        <v/>
      </c>
      <c r="V56" s="64" t="str">
        <f>IF(AND('Mapa final'!$AH$43="Muy Baja",'Mapa final'!$AJ$43="Menor"),CONCATENATE("R2C",'Mapa final'!$R$43),"")</f>
        <v/>
      </c>
      <c r="W56" s="53" t="str">
        <f>IF(AND('Mapa final'!$AH$38="Muy Baja",'Mapa final'!$AJ$38="Moderado"),CONCATENATE("R2C",'Mapa final'!$R$38),"")</f>
        <v/>
      </c>
      <c r="X56" s="54" t="str">
        <f>IF(AND('Mapa final'!$AH$39="Muy Baja",'Mapa final'!$AJ$39="Moderado"),CONCATENATE("R2C",'Mapa final'!$R$39),"")</f>
        <v/>
      </c>
      <c r="Y56" s="54" t="str">
        <f>IF(AND('Mapa final'!$AH$40="Muy Baja",'Mapa final'!$AJ$40="Moderado"),CONCATENATE("R2C",'Mapa final'!$R$40),"")</f>
        <v/>
      </c>
      <c r="Z56" s="54" t="str">
        <f>IF(AND('Mapa final'!$AH$41="Muy Baja",'Mapa final'!$AJ$41="Moderado"),CONCATENATE("R2C",'Mapa final'!$R$41),"")</f>
        <v/>
      </c>
      <c r="AA56" s="54" t="str">
        <f>IF(AND('Mapa final'!$AH$42="Muy Baja",'Mapa final'!$AJ$42="Moderado"),CONCATENATE("R2C",'Mapa final'!$R$42),"")</f>
        <v/>
      </c>
      <c r="AB56" s="55" t="str">
        <f>IF(AND('Mapa final'!$AH$43="Muy Baja",'Mapa final'!$AJ$43="Moderado"),CONCATENATE("R2C",'Mapa final'!$R$43),"")</f>
        <v/>
      </c>
      <c r="AC56" s="38" t="str">
        <f>IF(AND('Mapa final'!$AH$38="Muy Baja",'Mapa final'!$AJ$38="Mayor"),CONCATENATE("R2C",'Mapa final'!$R$38),"")</f>
        <v/>
      </c>
      <c r="AD56" s="39" t="str">
        <f>IF(AND('Mapa final'!$AH$39="Muy Baja",'Mapa final'!$AJ$39="Mayor"),CONCATENATE("R2C",'Mapa final'!$R$39),"")</f>
        <v/>
      </c>
      <c r="AE56" s="39" t="str">
        <f>IF(AND('Mapa final'!$AH$40="Muy Baja",'Mapa final'!$AJ$40="Mayor"),CONCATENATE("R2C",'Mapa final'!$R$40),"")</f>
        <v/>
      </c>
      <c r="AF56" s="39" t="str">
        <f>IF(AND('Mapa final'!$AH$41="Muy Baja",'Mapa final'!$AJ$41="Mayor"),CONCATENATE("R2C",'Mapa final'!$R$41),"")</f>
        <v/>
      </c>
      <c r="AG56" s="39" t="str">
        <f>IF(AND('Mapa final'!$AH$42="Muy Baja",'Mapa final'!$AJ$42="Mayor"),CONCATENATE("R2C",'Mapa final'!$R$42),"")</f>
        <v/>
      </c>
      <c r="AH56" s="40" t="str">
        <f>IF(AND('Mapa final'!$AH$43="Muy Baja",'Mapa final'!$AJ$43="Mayor"),CONCATENATE("R2C",'Mapa final'!$R$43),"")</f>
        <v/>
      </c>
      <c r="AI56" s="41" t="str">
        <f>IF(AND('Mapa final'!$AH$38="Muy Baja",'Mapa final'!$AJ$38="Catastrófico"),CONCATENATE("R2C",'Mapa final'!$R$38),"")</f>
        <v/>
      </c>
      <c r="AJ56" s="42" t="str">
        <f>IF(AND('Mapa final'!$AH$39="Muy Baja",'Mapa final'!$AJ$39="Catastrófico"),CONCATENATE("R2C",'Mapa final'!$R$39),"")</f>
        <v/>
      </c>
      <c r="AK56" s="42" t="str">
        <f>IF(AND('Mapa final'!$AH$40="Muy Baja",'Mapa final'!$AJ$40="Catastrófico"),CONCATENATE("R2C",'Mapa final'!$R$40),"")</f>
        <v/>
      </c>
      <c r="AL56" s="42" t="str">
        <f>IF(AND('Mapa final'!$AH$41="Muy Baja",'Mapa final'!$AJ$41="Catastrófico"),CONCATENATE("R2C",'Mapa final'!$R$41),"")</f>
        <v/>
      </c>
      <c r="AM56" s="42" t="str">
        <f>IF(AND('Mapa final'!$AH$42="Muy Baja",'Mapa final'!$AJ$42="Catastrófico"),CONCATENATE("R2C",'Mapa final'!$R$42),"")</f>
        <v/>
      </c>
      <c r="AN56" s="43" t="str">
        <f>IF(AND('Mapa final'!$AH$43="Muy Baja",'Mapa final'!$AJ$43="Catastrófico"),CONCATENATE("R2C",'Mapa final'!$R$43),"")</f>
        <v/>
      </c>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221"/>
      <c r="BM56" s="221"/>
      <c r="BN56" s="221"/>
      <c r="BO56" s="221"/>
      <c r="BP56" s="221"/>
      <c r="BQ56" s="221"/>
      <c r="BR56" s="68"/>
      <c r="BS56" s="68"/>
      <c r="BT56" s="68"/>
      <c r="BU56" s="68"/>
      <c r="BV56" s="68"/>
      <c r="BW56" s="68"/>
      <c r="BX56" s="68"/>
      <c r="BY56" s="68"/>
      <c r="BZ56" s="68"/>
      <c r="CA56" s="68"/>
      <c r="CB56" s="68"/>
      <c r="CC56" s="68"/>
    </row>
    <row r="57" spans="2:81" ht="81.95" customHeight="1">
      <c r="B57" s="68"/>
      <c r="C57" s="461"/>
      <c r="D57" s="461"/>
      <c r="E57" s="462"/>
      <c r="F57" s="504"/>
      <c r="G57" s="505"/>
      <c r="H57" s="505"/>
      <c r="I57" s="505"/>
      <c r="J57" s="506"/>
      <c r="K57" s="62" t="str">
        <f>IF(AND('Mapa final'!$AH$44="Muy Baja",'Mapa final'!$AJ$44="Leve"),CONCATENATE("R2C",'Mapa final'!$R$44),"")</f>
        <v/>
      </c>
      <c r="L57" s="63" t="str">
        <f>IF(AND('Mapa final'!$AH$45="Muy Baja",'Mapa final'!$AJ$45="Leve"),CONCATENATE("R2C",'Mapa final'!$R$45),"")</f>
        <v/>
      </c>
      <c r="M57" s="63" t="str">
        <f>IF(AND('Mapa final'!$AH$46="Muy Baja",'Mapa final'!$AJ$46="Leve"),CONCATENATE("R2C",'Mapa final'!$R$46),"")</f>
        <v/>
      </c>
      <c r="N57" s="54" t="e">
        <f>IF(AND('Mapa final'!#REF!="Alta",'Mapa final'!#REF!="Leve"),CONCATENATE("R2C",'Mapa final'!#REF!),"")</f>
        <v>#REF!</v>
      </c>
      <c r="O57" s="63" t="str">
        <f>IF(AND('Mapa final'!$AH$48="Muy Baja",'Mapa final'!$AJ$48="Leve"),CONCATENATE("R2C",'Mapa final'!$R$48),"")</f>
        <v/>
      </c>
      <c r="P57" s="64" t="str">
        <f>IF(AND('Mapa final'!$AH$59="Muy Baja",'Mapa final'!$AJ$49="Leve"),CONCATENATE("R2C",'Mapa final'!$R$49),"")</f>
        <v/>
      </c>
      <c r="Q57" s="62" t="str">
        <f>IF(AND('Mapa final'!$AH$44="Muy Baja",'Mapa final'!$AJ$44="Menor"),CONCATENATE("R2C",'Mapa final'!$R$44),"")</f>
        <v/>
      </c>
      <c r="R57" s="63" t="str">
        <f>IF(AND('Mapa final'!$AH$45="Muy Baja",'Mapa final'!$AJ$45="Menor"),CONCATENATE("R2C",'Mapa final'!$R$45),"")</f>
        <v/>
      </c>
      <c r="S57" s="63" t="str">
        <f>IF(AND('Mapa final'!$AH$46="Muy Baja",'Mapa final'!$AJ$46="Menor"),CONCATENATE("R2C",'Mapa final'!$R$46),"")</f>
        <v/>
      </c>
      <c r="T57" s="63" t="str">
        <f>IF(AND('Mapa final'!$AH$47="Muy Baja",'Mapa final'!$AJ$47="Menor"),CONCATENATE("R2C",'Mapa final'!$R$47),"")</f>
        <v/>
      </c>
      <c r="U57" s="63" t="str">
        <f>IF(AND('Mapa final'!$AH$48="Muy Baja",'Mapa final'!$AJ$48="Menor"),CONCATENATE("R2C",'Mapa final'!$R$48),"")</f>
        <v/>
      </c>
      <c r="V57" s="64" t="str">
        <f>IF(AND('Mapa final'!$AH$59="Muy Baja",'Mapa final'!$AJ$49="Menor"),CONCATENATE("R2C",'Mapa final'!$R$49),"")</f>
        <v/>
      </c>
      <c r="W57" s="53" t="str">
        <f>IF(AND('Mapa final'!$AH$44="Muy Baja",'Mapa final'!$AJ$44="Moderado"),CONCATENATE("R2C",'Mapa final'!$R$44),"")</f>
        <v/>
      </c>
      <c r="X57" s="54" t="str">
        <f>IF(AND('Mapa final'!$AH$45="Muy Baja",'Mapa final'!$AJ$45="Moderado"),CONCATENATE("R2C",'Mapa final'!$R$45),"")</f>
        <v/>
      </c>
      <c r="Y57" s="54" t="str">
        <f>IF(AND('Mapa final'!$AH$46="Muy Baja",'Mapa final'!$AJ$46="Moderado"),CONCATENATE("R2C",'Mapa final'!$R$46),"")</f>
        <v/>
      </c>
      <c r="Z57" s="54" t="str">
        <f>IF(AND('Mapa final'!$AH$47="Muy Baja",'Mapa final'!$AJ$47="Moderado"),CONCATENATE("R2C",'Mapa final'!$R$47),"")</f>
        <v/>
      </c>
      <c r="AA57" s="54" t="str">
        <f>IF(AND('Mapa final'!$AH$48="Muy Baja",'Mapa final'!$AJ$48="Moderado"),CONCATENATE("R2C",'Mapa final'!$R$48),"")</f>
        <v/>
      </c>
      <c r="AB57" s="55" t="str">
        <f>IF(AND('Mapa final'!$AH$59="Muy Baja",'Mapa final'!$AJ$49="Moderado"),CONCATENATE("R2C",'Mapa final'!$R$49),"")</f>
        <v/>
      </c>
      <c r="AC57" s="38" t="str">
        <f>IF(AND('Mapa final'!$AH$44="Muy Baja",'Mapa final'!$AJ$44="Mayor"),CONCATENATE("R2C",'Mapa final'!$R$44),"")</f>
        <v/>
      </c>
      <c r="AD57" s="39" t="str">
        <f>IF(AND('Mapa final'!$AH$45="Muy Baja",'Mapa final'!$AJ$45="Mayor"),CONCATENATE("R2C",'Mapa final'!$R$45),"")</f>
        <v/>
      </c>
      <c r="AE57" s="39" t="str">
        <f>IF(AND('Mapa final'!$AH$46="Muy Baja",'Mapa final'!$AJ$46="Mayor"),CONCATENATE("R2C",'Mapa final'!$R$46),"")</f>
        <v/>
      </c>
      <c r="AF57" s="39" t="str">
        <f>IF(AND('Mapa final'!$AH$47="Muy Baja",'Mapa final'!$AJ$47="Mayor"),CONCATENATE("R2C",'Mapa final'!$R$47),"")</f>
        <v/>
      </c>
      <c r="AG57" s="39" t="str">
        <f>IF(AND('Mapa final'!$AH$48="Muy Baja",'Mapa final'!$AJ$48="Mayor"),CONCATENATE("R2C",'Mapa final'!$R$48),"")</f>
        <v/>
      </c>
      <c r="AH57" s="40" t="str">
        <f>IF(AND('Mapa final'!$AH$59="Muy Baja",'Mapa final'!$AJ$49="Mayor"),CONCATENATE("R2C",'Mapa final'!$R$49),"")</f>
        <v/>
      </c>
      <c r="AI57" s="41" t="str">
        <f>IF(AND('Mapa final'!$AH$44="Muy Baja",'Mapa final'!$AJ$44="Catastrófico"),CONCATENATE("R2C",'Mapa final'!$R$44),"")</f>
        <v/>
      </c>
      <c r="AJ57" s="42" t="str">
        <f>IF(AND('Mapa final'!$AH$45="Muy Baja",'Mapa final'!$AJ$45="Catastrófico"),CONCATENATE("R2C",'Mapa final'!$R$45),"")</f>
        <v/>
      </c>
      <c r="AK57" s="42" t="str">
        <f>IF(AND('Mapa final'!$AH$46="Muy Baja",'Mapa final'!$AJ$46="Catastrófico"),CONCATENATE("R2C",'Mapa final'!$R$46),"")</f>
        <v/>
      </c>
      <c r="AL57" s="42" t="str">
        <f>IF(AND('Mapa final'!$AH$47="Muy Baja",'Mapa final'!$AJ$47="Catastrófico"),CONCATENATE("R2C",'Mapa final'!$R$47),"")</f>
        <v/>
      </c>
      <c r="AM57" s="42" t="str">
        <f>IF(AND('Mapa final'!$AH$48="Muy Baja",'Mapa final'!$AJ$48="Catastrófico"),CONCATENATE("R2C",'Mapa final'!$R$48),"")</f>
        <v/>
      </c>
      <c r="AN57" s="43" t="str">
        <f>IF(AND('Mapa final'!$AH$59="Muy Baja",'Mapa final'!$AJ$49="Catastrófico"),CONCATENATE("R2C",'Mapa final'!$R$49),"")</f>
        <v/>
      </c>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221"/>
      <c r="BM57" s="221"/>
      <c r="BN57" s="221"/>
      <c r="BO57" s="221"/>
      <c r="BP57" s="221"/>
      <c r="BQ57" s="221"/>
      <c r="BR57" s="68"/>
      <c r="BS57" s="68"/>
      <c r="BT57" s="68"/>
      <c r="BU57" s="68"/>
      <c r="BV57" s="68"/>
      <c r="BW57" s="68"/>
      <c r="BX57" s="68"/>
      <c r="BY57" s="68"/>
      <c r="BZ57" s="68"/>
      <c r="CA57" s="68"/>
      <c r="CB57" s="68"/>
      <c r="CC57" s="68"/>
    </row>
    <row r="58" spans="2:81" ht="57" customHeight="1">
      <c r="B58" s="68"/>
      <c r="C58" s="461"/>
      <c r="D58" s="461"/>
      <c r="E58" s="462"/>
      <c r="F58" s="504"/>
      <c r="G58" s="505"/>
      <c r="H58" s="505"/>
      <c r="I58" s="505"/>
      <c r="J58" s="506"/>
      <c r="K58" s="62" t="str">
        <f>IF(AND('Mapa final'!$AH$50="Muy Baja",'Mapa final'!$AJ$50="Leve"),CONCATENATE("R2C",'Mapa final'!$R$50),"")</f>
        <v/>
      </c>
      <c r="L58" s="63" t="str">
        <f>IF(AND('Mapa final'!$AH$51="Muy Baja",'Mapa final'!$AJ$51="Leve"),CONCATENATE("R2C",'Mapa final'!$R$51),"")</f>
        <v/>
      </c>
      <c r="M58" s="63" t="str">
        <f>IF(AND('Mapa final'!$AH$52="Muy Baja",'Mapa final'!$AJ$52="Leve"),CONCATENATE("R2C",'Mapa final'!$R$52),"")</f>
        <v/>
      </c>
      <c r="N58" s="54" t="e">
        <f>IF(AND('Mapa final'!#REF!="Alta",'Mapa final'!#REF!="Leve"),CONCATENATE("R2C",'Mapa final'!#REF!),"")</f>
        <v>#REF!</v>
      </c>
      <c r="O58" s="63" t="str">
        <f>IF(AND('Mapa final'!$AH$54="Muy Baja",'Mapa final'!$AJ$54="Leve"),CONCATENATE("R2C",'Mapa final'!$R$54),"")</f>
        <v/>
      </c>
      <c r="P58" s="64" t="str">
        <f>IF(AND('Mapa final'!$AH$55="Muy Baja",'Mapa final'!$AJ$55="Leve"),CONCATENATE("R2C",'Mapa final'!$R$55),"")</f>
        <v/>
      </c>
      <c r="Q58" s="62" t="str">
        <f>IF(AND('Mapa final'!$AH$50="Muy Baja",'Mapa final'!$AJ$50="Menor"),CONCATENATE("R2C",'Mapa final'!$R$50),"")</f>
        <v/>
      </c>
      <c r="R58" s="63" t="str">
        <f>IF(AND('Mapa final'!$AH$51="Muy Baja",'Mapa final'!$AJ$51="Menor"),CONCATENATE("R2C",'Mapa final'!$R$51),"")</f>
        <v/>
      </c>
      <c r="S58" s="63" t="str">
        <f>IF(AND('Mapa final'!$AH$52="Muy Baja",'Mapa final'!$AJ$52="Menor"),CONCATENATE("R2C",'Mapa final'!$R$52),"")</f>
        <v/>
      </c>
      <c r="T58" s="63" t="str">
        <f>IF(AND('Mapa final'!$AH$53="Muy Baja",'Mapa final'!$AJ$53="Menor"),CONCATENATE("R2C",'Mapa final'!$R$53),"")</f>
        <v/>
      </c>
      <c r="U58" s="63" t="str">
        <f>IF(AND('Mapa final'!$AH$54="Muy Baja",'Mapa final'!$AJ$54="Menor"),CONCATENATE("R2C",'Mapa final'!$R$54),"")</f>
        <v/>
      </c>
      <c r="V58" s="64" t="str">
        <f>IF(AND('Mapa final'!$AH$55="Muy Baja",'Mapa final'!$AJ$55="Menor"),CONCATENATE("R2C",'Mapa final'!$R$55),"")</f>
        <v/>
      </c>
      <c r="W58" s="53" t="str">
        <f>IF(AND('Mapa final'!$AH$50="Muy Baja",'Mapa final'!$AJ$50="Moderado"),CONCATENATE("R2C",'Mapa final'!$R$50),"")</f>
        <v/>
      </c>
      <c r="X58" s="54" t="str">
        <f>IF(AND('Mapa final'!$AH$51="Muy Baja",'Mapa final'!$AJ$51="Moderado"),CONCATENATE("R2C",'Mapa final'!$R$51),"")</f>
        <v/>
      </c>
      <c r="Y58" s="54" t="str">
        <f>IF(AND('Mapa final'!$AH$52="Muy Baja",'Mapa final'!$AJ$52="Moderado"),CONCATENATE("R2C",'Mapa final'!$R$52),"")</f>
        <v/>
      </c>
      <c r="Z58" s="54" t="str">
        <f>IF(AND('Mapa final'!$AH$53="Muy Baja",'Mapa final'!$AJ$53="Moderado"),CONCATENATE("R2C",'Mapa final'!$R$53),"")</f>
        <v/>
      </c>
      <c r="AA58" s="54" t="str">
        <f>IF(AND('Mapa final'!$AH$54="Muy Baja",'Mapa final'!$AJ$54="Moderado"),CONCATENATE("R2C",'Mapa final'!$R$54),"")</f>
        <v/>
      </c>
      <c r="AB58" s="55" t="str">
        <f>IF(AND('Mapa final'!$AH$55="Muy Baja",'Mapa final'!$AJ$55="Moderado"),CONCATENATE("R2C",'Mapa final'!$R$55),"")</f>
        <v/>
      </c>
      <c r="AC58" s="38" t="str">
        <f>IF(AND('Mapa final'!$AH$50="Muy Baja",'Mapa final'!$AJ$50="Mayor"),CONCATENATE("R2C",'Mapa final'!$R$50),"")</f>
        <v/>
      </c>
      <c r="AD58" s="39" t="str">
        <f>IF(AND('Mapa final'!$AH$51="Muy Baja",'Mapa final'!$AJ$51="Mayor"),CONCATENATE("R2C",'Mapa final'!$R$51),"")</f>
        <v/>
      </c>
      <c r="AE58" s="39" t="str">
        <f>IF(AND('Mapa final'!$AH$52="Muy Baja",'Mapa final'!$AJ$52="Mayor"),CONCATENATE("R2C",'Mapa final'!$R$52),"")</f>
        <v/>
      </c>
      <c r="AF58" s="39" t="str">
        <f>IF(AND('Mapa final'!$AH$53="Muy Baja",'Mapa final'!$AJ$53="Mayor"),CONCATENATE("R2C",'Mapa final'!$R$53),"")</f>
        <v/>
      </c>
      <c r="AG58" s="39" t="str">
        <f>IF(AND('Mapa final'!$AH$54="Muy Baja",'Mapa final'!$AJ$54="Mayor"),CONCATENATE("R2C",'Mapa final'!$R$54),"")</f>
        <v/>
      </c>
      <c r="AH58" s="40" t="str">
        <f>IF(AND('Mapa final'!$AH$55="Muy Baja",'Mapa final'!$AJ$55="Mayor"),CONCATENATE("R2C",'Mapa final'!$R$55),"")</f>
        <v/>
      </c>
      <c r="AI58" s="41" t="str">
        <f>IF(AND('Mapa final'!$AH$50="Muy Baja",'Mapa final'!$AJ$50="Catastrófico"),CONCATENATE("R2C",'Mapa final'!$R$50),"")</f>
        <v/>
      </c>
      <c r="AJ58" s="42" t="str">
        <f>IF(AND('Mapa final'!$AH$51="Muy Baja",'Mapa final'!$AJ$51="Catastrófico"),CONCATENATE("R2C",'Mapa final'!$R$51),"")</f>
        <v/>
      </c>
      <c r="AK58" s="42" t="str">
        <f>IF(AND('Mapa final'!$AH$52="Muy Baja",'Mapa final'!$AJ$52="Catastrófico"),CONCATENATE("R2C",'Mapa final'!$R$52),"")</f>
        <v/>
      </c>
      <c r="AL58" s="42" t="str">
        <f>IF(AND('Mapa final'!$AH$53="Muy Baja",'Mapa final'!$AJ$53="Catastrófico"),CONCATENATE("R2C",'Mapa final'!$R$53),"")</f>
        <v/>
      </c>
      <c r="AM58" s="42" t="str">
        <f>IF(AND('Mapa final'!$AH$54="Muy Baja",'Mapa final'!$AJ$54="Catastrófico"),CONCATENATE("R2C",'Mapa final'!$R$54),"")</f>
        <v/>
      </c>
      <c r="AN58" s="43" t="str">
        <f>IF(AND('Mapa final'!$AH$55="Muy Baja",'Mapa final'!$AJ$55="Catastrófico"),CONCATENATE("R2C",'Mapa final'!$R$55),"")</f>
        <v/>
      </c>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221"/>
      <c r="BM58" s="221"/>
      <c r="BN58" s="221"/>
      <c r="BO58" s="221"/>
      <c r="BP58" s="221"/>
      <c r="BQ58" s="221"/>
      <c r="BR58" s="68"/>
      <c r="BS58" s="68"/>
      <c r="BT58" s="68"/>
      <c r="BU58" s="68"/>
      <c r="BV58" s="68"/>
      <c r="BW58" s="68"/>
      <c r="BX58" s="68"/>
      <c r="BY58" s="68"/>
      <c r="BZ58" s="68"/>
      <c r="CA58" s="68"/>
      <c r="CB58" s="68"/>
      <c r="CC58" s="68"/>
    </row>
    <row r="59" spans="2:81" ht="15" customHeight="1">
      <c r="B59" s="68"/>
      <c r="C59" s="461"/>
      <c r="D59" s="461"/>
      <c r="E59" s="462"/>
      <c r="F59" s="504"/>
      <c r="G59" s="505"/>
      <c r="H59" s="505"/>
      <c r="I59" s="505"/>
      <c r="J59" s="506"/>
      <c r="K59" s="62" t="str">
        <f>IF(AND('Mapa final'!$AH$56="Muy Baja",'Mapa final'!$AJ$56="Leve"),CONCATENATE("R2C",'Mapa final'!$R$56),"")</f>
        <v/>
      </c>
      <c r="L59" s="63" t="str">
        <f>IF(AND('Mapa final'!$AH$57="Muy Baja",'Mapa final'!$AJ$57="Leve"),CONCATENATE("R2C",'Mapa final'!$R$57),"")</f>
        <v/>
      </c>
      <c r="M59" s="63" t="str">
        <f>IF(AND('Mapa final'!$AH$58="Muy Baja",'Mapa final'!$AJ$58="Leve"),CONCATENATE("R2C",'Mapa final'!$R$58),"")</f>
        <v/>
      </c>
      <c r="N59" s="54" t="e">
        <f>IF(AND('Mapa final'!#REF!="Alta",'Mapa final'!#REF!="Leve"),CONCATENATE("R2C",'Mapa final'!#REF!),"")</f>
        <v>#REF!</v>
      </c>
      <c r="O59" s="63" t="str">
        <f>IF(AND('Mapa final'!$AH$60="Muy Baja",'Mapa final'!$AJ$60="Leve"),CONCATENATE("R2C",'Mapa final'!$R$60),"")</f>
        <v/>
      </c>
      <c r="P59" s="64" t="str">
        <f>IF(AND('Mapa final'!$AH$61="Muy Baja",'Mapa final'!$AJ$61="Leve"),CONCATENATE("R2C",'Mapa final'!$R$61),"")</f>
        <v/>
      </c>
      <c r="Q59" s="62" t="str">
        <f>IF(AND('Mapa final'!$AH$56="Muy Baja",'Mapa final'!$AJ$56="Menor"),CONCATENATE("R2C",'Mapa final'!$R$56),"")</f>
        <v/>
      </c>
      <c r="R59" s="63" t="str">
        <f>IF(AND('Mapa final'!$AH$57="Muy Baja",'Mapa final'!$AJ$57="Menor"),CONCATENATE("R2C",'Mapa final'!$R$57),"")</f>
        <v/>
      </c>
      <c r="S59" s="63" t="str">
        <f>IF(AND('Mapa final'!$AH$58="Muy Baja",'Mapa final'!$AJ$58="Menor"),CONCATENATE("R2C",'Mapa final'!$R$58),"")</f>
        <v/>
      </c>
      <c r="T59" s="63" t="str">
        <f>IF(AND('Mapa final'!$AH$59="Muy Baja",'Mapa final'!$AJ$59="Menor"),CONCATENATE("R2C",'Mapa final'!$R$59),"")</f>
        <v/>
      </c>
      <c r="U59" s="63" t="str">
        <f>IF(AND('Mapa final'!$AH$60="Muy Baja",'Mapa final'!$AJ$60="Menor"),CONCATENATE("R2C",'Mapa final'!$R$60),"")</f>
        <v/>
      </c>
      <c r="V59" s="64" t="str">
        <f>IF(AND('Mapa final'!$AH$61="Muy Baja",'Mapa final'!$AJ$61="Menor"),CONCATENATE("R2C",'Mapa final'!$R$61),"")</f>
        <v/>
      </c>
      <c r="W59" s="53" t="str">
        <f>IF(AND('Mapa final'!$AH$56="Muy Baja",'Mapa final'!$AJ$56="Moderado"),CONCATENATE("R2C",'Mapa final'!$R$56),"")</f>
        <v/>
      </c>
      <c r="X59" s="54" t="str">
        <f>IF(AND('Mapa final'!$AH$57="Muy Baja",'Mapa final'!$AJ$57="Moderado"),CONCATENATE("R2C",'Mapa final'!$R$57),"")</f>
        <v/>
      </c>
      <c r="Y59" s="54" t="str">
        <f>IF(AND('Mapa final'!$AH$58="Muy Baja",'Mapa final'!$AJ$58="Moderado"),CONCATENATE("R2C",'Mapa final'!$R$58),"")</f>
        <v/>
      </c>
      <c r="Z59" s="54" t="str">
        <f>IF(AND('Mapa final'!$AH$59="Muy Baja",'Mapa final'!$AJ$59="Moderado"),CONCATENATE("R2C",'Mapa final'!$R$59),"")</f>
        <v/>
      </c>
      <c r="AA59" s="54" t="str">
        <f>IF(AND('Mapa final'!$AH$60="Muy Baja",'Mapa final'!$AJ$60="Moderado"),CONCATENATE("R2C",'Mapa final'!$R$60),"")</f>
        <v/>
      </c>
      <c r="AB59" s="55" t="str">
        <f>IF(AND('Mapa final'!$AH$61="Muy Baja",'Mapa final'!$AJ$61="Moderado"),CONCATENATE("R2C",'Mapa final'!$R$61),"")</f>
        <v/>
      </c>
      <c r="AC59" s="38" t="str">
        <f>IF(AND('Mapa final'!$AH$56="Muy Baja",'Mapa final'!$AJ$56="Mayor"),CONCATENATE("R2C",'Mapa final'!$R$56),"")</f>
        <v/>
      </c>
      <c r="AD59" s="39" t="str">
        <f>IF(AND('Mapa final'!$AH$57="Muy Baja",'Mapa final'!$AJ$57="Mayor"),CONCATENATE("R2C",'Mapa final'!$R$57),"")</f>
        <v/>
      </c>
      <c r="AE59" s="39" t="str">
        <f>IF(AND('Mapa final'!$AH$58="Muy Baja",'Mapa final'!$AJ$58="Mayor"),CONCATENATE("R2C",'Mapa final'!$R$58),"")</f>
        <v/>
      </c>
      <c r="AF59" s="39" t="str">
        <f>IF(AND('Mapa final'!$AH$59="Muy Baja",'Mapa final'!$AJ$59="Mayor"),CONCATENATE("R2C",'Mapa final'!$R$59),"")</f>
        <v/>
      </c>
      <c r="AG59" s="39" t="str">
        <f>IF(AND('Mapa final'!$AH$60="Muy Baja",'Mapa final'!$AJ$60="Mayor"),CONCATENATE("R2C",'Mapa final'!$R$60),"")</f>
        <v/>
      </c>
      <c r="AH59" s="40" t="str">
        <f>IF(AND('Mapa final'!$AH$61="Muy Baja",'Mapa final'!$AJ$61="Mayor"),CONCATENATE("R2C",'Mapa final'!$R$61),"")</f>
        <v/>
      </c>
      <c r="AI59" s="41" t="str">
        <f>IF(AND('Mapa final'!$AH$56="Muy Baja",'Mapa final'!$AJ$56="Catastrófico"),CONCATENATE("R2C",'Mapa final'!$R$56),"")</f>
        <v/>
      </c>
      <c r="AJ59" s="42" t="str">
        <f>IF(AND('Mapa final'!$AH$57="Muy Baja",'Mapa final'!$AJ$57="Catastrófico"),CONCATENATE("R2C",'Mapa final'!$R$57),"")</f>
        <v/>
      </c>
      <c r="AK59" s="42" t="str">
        <f>IF(AND('Mapa final'!$AH$58="Muy Baja",'Mapa final'!$AJ$58="Catastrófico"),CONCATENATE("R2C",'Mapa final'!$R$58),"")</f>
        <v/>
      </c>
      <c r="AL59" s="42" t="str">
        <f>IF(AND('Mapa final'!$AH$59="Muy Baja",'Mapa final'!$AJ$59="Catastrófico"),CONCATENATE("R2C",'Mapa final'!$R$59),"")</f>
        <v/>
      </c>
      <c r="AM59" s="42" t="str">
        <f>IF(AND('Mapa final'!$AH$60="Muy Baja",'Mapa final'!$AJ$60="Catastrófico"),CONCATENATE("R2C",'Mapa final'!$R$60),"")</f>
        <v/>
      </c>
      <c r="AN59" s="43" t="str">
        <f>IF(AND('Mapa final'!$AH$61="Muy Baja",'Mapa final'!$AJ$61="Catastrófico"),CONCATENATE("R2C",'Mapa final'!$R$61),"")</f>
        <v/>
      </c>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c r="CA59" s="68"/>
      <c r="CB59" s="68"/>
      <c r="CC59" s="68"/>
    </row>
    <row r="60" spans="2:81" ht="15" customHeight="1">
      <c r="B60" s="68"/>
      <c r="C60" s="461"/>
      <c r="D60" s="461"/>
      <c r="E60" s="462"/>
      <c r="F60" s="504"/>
      <c r="G60" s="505"/>
      <c r="H60" s="505"/>
      <c r="I60" s="505"/>
      <c r="J60" s="506"/>
      <c r="K60" s="62" t="str">
        <f>IF(AND('Mapa final'!$AH$62="Muy Baja",'Mapa final'!$AJ$62="Leve"),CONCATENATE("R2C",'Mapa final'!$R$62),"")</f>
        <v/>
      </c>
      <c r="L60" s="63" t="str">
        <f>IF(AND('Mapa final'!$AH$63="Muy Baja",'Mapa final'!$AJ$63="Leve"),CONCATENATE("R2C",'Mapa final'!$R$63),"")</f>
        <v/>
      </c>
      <c r="M60" s="63" t="str">
        <f>IF(AND('Mapa final'!$AH$64="Muy Baja",'Mapa final'!$AJ$64="Leve"),CONCATENATE("R2C",'Mapa final'!$R$64),"")</f>
        <v/>
      </c>
      <c r="N60" s="54" t="e">
        <f>IF(AND('Mapa final'!#REF!="Alta",'Mapa final'!#REF!="Leve"),CONCATENATE("R2C",'Mapa final'!#REF!),"")</f>
        <v>#REF!</v>
      </c>
      <c r="O60" s="63" t="str">
        <f>IF(AND('Mapa final'!$AH$66="Muy Baja",'Mapa final'!$AJ$66="Leve"),CONCATENATE("R2C",'Mapa final'!$R$66),"")</f>
        <v/>
      </c>
      <c r="P60" s="64" t="str">
        <f>IF(AND('Mapa final'!$AH$67="Muy Baja",'Mapa final'!$AJ$67="Leve"),CONCATENATE("R2C",'Mapa final'!$R$67),"")</f>
        <v/>
      </c>
      <c r="Q60" s="62" t="str">
        <f>IF(AND('Mapa final'!$AH$62="Muy Baja",'Mapa final'!$AJ$62="Menor"),CONCATENATE("R2C",'Mapa final'!$R$62),"")</f>
        <v/>
      </c>
      <c r="R60" s="63" t="str">
        <f>IF(AND('Mapa final'!$AH$63="Muy Baja",'Mapa final'!$AJ$63="Menor"),CONCATENATE("R2C",'Mapa final'!$R$63),"")</f>
        <v/>
      </c>
      <c r="S60" s="63" t="str">
        <f>IF(AND('Mapa final'!$AH$64="Muy Baja",'Mapa final'!$AJ$64="Menor"),CONCATENATE("R2C",'Mapa final'!$R$64),"")</f>
        <v/>
      </c>
      <c r="T60" s="63" t="str">
        <f>IF(AND('Mapa final'!$AH$65="Muy Baja",'Mapa final'!$AJ$65="Menor"),CONCATENATE("R2C",'Mapa final'!$R$65),"")</f>
        <v/>
      </c>
      <c r="U60" s="63" t="str">
        <f>IF(AND('Mapa final'!$AH$66="Muy Baja",'Mapa final'!$AJ$66="Menor"),CONCATENATE("R2C",'Mapa final'!$R$66),"")</f>
        <v/>
      </c>
      <c r="V60" s="64" t="str">
        <f>IF(AND('Mapa final'!$AH$67="Muy Baja",'Mapa final'!$AJ$67="Menor"),CONCATENATE("R2C",'Mapa final'!$R$67),"")</f>
        <v/>
      </c>
      <c r="W60" s="53" t="str">
        <f>IF(AND('Mapa final'!$AH$62="Muy Baja",'Mapa final'!$AJ$62="Moderado"),CONCATENATE("R2C",'Mapa final'!$R$62),"")</f>
        <v/>
      </c>
      <c r="X60" s="54" t="str">
        <f>IF(AND('Mapa final'!$AH$63="Muy Baja",'Mapa final'!$AJ$63="Moderado"),CONCATENATE("R2C",'Mapa final'!$R$63),"")</f>
        <v/>
      </c>
      <c r="Y60" s="54" t="str">
        <f>IF(AND('Mapa final'!$AH$64="Muy Baja",'Mapa final'!$AJ$64="Moderado"),CONCATENATE("R2C",'Mapa final'!$R$64),"")</f>
        <v/>
      </c>
      <c r="Z60" s="54" t="str">
        <f>IF(AND('Mapa final'!$AH$65="Muy Baja",'Mapa final'!$AJ$65="Moderado"),CONCATENATE("R2C",'Mapa final'!$R$65),"")</f>
        <v/>
      </c>
      <c r="AA60" s="54" t="str">
        <f>IF(AND('Mapa final'!$AH$66="Muy Baja",'Mapa final'!$AJ$66="Moderado"),CONCATENATE("R2C",'Mapa final'!$R$66),"")</f>
        <v/>
      </c>
      <c r="AB60" s="55" t="str">
        <f>IF(AND('Mapa final'!$AH$67="Muy Baja",'Mapa final'!$AJ$67="Moderado"),CONCATENATE("R2C",'Mapa final'!$R$67),"")</f>
        <v/>
      </c>
      <c r="AC60" s="38" t="str">
        <f>IF(AND('Mapa final'!$AH$62="Muy Baja",'Mapa final'!$AJ$62="Mayor"),CONCATENATE("R2C",'Mapa final'!$R$62),"")</f>
        <v/>
      </c>
      <c r="AD60" s="39" t="str">
        <f>IF(AND('Mapa final'!$AH$63="Muy Baja",'Mapa final'!$AJ$63="Mayor"),CONCATENATE("R2C",'Mapa final'!$R$63),"")</f>
        <v/>
      </c>
      <c r="AE60" s="39" t="str">
        <f>IF(AND('Mapa final'!$AH$64="Muy Baja",'Mapa final'!$AJ$64="Mayor"),CONCATENATE("R2C",'Mapa final'!$R$64),"")</f>
        <v/>
      </c>
      <c r="AF60" s="39" t="str">
        <f>IF(AND('Mapa final'!$AH$65="Muy Baja",'Mapa final'!$AJ$65="Mayor"),CONCATENATE("R2C",'Mapa final'!$R$65),"")</f>
        <v/>
      </c>
      <c r="AG60" s="39" t="str">
        <f>IF(AND('Mapa final'!$AH$66="Muy Baja",'Mapa final'!$AJ$66="Mayor"),CONCATENATE("R2C",'Mapa final'!$R$66),"")</f>
        <v/>
      </c>
      <c r="AH60" s="40" t="str">
        <f>IF(AND('Mapa final'!$AH$67="Muy Baja",'Mapa final'!$AJ$67="Mayor"),CONCATENATE("R2C",'Mapa final'!$R$67),"")</f>
        <v/>
      </c>
      <c r="AI60" s="41" t="str">
        <f>IF(AND('Mapa final'!$AH$62="Muy Baja",'Mapa final'!$AJ$62="Catastrófico"),CONCATENATE("R2C",'Mapa final'!$R$62),"")</f>
        <v/>
      </c>
      <c r="AJ60" s="42" t="str">
        <f>IF(AND('Mapa final'!$AH$63="Muy Baja",'Mapa final'!$AJ$63="Catastrófico"),CONCATENATE("R2C",'Mapa final'!$R$63),"")</f>
        <v/>
      </c>
      <c r="AK60" s="42" t="str">
        <f>IF(AND('Mapa final'!$AH$64="Muy Baja",'Mapa final'!$AJ$64="Catastrófico"),CONCATENATE("R2C",'Mapa final'!$R$64),"")</f>
        <v/>
      </c>
      <c r="AL60" s="42" t="str">
        <f>IF(AND('Mapa final'!$AH$65="Muy Baja",'Mapa final'!$AJ$65="Catastrófico"),CONCATENATE("R2C",'Mapa final'!$R$65),"")</f>
        <v/>
      </c>
      <c r="AM60" s="42" t="str">
        <f>IF(AND('Mapa final'!$AH$66="Muy Baja",'Mapa final'!$AJ$66="Catastrófico"),CONCATENATE("R2C",'Mapa final'!$R$66),"")</f>
        <v/>
      </c>
      <c r="AN60" s="43" t="str">
        <f>IF(AND('Mapa final'!$AH$67="Muy Baja",'Mapa final'!$AJ$67="Catastrófico"),CONCATENATE("R2C",'Mapa final'!$R$67),"")</f>
        <v/>
      </c>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row>
    <row r="61" spans="2:81" ht="15.75" customHeight="1" thickBot="1">
      <c r="B61" s="68"/>
      <c r="C61" s="461"/>
      <c r="D61" s="461"/>
      <c r="E61" s="462"/>
      <c r="F61" s="507"/>
      <c r="G61" s="508"/>
      <c r="H61" s="508"/>
      <c r="I61" s="508"/>
      <c r="J61" s="509"/>
      <c r="K61" s="65" t="str">
        <f>IF(AND('Mapa final'!$AH$68="Muy Baja",'Mapa final'!$AJ$68="Leve"),CONCATENATE("R2C",'Mapa final'!$R$68),"")</f>
        <v/>
      </c>
      <c r="L61" s="66" t="str">
        <f>IF(AND('Mapa final'!$AH$69="Muy Baja",'Mapa final'!$AJ$69="Leve"),CONCATENATE("R2C",'Mapa final'!$R$69),"")</f>
        <v/>
      </c>
      <c r="M61" s="66" t="str">
        <f>IF(AND('Mapa final'!$AH$70="Muy Baja",'Mapa final'!$AJ$70="Leve"),CONCATENATE("R2C",'Mapa final'!$R$70),"")</f>
        <v/>
      </c>
      <c r="N61" s="54" t="e">
        <f>IF(AND('Mapa final'!#REF!="Alta",'Mapa final'!#REF!="Leve"),CONCATENATE("R2C",'Mapa final'!#REF!),"")</f>
        <v>#REF!</v>
      </c>
      <c r="O61" s="66" t="str">
        <f>IF(AND('Mapa final'!$AH$73="Muy Baja",'Mapa final'!$AJ$73="Leve"),CONCATENATE("R2C",'Mapa final'!$R$73),"")</f>
        <v/>
      </c>
      <c r="P61" s="67" t="str">
        <f>IF(AND('Mapa final'!$AH$74="Muy Baja",'Mapa final'!$AJ$74="Leve"),CONCATENATE("R2C",'Mapa final'!$R$74),"")</f>
        <v/>
      </c>
      <c r="Q61" s="65" t="str">
        <f>IF(AND('Mapa final'!$AH$68="Muy Baja",'Mapa final'!$AJ$68="Menor"),CONCATENATE("R2C",'Mapa final'!$R$68),"")</f>
        <v/>
      </c>
      <c r="R61" s="66" t="str">
        <f>IF(AND('Mapa final'!$AH$69="Muy Baja",'Mapa final'!$AJ$69="Menor"),CONCATENATE("R2C",'Mapa final'!$R$69),"")</f>
        <v/>
      </c>
      <c r="S61" s="66" t="str">
        <f>IF(AND('Mapa final'!$AH$70="Muy Baja",'Mapa final'!$AJ$70="Menor"),CONCATENATE("R2C",'Mapa final'!$R$70),"")</f>
        <v/>
      </c>
      <c r="T61" s="66" t="str">
        <f>IF(AND('Mapa final'!$AH$71="Muy Baja",'Mapa final'!$AJ$71="Menor"),CONCATENATE("R2C",'Mapa final'!$R$71),"")</f>
        <v/>
      </c>
      <c r="U61" s="66" t="str">
        <f>IF(AND('Mapa final'!$AH$73="Muy Baja",'Mapa final'!$AJ$73="Menor"),CONCATENATE("R2C",'Mapa final'!$R$73),"")</f>
        <v/>
      </c>
      <c r="V61" s="67" t="str">
        <f>IF(AND('Mapa final'!$AH$74="Muy Baja",'Mapa final'!$AJ$74="Menor"),CONCATENATE("R2C",'Mapa final'!$R$74),"")</f>
        <v/>
      </c>
      <c r="W61" s="56" t="str">
        <f>IF(AND('Mapa final'!$AH$68="Muy Baja",'Mapa final'!$AJ$68="Moderado"),CONCATENATE("R2C",'Mapa final'!$R$68),"")</f>
        <v/>
      </c>
      <c r="X61" s="57" t="str">
        <f>IF(AND('Mapa final'!$AH$69="Muy Baja",'Mapa final'!$AJ$69="Moderado"),CONCATENATE("R2C",'Mapa final'!$R$69),"")</f>
        <v/>
      </c>
      <c r="Y61" s="57" t="str">
        <f>IF(AND('Mapa final'!$AH$70="Muy Baja",'Mapa final'!$AJ$70="Moderado"),CONCATENATE("R2C",'Mapa final'!$R$70),"")</f>
        <v/>
      </c>
      <c r="Z61" s="57" t="str">
        <f>IF(AND('Mapa final'!$AH$71="Muy Baja",'Mapa final'!$AJ$71="Moderado"),CONCATENATE("R2C",'Mapa final'!$R$71),"")</f>
        <v/>
      </c>
      <c r="AA61" s="57" t="str">
        <f>IF(AND('Mapa final'!$AH$73="Muy Baja",'Mapa final'!$AJ$73="Moderado"),CONCATENATE("R2C",'Mapa final'!$R$73),"")</f>
        <v/>
      </c>
      <c r="AB61" s="58" t="str">
        <f>IF(AND('Mapa final'!$AH$74="Muy Baja",'Mapa final'!$AJ$74="Moderado"),CONCATENATE("R2C",'Mapa final'!$R$74),"")</f>
        <v/>
      </c>
      <c r="AC61" s="44" t="str">
        <f>IF(AND('Mapa final'!$AH$68="Muy Baja",'Mapa final'!$AJ$68="Mayor"),CONCATENATE("R2C",'Mapa final'!$R$68),"")</f>
        <v/>
      </c>
      <c r="AD61" s="45" t="str">
        <f>IF(AND('Mapa final'!$AH$69="Muy Baja",'Mapa final'!$AJ$69="Mayor"),CONCATENATE("R2C",'Mapa final'!$R$69),"")</f>
        <v/>
      </c>
      <c r="AE61" s="45" t="str">
        <f>IF(AND('Mapa final'!$AH$70="Muy Baja",'Mapa final'!$AJ$70="Mayor"),CONCATENATE("R2C",'Mapa final'!$R$70),"")</f>
        <v/>
      </c>
      <c r="AF61" s="45" t="str">
        <f>IF(AND('Mapa final'!$AH$71="Muy Baja",'Mapa final'!$AJ$71="Mayor"),CONCATENATE("R2C",'Mapa final'!$R$71),"")</f>
        <v/>
      </c>
      <c r="AG61" s="45" t="str">
        <f>IF(AND('Mapa final'!$AH$73="Muy Baja",'Mapa final'!$AJ$73="Mayor"),CONCATENATE("R2C",'Mapa final'!$R$73),"")</f>
        <v/>
      </c>
      <c r="AH61" s="46" t="str">
        <f>IF(AND('Mapa final'!$AH$74="Muy Baja",'Mapa final'!$AJ$74="Mayor"),CONCATENATE("R2C",'Mapa final'!$R$74),"")</f>
        <v/>
      </c>
      <c r="AI61" s="47" t="str">
        <f>IF(AND('Mapa final'!$AH$68="Muy Baja",'Mapa final'!$AJ$68="Catastrófico"),CONCATENATE("R2C",'Mapa final'!$R$68),"")</f>
        <v/>
      </c>
      <c r="AJ61" s="48" t="str">
        <f>IF(AND('Mapa final'!$AH$69="Muy Baja",'Mapa final'!$AJ$69="Catastrófico"),CONCATENATE("R2C",'Mapa final'!$R$69),"")</f>
        <v/>
      </c>
      <c r="AK61" s="48" t="str">
        <f>IF(AND('Mapa final'!$AH$70="Muy Baja",'Mapa final'!$AJ$70="Catastrófico"),CONCATENATE("R2C",'Mapa final'!$R$70),"")</f>
        <v/>
      </c>
      <c r="AL61" s="48" t="str">
        <f>IF(AND('Mapa final'!$AH$71="Muy Baja",'Mapa final'!$AJ$71="Catastrófico"),CONCATENATE("R2C",'Mapa final'!$R$71),"")</f>
        <v/>
      </c>
      <c r="AM61" s="48" t="str">
        <f>IF(AND('Mapa final'!$AH$73="Muy Baja",'Mapa final'!$AJ$73="Catastrófico"),CONCATENATE("R2C",'Mapa final'!$R$73),"")</f>
        <v/>
      </c>
      <c r="AN61" s="49" t="str">
        <f>IF(AND('Mapa final'!$AH$74="Muy Baja",'Mapa final'!$AJ$74="Catastrófico"),CONCATENATE("R2C",'Mapa final'!$R$74),"")</f>
        <v/>
      </c>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68"/>
    </row>
    <row r="62" spans="2:81">
      <c r="B62" s="68"/>
      <c r="C62" s="68"/>
      <c r="D62" s="68"/>
      <c r="E62" s="68"/>
      <c r="F62" s="68"/>
      <c r="G62" s="68"/>
      <c r="H62" s="68"/>
      <c r="I62" s="68"/>
      <c r="J62" s="68"/>
      <c r="K62" s="501" t="s">
        <v>261</v>
      </c>
      <c r="L62" s="502"/>
      <c r="M62" s="502"/>
      <c r="N62" s="502"/>
      <c r="O62" s="502"/>
      <c r="P62" s="503"/>
      <c r="Q62" s="501" t="s">
        <v>262</v>
      </c>
      <c r="R62" s="502"/>
      <c r="S62" s="502"/>
      <c r="T62" s="502"/>
      <c r="U62" s="502"/>
      <c r="V62" s="503"/>
      <c r="W62" s="501" t="s">
        <v>263</v>
      </c>
      <c r="X62" s="502"/>
      <c r="Y62" s="502"/>
      <c r="Z62" s="502"/>
      <c r="AA62" s="502"/>
      <c r="AB62" s="503"/>
      <c r="AC62" s="501" t="s">
        <v>264</v>
      </c>
      <c r="AD62" s="510"/>
      <c r="AE62" s="502"/>
      <c r="AF62" s="502"/>
      <c r="AG62" s="502"/>
      <c r="AH62" s="503"/>
      <c r="AI62" s="501" t="s">
        <v>265</v>
      </c>
      <c r="AJ62" s="502"/>
      <c r="AK62" s="502"/>
      <c r="AL62" s="502"/>
      <c r="AM62" s="502"/>
      <c r="AN62" s="503"/>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8"/>
      <c r="CC62" s="68"/>
    </row>
    <row r="63" spans="2:81">
      <c r="B63" s="68"/>
      <c r="C63" s="68"/>
      <c r="D63" s="68"/>
      <c r="E63" s="68"/>
      <c r="F63" s="68"/>
      <c r="G63" s="68"/>
      <c r="H63" s="68"/>
      <c r="I63" s="68"/>
      <c r="J63" s="68"/>
      <c r="K63" s="504"/>
      <c r="L63" s="505"/>
      <c r="M63" s="505"/>
      <c r="N63" s="505"/>
      <c r="O63" s="505"/>
      <c r="P63" s="506"/>
      <c r="Q63" s="504"/>
      <c r="R63" s="505"/>
      <c r="S63" s="505"/>
      <c r="T63" s="505"/>
      <c r="U63" s="505"/>
      <c r="V63" s="506"/>
      <c r="W63" s="504"/>
      <c r="X63" s="505"/>
      <c r="Y63" s="505"/>
      <c r="Z63" s="505"/>
      <c r="AA63" s="505"/>
      <c r="AB63" s="506"/>
      <c r="AC63" s="504"/>
      <c r="AD63" s="505"/>
      <c r="AE63" s="505"/>
      <c r="AF63" s="505"/>
      <c r="AG63" s="505"/>
      <c r="AH63" s="506"/>
      <c r="AI63" s="504"/>
      <c r="AJ63" s="505"/>
      <c r="AK63" s="505"/>
      <c r="AL63" s="505"/>
      <c r="AM63" s="505"/>
      <c r="AN63" s="506"/>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8"/>
      <c r="CC63" s="68"/>
    </row>
    <row r="64" spans="2:81">
      <c r="B64" s="68"/>
      <c r="C64" s="68"/>
      <c r="D64" s="68"/>
      <c r="E64" s="68"/>
      <c r="F64" s="68"/>
      <c r="G64" s="68"/>
      <c r="H64" s="68"/>
      <c r="I64" s="68"/>
      <c r="J64" s="68"/>
      <c r="K64" s="504"/>
      <c r="L64" s="505"/>
      <c r="M64" s="505"/>
      <c r="N64" s="505"/>
      <c r="O64" s="505"/>
      <c r="P64" s="506"/>
      <c r="Q64" s="504"/>
      <c r="R64" s="505"/>
      <c r="S64" s="505"/>
      <c r="T64" s="505"/>
      <c r="U64" s="505"/>
      <c r="V64" s="506"/>
      <c r="W64" s="504"/>
      <c r="X64" s="505"/>
      <c r="Y64" s="505"/>
      <c r="Z64" s="505"/>
      <c r="AA64" s="505"/>
      <c r="AB64" s="506"/>
      <c r="AC64" s="504"/>
      <c r="AD64" s="505"/>
      <c r="AE64" s="505"/>
      <c r="AF64" s="505"/>
      <c r="AG64" s="505"/>
      <c r="AH64" s="506"/>
      <c r="AI64" s="504"/>
      <c r="AJ64" s="505"/>
      <c r="AK64" s="505"/>
      <c r="AL64" s="505"/>
      <c r="AM64" s="505"/>
      <c r="AN64" s="506"/>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row>
    <row r="65" spans="2:81">
      <c r="B65" s="68"/>
      <c r="C65" s="68"/>
      <c r="D65" s="68"/>
      <c r="E65" s="68"/>
      <c r="F65" s="68"/>
      <c r="G65" s="68"/>
      <c r="H65" s="68"/>
      <c r="I65" s="68"/>
      <c r="J65" s="68"/>
      <c r="K65" s="504"/>
      <c r="L65" s="505"/>
      <c r="M65" s="505"/>
      <c r="N65" s="505"/>
      <c r="O65" s="505"/>
      <c r="P65" s="506"/>
      <c r="Q65" s="504"/>
      <c r="R65" s="505"/>
      <c r="S65" s="505"/>
      <c r="T65" s="505"/>
      <c r="U65" s="505"/>
      <c r="V65" s="506"/>
      <c r="W65" s="504"/>
      <c r="X65" s="505"/>
      <c r="Y65" s="505"/>
      <c r="Z65" s="505"/>
      <c r="AA65" s="505"/>
      <c r="AB65" s="506"/>
      <c r="AC65" s="504"/>
      <c r="AD65" s="505"/>
      <c r="AE65" s="505"/>
      <c r="AF65" s="505"/>
      <c r="AG65" s="505"/>
      <c r="AH65" s="506"/>
      <c r="AI65" s="504"/>
      <c r="AJ65" s="505"/>
      <c r="AK65" s="505"/>
      <c r="AL65" s="505"/>
      <c r="AM65" s="505"/>
      <c r="AN65" s="506"/>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row>
    <row r="66" spans="2:81">
      <c r="B66" s="68"/>
      <c r="C66" s="68"/>
      <c r="D66" s="68"/>
      <c r="E66" s="68"/>
      <c r="F66" s="68"/>
      <c r="G66" s="68"/>
      <c r="H66" s="68"/>
      <c r="I66" s="68"/>
      <c r="J66" s="68"/>
      <c r="K66" s="504"/>
      <c r="L66" s="505"/>
      <c r="M66" s="505"/>
      <c r="N66" s="505"/>
      <c r="O66" s="505"/>
      <c r="P66" s="506"/>
      <c r="Q66" s="504"/>
      <c r="R66" s="505"/>
      <c r="S66" s="505"/>
      <c r="T66" s="505"/>
      <c r="U66" s="505"/>
      <c r="V66" s="506"/>
      <c r="W66" s="504"/>
      <c r="X66" s="505"/>
      <c r="Y66" s="505"/>
      <c r="Z66" s="505"/>
      <c r="AA66" s="505"/>
      <c r="AB66" s="506"/>
      <c r="AC66" s="504"/>
      <c r="AD66" s="505"/>
      <c r="AE66" s="505"/>
      <c r="AF66" s="505"/>
      <c r="AG66" s="505"/>
      <c r="AH66" s="506"/>
      <c r="AI66" s="504"/>
      <c r="AJ66" s="505"/>
      <c r="AK66" s="505"/>
      <c r="AL66" s="505"/>
      <c r="AM66" s="505"/>
      <c r="AN66" s="506"/>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row>
    <row r="67" spans="2:81" ht="15.75" thickBot="1">
      <c r="B67" s="68"/>
      <c r="C67" s="68"/>
      <c r="D67" s="68"/>
      <c r="E67" s="68"/>
      <c r="F67" s="68"/>
      <c r="G67" s="68"/>
      <c r="H67" s="68"/>
      <c r="I67" s="68"/>
      <c r="J67" s="68"/>
      <c r="K67" s="507"/>
      <c r="L67" s="508"/>
      <c r="M67" s="508"/>
      <c r="N67" s="508"/>
      <c r="O67" s="508"/>
      <c r="P67" s="509"/>
      <c r="Q67" s="507"/>
      <c r="R67" s="508"/>
      <c r="S67" s="508"/>
      <c r="T67" s="508"/>
      <c r="U67" s="508"/>
      <c r="V67" s="509"/>
      <c r="W67" s="507"/>
      <c r="X67" s="508"/>
      <c r="Y67" s="508"/>
      <c r="Z67" s="508"/>
      <c r="AA67" s="508"/>
      <c r="AB67" s="509"/>
      <c r="AC67" s="507"/>
      <c r="AD67" s="508"/>
      <c r="AE67" s="508"/>
      <c r="AF67" s="508"/>
      <c r="AG67" s="508"/>
      <c r="AH67" s="509"/>
      <c r="AI67" s="507"/>
      <c r="AJ67" s="508"/>
      <c r="AK67" s="508"/>
      <c r="AL67" s="508"/>
      <c r="AM67" s="508"/>
      <c r="AN67" s="509"/>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row>
    <row r="68" spans="2:81">
      <c r="B68" s="68"/>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row>
    <row r="69" spans="2:81" ht="15" customHeight="1">
      <c r="B69" s="68"/>
      <c r="C69" s="72"/>
      <c r="D69" s="72"/>
      <c r="E69" s="72"/>
      <c r="F69" s="72"/>
      <c r="G69" s="72"/>
      <c r="H69" s="72"/>
      <c r="I69" s="72"/>
      <c r="J69" s="72"/>
      <c r="K69" s="72"/>
      <c r="L69" s="72"/>
      <c r="M69" s="72"/>
      <c r="N69" s="72"/>
      <c r="O69" s="72"/>
      <c r="P69" s="72"/>
      <c r="Q69" s="72"/>
      <c r="R69" s="72"/>
      <c r="S69" s="72"/>
      <c r="T69" s="72"/>
      <c r="U69" s="72"/>
      <c r="V69" s="72"/>
      <c r="W69" s="72"/>
      <c r="X69" s="72"/>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68"/>
      <c r="AW69" s="68"/>
      <c r="AX69" s="68"/>
      <c r="AY69" s="68"/>
      <c r="AZ69" s="68"/>
      <c r="BA69" s="68"/>
      <c r="BB69" s="68"/>
      <c r="BC69" s="68"/>
      <c r="BD69" s="68"/>
      <c r="BE69" s="68"/>
      <c r="BF69" s="68"/>
      <c r="BG69" s="68"/>
      <c r="BH69" s="68"/>
      <c r="BI69" s="68"/>
    </row>
    <row r="70" spans="2:81" ht="15" customHeight="1">
      <c r="B70" s="68"/>
      <c r="C70" s="72"/>
      <c r="D70" s="72"/>
      <c r="E70" s="72"/>
      <c r="F70" s="72"/>
      <c r="G70" s="72"/>
      <c r="H70" s="72"/>
      <c r="I70" s="72"/>
      <c r="J70" s="72"/>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68"/>
      <c r="AW70" s="68"/>
      <c r="AX70" s="68"/>
      <c r="AY70" s="68"/>
      <c r="AZ70" s="68"/>
      <c r="BA70" s="68"/>
      <c r="BB70" s="68"/>
      <c r="BC70" s="68"/>
      <c r="BD70" s="68"/>
      <c r="BE70" s="68"/>
      <c r="BF70" s="68"/>
      <c r="BG70" s="68"/>
      <c r="BH70" s="68"/>
      <c r="BI70" s="68"/>
    </row>
    <row r="71" spans="2:81">
      <c r="B71" s="68"/>
      <c r="C71" s="68"/>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row>
    <row r="72" spans="2:81">
      <c r="B72" s="68"/>
      <c r="C72" s="68"/>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row>
    <row r="73" spans="2:81">
      <c r="B73" s="68"/>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row>
    <row r="74" spans="2:81">
      <c r="B74" s="68"/>
      <c r="C74" s="68"/>
      <c r="D74" s="68"/>
      <c r="E74" s="68"/>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row>
    <row r="75" spans="2:81">
      <c r="B75" s="68"/>
      <c r="C75" s="68"/>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row>
    <row r="76" spans="2:81">
      <c r="B76" s="68"/>
      <c r="C76" s="68"/>
      <c r="D76" s="68"/>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row>
    <row r="77" spans="2:81">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row>
    <row r="78" spans="2:81">
      <c r="B78" s="68"/>
      <c r="C78" s="68"/>
      <c r="D78" s="68"/>
      <c r="E78" s="68"/>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row>
    <row r="79" spans="2:81">
      <c r="B79" s="68"/>
      <c r="C79" s="68"/>
      <c r="D79" s="68"/>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row>
    <row r="80" spans="2:81">
      <c r="B80" s="68"/>
      <c r="C80" s="68"/>
      <c r="D80" s="68"/>
      <c r="E80" s="68"/>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row>
    <row r="81" spans="2:61">
      <c r="B81" s="68"/>
      <c r="C81" s="68"/>
      <c r="D81" s="68"/>
      <c r="E81" s="68"/>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row>
    <row r="82" spans="2:61">
      <c r="B82" s="68"/>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row>
    <row r="83" spans="2:61">
      <c r="B83" s="68"/>
      <c r="C83" s="68"/>
      <c r="D83" s="68"/>
      <c r="E83" s="68"/>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row>
    <row r="84" spans="2:61">
      <c r="B84" s="68"/>
      <c r="C84" s="68"/>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row>
    <row r="85" spans="2:61">
      <c r="B85" s="68"/>
      <c r="C85" s="68"/>
      <c r="D85" s="68"/>
      <c r="E85" s="68"/>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row>
    <row r="86" spans="2:61">
      <c r="B86" s="68"/>
      <c r="C86" s="68"/>
      <c r="D86" s="68"/>
      <c r="E86" s="68"/>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row>
    <row r="87" spans="2:61">
      <c r="B87" s="68"/>
      <c r="C87" s="68"/>
      <c r="D87" s="68"/>
      <c r="E87" s="68"/>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row>
    <row r="88" spans="2:61">
      <c r="B88" s="68"/>
      <c r="C88" s="68"/>
      <c r="D88" s="68"/>
      <c r="E88" s="68"/>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row>
    <row r="89" spans="2:61">
      <c r="B89" s="68"/>
      <c r="C89" s="68"/>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row>
    <row r="90" spans="2:61">
      <c r="B90" s="68"/>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row>
    <row r="91" spans="2:61">
      <c r="B91" s="68"/>
      <c r="C91" s="68"/>
      <c r="D91" s="68"/>
      <c r="E91" s="68"/>
      <c r="F91" s="68"/>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row>
    <row r="92" spans="2:61">
      <c r="B92" s="68"/>
      <c r="C92" s="68"/>
      <c r="D92" s="68"/>
      <c r="E92" s="68"/>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row>
    <row r="93" spans="2:61">
      <c r="B93" s="68"/>
      <c r="C93" s="68"/>
      <c r="D93" s="68"/>
      <c r="E93" s="68"/>
      <c r="F93" s="68"/>
      <c r="G93" s="68"/>
      <c r="H93" s="68"/>
      <c r="I93" s="68"/>
      <c r="J93" s="68"/>
      <c r="K93" s="68"/>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row>
    <row r="94" spans="2:61">
      <c r="B94" s="68"/>
      <c r="C94" s="68"/>
      <c r="D94" s="68"/>
      <c r="E94" s="68"/>
      <c r="F94" s="6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row>
    <row r="95" spans="2:61">
      <c r="B95" s="68"/>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row>
    <row r="96" spans="2:61">
      <c r="B96" s="68"/>
      <c r="C96" s="68"/>
      <c r="D96" s="68"/>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row>
    <row r="97" spans="2:61">
      <c r="B97" s="68"/>
      <c r="C97" s="68"/>
      <c r="D97" s="68"/>
      <c r="E97" s="68"/>
      <c r="F97" s="68"/>
      <c r="G97" s="68"/>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row>
    <row r="98" spans="2:61">
      <c r="B98" s="68"/>
      <c r="C98" s="68"/>
      <c r="D98" s="68"/>
      <c r="E98" s="68"/>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row>
    <row r="99" spans="2:61">
      <c r="B99" s="68"/>
      <c r="C99" s="68"/>
      <c r="D99" s="68"/>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row>
    <row r="100" spans="2:61">
      <c r="B100" s="68"/>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row>
    <row r="101" spans="2:61">
      <c r="B101" s="68"/>
      <c r="C101" s="68"/>
      <c r="D101" s="68"/>
      <c r="E101" s="68"/>
      <c r="F101" s="68"/>
      <c r="G101" s="68"/>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row>
    <row r="102" spans="2:61">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row>
    <row r="103" spans="2:61">
      <c r="B103" s="68"/>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row>
    <row r="104" spans="2:61">
      <c r="B104" s="68"/>
      <c r="C104" s="68"/>
      <c r="D104" s="68"/>
      <c r="E104" s="68"/>
      <c r="F104" s="68"/>
      <c r="G104" s="68"/>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row>
    <row r="105" spans="2:61">
      <c r="B105" s="68"/>
      <c r="C105" s="68"/>
      <c r="D105" s="68"/>
      <c r="E105" s="68"/>
      <c r="F105" s="68"/>
      <c r="G105" s="68"/>
      <c r="H105" s="68"/>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row>
    <row r="106" spans="2:61">
      <c r="B106" s="68"/>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row>
    <row r="107" spans="2:61">
      <c r="B107" s="68"/>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row>
    <row r="108" spans="2:61">
      <c r="B108" s="68"/>
      <c r="C108" s="68"/>
      <c r="D108" s="68"/>
      <c r="E108" s="68"/>
      <c r="F108" s="68"/>
      <c r="G108" s="68"/>
      <c r="H108" s="68"/>
      <c r="I108" s="68"/>
      <c r="J108" s="68"/>
      <c r="K108" s="68"/>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row>
    <row r="109" spans="2:61">
      <c r="B109" s="68"/>
      <c r="C109" s="68"/>
      <c r="D109" s="68"/>
      <c r="E109" s="68"/>
      <c r="F109" s="68"/>
      <c r="G109" s="68"/>
      <c r="H109" s="68"/>
      <c r="I109" s="68"/>
      <c r="J109" s="68"/>
      <c r="K109" s="68"/>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row>
    <row r="110" spans="2:61">
      <c r="B110" s="68"/>
      <c r="C110" s="68"/>
      <c r="D110" s="68"/>
      <c r="E110" s="68"/>
      <c r="F110" s="68"/>
      <c r="G110" s="68"/>
      <c r="H110" s="68"/>
      <c r="I110" s="68"/>
      <c r="J110" s="68"/>
      <c r="K110" s="68"/>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row>
    <row r="111" spans="2:61">
      <c r="B111" s="68"/>
      <c r="C111" s="68"/>
      <c r="D111" s="68"/>
      <c r="E111" s="68"/>
      <c r="F111" s="68"/>
      <c r="G111" s="68"/>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row>
    <row r="112" spans="2:61">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row>
    <row r="113" spans="2:61">
      <c r="B113" s="68"/>
      <c r="C113" s="68"/>
      <c r="D113" s="68"/>
      <c r="E113" s="68"/>
      <c r="F113" s="68"/>
      <c r="G113" s="68"/>
      <c r="H113" s="68"/>
      <c r="I113" s="68"/>
      <c r="J113" s="68"/>
      <c r="K113" s="68"/>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row>
    <row r="114" spans="2:61">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row>
    <row r="115" spans="2:61">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row>
    <row r="116" spans="2:61">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row>
    <row r="117" spans="2:61">
      <c r="B117" s="68"/>
      <c r="C117" s="68"/>
      <c r="D117" s="68"/>
      <c r="E117" s="68"/>
      <c r="F117" s="68"/>
      <c r="G117" s="68"/>
      <c r="H117" s="68"/>
      <c r="I117" s="68"/>
      <c r="J117" s="68"/>
      <c r="K117" s="68"/>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row>
    <row r="118" spans="2:61">
      <c r="B118" s="68"/>
      <c r="C118" s="68"/>
      <c r="D118" s="68"/>
      <c r="E118" s="68"/>
      <c r="F118" s="68"/>
      <c r="G118" s="68"/>
      <c r="H118" s="68"/>
      <c r="I118" s="68"/>
      <c r="J118" s="68"/>
      <c r="K118" s="68"/>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row>
    <row r="119" spans="2:61">
      <c r="B119" s="68"/>
      <c r="C119" s="68"/>
      <c r="D119" s="68"/>
      <c r="E119" s="68"/>
      <c r="F119" s="68"/>
      <c r="G119" s="68"/>
      <c r="H119" s="68"/>
      <c r="I119" s="68"/>
      <c r="J119" s="68"/>
      <c r="K119" s="68"/>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row>
    <row r="120" spans="2:61">
      <c r="B120" s="68"/>
      <c r="C120" s="68"/>
      <c r="D120" s="68"/>
      <c r="E120" s="68"/>
      <c r="F120" s="68"/>
      <c r="G120" s="68"/>
      <c r="H120" s="68"/>
      <c r="I120" s="68"/>
      <c r="J120" s="68"/>
      <c r="K120" s="68"/>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row>
    <row r="121" spans="2:61">
      <c r="B121" s="68"/>
      <c r="C121" s="68"/>
      <c r="D121" s="68"/>
      <c r="E121" s="68"/>
      <c r="F121" s="68"/>
      <c r="G121" s="68"/>
      <c r="H121" s="68"/>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row>
    <row r="122" spans="2:61">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row>
    <row r="123" spans="2:61">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row>
    <row r="124" spans="2:61">
      <c r="B124" s="68"/>
      <c r="C124" s="68"/>
      <c r="D124" s="68"/>
      <c r="E124" s="68"/>
      <c r="F124" s="68"/>
      <c r="G124" s="68"/>
      <c r="H124" s="68"/>
      <c r="I124" s="68"/>
      <c r="J124" s="68"/>
      <c r="K124" s="68"/>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row>
    <row r="125" spans="2:61">
      <c r="B125" s="68"/>
      <c r="C125" s="68"/>
      <c r="D125" s="68"/>
      <c r="E125" s="68"/>
      <c r="F125" s="68"/>
      <c r="G125" s="68"/>
      <c r="H125" s="68"/>
      <c r="I125" s="68"/>
      <c r="J125" s="68"/>
      <c r="K125" s="68"/>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row>
    <row r="126" spans="2:61">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row>
    <row r="127" spans="2:61">
      <c r="B127" s="68"/>
      <c r="C127" s="68"/>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row>
    <row r="128" spans="2:61">
      <c r="B128" s="68"/>
      <c r="C128" s="68"/>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row>
    <row r="129" spans="2:61">
      <c r="B129" s="68"/>
      <c r="C129" s="68"/>
      <c r="D129" s="68"/>
      <c r="E129" s="68"/>
      <c r="F129" s="68"/>
      <c r="G129" s="68"/>
      <c r="H129" s="68"/>
      <c r="I129" s="68"/>
      <c r="J129" s="68"/>
      <c r="K129" s="68"/>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row>
    <row r="130" spans="2:61">
      <c r="B130" s="68"/>
      <c r="C130" s="68"/>
      <c r="D130" s="68"/>
      <c r="E130" s="68"/>
      <c r="F130" s="68"/>
      <c r="G130" s="68"/>
      <c r="H130" s="68"/>
      <c r="I130" s="68"/>
      <c r="J130" s="68"/>
      <c r="K130" s="68"/>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row>
    <row r="131" spans="2:61">
      <c r="B131" s="68"/>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row>
    <row r="132" spans="2:61">
      <c r="B132" s="68"/>
      <c r="C132" s="68"/>
      <c r="D132" s="68"/>
      <c r="E132" s="68"/>
      <c r="F132" s="68"/>
      <c r="G132" s="68"/>
      <c r="H132" s="68"/>
      <c r="I132" s="68"/>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row>
    <row r="133" spans="2:61">
      <c r="B133" s="68"/>
      <c r="C133" s="68"/>
      <c r="D133" s="68"/>
      <c r="E133" s="68"/>
      <c r="F133" s="68"/>
      <c r="G133" s="68"/>
      <c r="H133" s="68"/>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row>
    <row r="134" spans="2:61">
      <c r="B134" s="68"/>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row>
    <row r="135" spans="2:61">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row>
    <row r="136" spans="2:61">
      <c r="B136" s="68"/>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row>
    <row r="137" spans="2:61">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c r="BG137" s="68"/>
      <c r="BH137" s="68"/>
      <c r="BI137" s="68"/>
    </row>
    <row r="138" spans="2:61">
      <c r="B138" s="68"/>
      <c r="C138" s="68"/>
      <c r="D138" s="68"/>
      <c r="E138" s="68"/>
      <c r="F138" s="68"/>
      <c r="G138" s="68"/>
      <c r="H138" s="68"/>
      <c r="I138" s="68"/>
      <c r="J138" s="68"/>
      <c r="K138" s="68"/>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c r="BG138" s="68"/>
      <c r="BH138" s="68"/>
      <c r="BI138" s="68"/>
    </row>
    <row r="139" spans="2:61">
      <c r="B139" s="68"/>
      <c r="C139" s="68"/>
      <c r="D139" s="68"/>
      <c r="E139" s="68"/>
      <c r="F139" s="68"/>
      <c r="G139" s="68"/>
      <c r="H139" s="68"/>
      <c r="I139" s="68"/>
      <c r="J139" s="68"/>
      <c r="K139" s="68"/>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8"/>
      <c r="BF139" s="68"/>
      <c r="BG139" s="68"/>
      <c r="BH139" s="68"/>
      <c r="BI139" s="68"/>
    </row>
    <row r="140" spans="2:61">
      <c r="B140" s="68"/>
      <c r="C140" s="68"/>
      <c r="D140" s="68"/>
      <c r="E140" s="68"/>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c r="BG140" s="68"/>
      <c r="BH140" s="68"/>
      <c r="BI140" s="68"/>
    </row>
    <row r="141" spans="2:61">
      <c r="B141" s="68"/>
      <c r="C141" s="68"/>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c r="BG141" s="68"/>
      <c r="BH141" s="68"/>
      <c r="BI141" s="68"/>
    </row>
    <row r="142" spans="2:61">
      <c r="B142" s="68"/>
      <c r="C142" s="68"/>
      <c r="D142" s="68"/>
      <c r="E142" s="68"/>
      <c r="F142" s="68"/>
      <c r="G142" s="68"/>
      <c r="H142" s="68"/>
      <c r="I142" s="68"/>
      <c r="J142" s="68"/>
      <c r="K142" s="68"/>
      <c r="L142" s="68"/>
      <c r="M142" s="68"/>
      <c r="N142" s="68"/>
      <c r="O142" s="68"/>
      <c r="P142" s="68"/>
      <c r="Q142" s="68"/>
      <c r="R142" s="68"/>
      <c r="S142" s="68"/>
      <c r="T142" s="68"/>
      <c r="U142" s="68"/>
      <c r="V142" s="68"/>
      <c r="W142" s="68"/>
      <c r="X142" s="68"/>
      <c r="Y142" s="68"/>
      <c r="Z142" s="68"/>
      <c r="AA142" s="68"/>
      <c r="AB142" s="68"/>
      <c r="AC142" s="68"/>
      <c r="AD142" s="68"/>
      <c r="AE142" s="68"/>
      <c r="AF142" s="68"/>
      <c r="AG142" s="68"/>
      <c r="AH142" s="68"/>
      <c r="AI142" s="68"/>
      <c r="AJ142" s="68"/>
      <c r="AK142" s="68"/>
      <c r="AL142" s="68"/>
      <c r="AM142" s="68"/>
      <c r="AN142" s="68"/>
      <c r="AO142" s="68"/>
      <c r="AP142" s="68"/>
      <c r="AQ142" s="68"/>
      <c r="AR142" s="68"/>
      <c r="AS142" s="68"/>
      <c r="AT142" s="68"/>
      <c r="AU142" s="68"/>
      <c r="AV142" s="68"/>
      <c r="AW142" s="68"/>
      <c r="AX142" s="68"/>
      <c r="AY142" s="68"/>
      <c r="AZ142" s="68"/>
      <c r="BA142" s="68"/>
      <c r="BB142" s="68"/>
      <c r="BC142" s="68"/>
      <c r="BD142" s="68"/>
      <c r="BE142" s="68"/>
      <c r="BF142" s="68"/>
      <c r="BG142" s="68"/>
      <c r="BH142" s="68"/>
      <c r="BI142" s="68"/>
    </row>
    <row r="143" spans="2:61">
      <c r="B143" s="68"/>
      <c r="C143" s="68"/>
      <c r="D143" s="68"/>
      <c r="E143" s="68"/>
      <c r="F143" s="68"/>
      <c r="G143" s="68"/>
      <c r="H143" s="68"/>
      <c r="I143" s="68"/>
      <c r="J143" s="68"/>
      <c r="K143" s="68"/>
      <c r="L143" s="68"/>
      <c r="M143" s="68"/>
      <c r="N143" s="68"/>
      <c r="O143" s="68"/>
      <c r="P143" s="68"/>
      <c r="Q143" s="68"/>
      <c r="R143" s="68"/>
      <c r="S143" s="68"/>
      <c r="T143" s="68"/>
      <c r="U143" s="68"/>
      <c r="V143" s="68"/>
      <c r="W143" s="68"/>
      <c r="X143" s="68"/>
      <c r="Y143" s="68"/>
      <c r="Z143" s="68"/>
      <c r="AA143" s="68"/>
      <c r="AB143" s="68"/>
      <c r="AC143" s="68"/>
      <c r="AD143" s="68"/>
      <c r="AE143" s="68"/>
      <c r="AF143" s="68"/>
      <c r="AG143" s="68"/>
      <c r="AH143" s="68"/>
      <c r="AI143" s="68"/>
      <c r="AJ143" s="68"/>
      <c r="AK143" s="68"/>
      <c r="AL143" s="68"/>
      <c r="AM143" s="68"/>
      <c r="AN143" s="68"/>
      <c r="AO143" s="68"/>
      <c r="AP143" s="68"/>
      <c r="AQ143" s="68"/>
      <c r="AR143" s="68"/>
      <c r="AS143" s="68"/>
      <c r="AT143" s="68"/>
      <c r="AU143" s="68"/>
      <c r="AV143" s="68"/>
      <c r="AW143" s="68"/>
      <c r="AX143" s="68"/>
      <c r="AY143" s="68"/>
      <c r="AZ143" s="68"/>
      <c r="BA143" s="68"/>
      <c r="BB143" s="68"/>
      <c r="BC143" s="68"/>
      <c r="BD143" s="68"/>
      <c r="BE143" s="68"/>
      <c r="BF143" s="68"/>
      <c r="BG143" s="68"/>
      <c r="BH143" s="68"/>
      <c r="BI143" s="68"/>
    </row>
    <row r="144" spans="2:61">
      <c r="B144" s="68"/>
      <c r="C144" s="68"/>
      <c r="D144" s="68"/>
      <c r="E144" s="68"/>
      <c r="F144" s="68"/>
      <c r="G144" s="68"/>
      <c r="H144" s="68"/>
      <c r="I144" s="68"/>
      <c r="J144" s="68"/>
      <c r="K144" s="68"/>
      <c r="L144" s="68"/>
      <c r="M144" s="68"/>
      <c r="N144" s="68"/>
      <c r="O144" s="68"/>
      <c r="P144" s="68"/>
      <c r="Q144" s="68"/>
      <c r="R144" s="68"/>
      <c r="S144" s="68"/>
      <c r="T144" s="68"/>
      <c r="U144" s="68"/>
      <c r="V144" s="68"/>
      <c r="W144" s="68"/>
      <c r="X144" s="68"/>
      <c r="Y144" s="68"/>
      <c r="Z144" s="68"/>
      <c r="AA144" s="68"/>
      <c r="AB144" s="68"/>
      <c r="AC144" s="68"/>
      <c r="AD144" s="68"/>
      <c r="AE144" s="68"/>
      <c r="AF144" s="68"/>
      <c r="AG144" s="68"/>
      <c r="AH144" s="68"/>
      <c r="AI144" s="68"/>
      <c r="AJ144" s="68"/>
      <c r="AK144" s="68"/>
      <c r="AL144" s="68"/>
      <c r="AM144" s="68"/>
      <c r="AN144" s="68"/>
      <c r="AO144" s="68"/>
      <c r="AP144" s="68"/>
      <c r="AQ144" s="68"/>
      <c r="AR144" s="68"/>
      <c r="AS144" s="68"/>
      <c r="AT144" s="68"/>
      <c r="AU144" s="68"/>
      <c r="AV144" s="68"/>
      <c r="AW144" s="68"/>
      <c r="AX144" s="68"/>
      <c r="AY144" s="68"/>
      <c r="AZ144" s="68"/>
      <c r="BA144" s="68"/>
      <c r="BB144" s="68"/>
      <c r="BC144" s="68"/>
      <c r="BD144" s="68"/>
      <c r="BE144" s="68"/>
      <c r="BF144" s="68"/>
      <c r="BG144" s="68"/>
      <c r="BH144" s="68"/>
      <c r="BI144" s="68"/>
    </row>
    <row r="145" spans="2:61">
      <c r="B145" s="68"/>
      <c r="C145" s="68"/>
      <c r="D145" s="68"/>
      <c r="E145" s="68"/>
      <c r="F145" s="68"/>
      <c r="G145" s="68"/>
      <c r="H145" s="68"/>
      <c r="I145" s="68"/>
      <c r="J145" s="68"/>
      <c r="K145" s="68"/>
      <c r="L145" s="68"/>
      <c r="M145" s="68"/>
      <c r="N145" s="68"/>
      <c r="O145" s="68"/>
      <c r="P145" s="68"/>
      <c r="Q145" s="68"/>
      <c r="R145" s="68"/>
      <c r="S145" s="68"/>
      <c r="T145" s="68"/>
      <c r="U145" s="68"/>
      <c r="V145" s="68"/>
      <c r="W145" s="68"/>
      <c r="X145" s="68"/>
      <c r="Y145" s="68"/>
      <c r="Z145" s="68"/>
      <c r="AA145" s="68"/>
      <c r="AB145" s="68"/>
      <c r="AC145" s="68"/>
      <c r="AD145" s="68"/>
      <c r="AE145" s="68"/>
      <c r="AF145" s="68"/>
      <c r="AG145" s="68"/>
      <c r="AH145" s="68"/>
      <c r="AI145" s="68"/>
      <c r="AJ145" s="68"/>
      <c r="AK145" s="68"/>
      <c r="AL145" s="68"/>
      <c r="AM145" s="68"/>
      <c r="AN145" s="68"/>
      <c r="AO145" s="68"/>
      <c r="AP145" s="68"/>
      <c r="AQ145" s="68"/>
      <c r="AR145" s="68"/>
      <c r="AS145" s="68"/>
      <c r="AT145" s="68"/>
      <c r="AU145" s="68"/>
      <c r="AV145" s="68"/>
      <c r="AW145" s="68"/>
      <c r="AX145" s="68"/>
      <c r="AY145" s="68"/>
      <c r="AZ145" s="68"/>
      <c r="BA145" s="68"/>
      <c r="BB145" s="68"/>
      <c r="BC145" s="68"/>
      <c r="BD145" s="68"/>
      <c r="BE145" s="68"/>
      <c r="BF145" s="68"/>
      <c r="BG145" s="68"/>
      <c r="BH145" s="68"/>
      <c r="BI145" s="68"/>
    </row>
    <row r="146" spans="2:61">
      <c r="B146" s="68"/>
      <c r="C146" s="68"/>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68"/>
      <c r="AY146" s="68"/>
      <c r="AZ146" s="68"/>
      <c r="BA146" s="68"/>
      <c r="BB146" s="68"/>
      <c r="BC146" s="68"/>
      <c r="BD146" s="68"/>
      <c r="BE146" s="68"/>
      <c r="BF146" s="68"/>
      <c r="BG146" s="68"/>
      <c r="BH146" s="68"/>
      <c r="BI146" s="68"/>
    </row>
    <row r="147" spans="2:61">
      <c r="B147" s="68"/>
      <c r="C147" s="68"/>
      <c r="D147" s="68"/>
      <c r="E147" s="68"/>
      <c r="F147" s="68"/>
      <c r="G147" s="68"/>
      <c r="H147" s="68"/>
      <c r="I147" s="68"/>
      <c r="J147" s="68"/>
      <c r="K147" s="68"/>
      <c r="L147" s="68"/>
      <c r="M147" s="68"/>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row>
    <row r="148" spans="2:61">
      <c r="B148" s="68"/>
      <c r="C148" s="68"/>
      <c r="D148" s="68"/>
      <c r="E148" s="68"/>
      <c r="F148" s="68"/>
      <c r="G148" s="68"/>
      <c r="H148" s="68"/>
      <c r="I148" s="68"/>
      <c r="J148" s="68"/>
      <c r="K148" s="68"/>
      <c r="L148" s="68"/>
      <c r="M148" s="68"/>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row>
    <row r="149" spans="2:61">
      <c r="B149" s="68"/>
      <c r="C149" s="68"/>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row>
    <row r="150" spans="2:61">
      <c r="B150" s="68"/>
      <c r="C150" s="68"/>
      <c r="D150" s="68"/>
      <c r="E150" s="68"/>
      <c r="F150" s="68"/>
      <c r="G150" s="68"/>
      <c r="H150" s="68"/>
      <c r="I150" s="68"/>
      <c r="J150" s="68"/>
      <c r="K150" s="68"/>
      <c r="L150" s="68"/>
      <c r="M150" s="68"/>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row>
    <row r="151" spans="2:61">
      <c r="B151" s="68"/>
      <c r="C151" s="68"/>
      <c r="D151" s="68"/>
      <c r="E151" s="68"/>
      <c r="F151" s="68"/>
      <c r="G151" s="68"/>
      <c r="H151" s="68"/>
      <c r="I151" s="68"/>
      <c r="J151" s="68"/>
      <c r="K151" s="68"/>
      <c r="L151" s="68"/>
      <c r="M151" s="6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row>
    <row r="152" spans="2:61">
      <c r="B152" s="68"/>
      <c r="C152" s="68"/>
      <c r="D152" s="68"/>
      <c r="E152" s="68"/>
      <c r="F152" s="68"/>
      <c r="G152" s="68"/>
      <c r="H152" s="68"/>
      <c r="I152" s="68"/>
      <c r="J152" s="68"/>
      <c r="K152" s="68"/>
      <c r="L152" s="68"/>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row>
    <row r="153" spans="2:61">
      <c r="B153" s="68"/>
      <c r="C153" s="68"/>
      <c r="D153" s="68"/>
      <c r="E153" s="68"/>
      <c r="F153" s="68"/>
      <c r="G153" s="68"/>
      <c r="H153" s="68"/>
      <c r="I153" s="68"/>
      <c r="J153" s="68"/>
      <c r="K153" s="68"/>
      <c r="L153" s="68"/>
      <c r="M153" s="68"/>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row>
    <row r="154" spans="2:61">
      <c r="B154" s="68"/>
      <c r="C154" s="68"/>
      <c r="D154" s="68"/>
      <c r="E154" s="68"/>
      <c r="F154" s="68"/>
      <c r="G154" s="68"/>
      <c r="H154" s="68"/>
      <c r="I154" s="68"/>
      <c r="J154" s="68"/>
      <c r="K154" s="68"/>
      <c r="L154" s="68"/>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row>
    <row r="155" spans="2:61">
      <c r="B155" s="68"/>
      <c r="C155" s="68"/>
      <c r="D155" s="68"/>
      <c r="E155" s="68"/>
      <c r="F155" s="68"/>
      <c r="G155" s="68"/>
      <c r="H155" s="68"/>
      <c r="I155" s="68"/>
      <c r="J155" s="68"/>
      <c r="K155" s="68"/>
      <c r="L155" s="68"/>
      <c r="M155" s="68"/>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row>
    <row r="156" spans="2:61">
      <c r="B156" s="68"/>
      <c r="C156" s="68"/>
      <c r="D156" s="68"/>
      <c r="E156" s="68"/>
      <c r="F156" s="68"/>
      <c r="G156" s="68"/>
      <c r="H156" s="68"/>
      <c r="I156" s="68"/>
      <c r="J156" s="68"/>
      <c r="K156" s="68"/>
      <c r="L156" s="68"/>
      <c r="M156" s="68"/>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row>
    <row r="157" spans="2:61">
      <c r="B157" s="68"/>
      <c r="C157" s="68"/>
      <c r="D157" s="68"/>
      <c r="E157" s="68"/>
      <c r="F157" s="68"/>
      <c r="G157" s="68"/>
      <c r="H157" s="68"/>
      <c r="I157" s="68"/>
      <c r="J157" s="68"/>
      <c r="K157" s="68"/>
      <c r="L157" s="68"/>
      <c r="M157" s="68"/>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row>
    <row r="158" spans="2:61">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row>
    <row r="159" spans="2:61">
      <c r="B159" s="68"/>
      <c r="C159" s="68"/>
      <c r="D159" s="68"/>
      <c r="E159" s="68"/>
      <c r="F159" s="68"/>
      <c r="G159" s="68"/>
      <c r="H159" s="68"/>
      <c r="I159" s="68"/>
      <c r="J159" s="68"/>
      <c r="K159" s="68"/>
      <c r="L159" s="68"/>
      <c r="M159" s="68"/>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row>
    <row r="160" spans="2:61">
      <c r="B160" s="68"/>
      <c r="C160" s="68"/>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row>
    <row r="161" spans="2:61">
      <c r="B161" s="68"/>
      <c r="C161" s="68"/>
      <c r="D161" s="68"/>
      <c r="E161" s="68"/>
      <c r="F161" s="68"/>
      <c r="G161" s="68"/>
      <c r="H161" s="68"/>
      <c r="I161" s="68"/>
      <c r="J161" s="68"/>
      <c r="K161" s="68"/>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row>
    <row r="162" spans="2:61">
      <c r="B162" s="68"/>
      <c r="C162" s="68"/>
      <c r="D162" s="68"/>
      <c r="E162" s="68"/>
      <c r="F162" s="68"/>
      <c r="G162" s="68"/>
      <c r="H162" s="68"/>
      <c r="I162" s="68"/>
      <c r="J162" s="68"/>
      <c r="K162" s="68"/>
      <c r="L162" s="68"/>
      <c r="M162" s="68"/>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row>
    <row r="163" spans="2:61">
      <c r="B163" s="68"/>
      <c r="C163" s="68"/>
      <c r="D163" s="68"/>
      <c r="E163" s="68"/>
      <c r="F163" s="68"/>
      <c r="G163" s="68"/>
      <c r="H163" s="68"/>
      <c r="I163" s="68"/>
      <c r="J163" s="68"/>
      <c r="K163" s="68"/>
      <c r="L163" s="68"/>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row>
    <row r="164" spans="2:61">
      <c r="B164" s="68"/>
      <c r="C164" s="68"/>
      <c r="D164" s="68"/>
      <c r="E164" s="68"/>
      <c r="F164" s="68"/>
      <c r="G164" s="68"/>
      <c r="H164" s="68"/>
      <c r="I164" s="68"/>
      <c r="J164" s="68"/>
      <c r="K164" s="68"/>
      <c r="L164" s="68"/>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row>
    <row r="165" spans="2:61">
      <c r="B165" s="68"/>
      <c r="C165" s="68"/>
      <c r="D165" s="68"/>
      <c r="E165" s="68"/>
      <c r="F165" s="68"/>
      <c r="G165" s="68"/>
      <c r="H165" s="68"/>
      <c r="I165" s="68"/>
      <c r="J165" s="68"/>
      <c r="K165" s="68"/>
      <c r="L165" s="68"/>
      <c r="M165" s="68"/>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row>
    <row r="166" spans="2:61">
      <c r="B166" s="68"/>
      <c r="C166" s="68"/>
      <c r="D166" s="68"/>
      <c r="E166" s="68"/>
      <c r="F166" s="68"/>
      <c r="G166" s="68"/>
      <c r="H166" s="68"/>
      <c r="I166" s="68"/>
      <c r="J166" s="68"/>
      <c r="K166" s="68"/>
      <c r="L166" s="68"/>
      <c r="M166" s="68"/>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row>
    <row r="167" spans="2:61">
      <c r="B167" s="68"/>
      <c r="C167" s="68"/>
      <c r="D167" s="68"/>
      <c r="E167" s="68"/>
      <c r="F167" s="68"/>
      <c r="G167" s="68"/>
      <c r="H167" s="68"/>
      <c r="I167" s="68"/>
      <c r="J167" s="68"/>
      <c r="K167" s="68"/>
      <c r="L167" s="68"/>
      <c r="M167" s="68"/>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row>
    <row r="168" spans="2:61">
      <c r="B168" s="68"/>
      <c r="C168" s="68"/>
      <c r="D168" s="68"/>
      <c r="E168" s="68"/>
      <c r="F168" s="68"/>
      <c r="G168" s="68"/>
      <c r="H168" s="68"/>
      <c r="I168" s="68"/>
      <c r="J168" s="68"/>
      <c r="K168" s="68"/>
      <c r="L168" s="68"/>
      <c r="M168" s="68"/>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row>
    <row r="169" spans="2:61">
      <c r="B169" s="68"/>
      <c r="C169" s="68"/>
      <c r="D169" s="68"/>
      <c r="E169" s="68"/>
      <c r="F169" s="68"/>
      <c r="G169" s="68"/>
      <c r="H169" s="68"/>
      <c r="I169" s="68"/>
      <c r="J169" s="68"/>
      <c r="K169" s="68"/>
      <c r="L169" s="68"/>
      <c r="M169" s="68"/>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row>
    <row r="170" spans="2:61">
      <c r="B170" s="68"/>
      <c r="C170" s="68"/>
      <c r="D170" s="68"/>
      <c r="E170" s="68"/>
      <c r="F170" s="68"/>
      <c r="G170" s="68"/>
      <c r="H170" s="68"/>
      <c r="I170" s="68"/>
      <c r="J170" s="68"/>
      <c r="K170" s="68"/>
      <c r="L170" s="68"/>
      <c r="M170" s="68"/>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row>
    <row r="171" spans="2:61">
      <c r="B171" s="68"/>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row>
    <row r="172" spans="2:61">
      <c r="B172" s="6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row>
    <row r="173" spans="2:61">
      <c r="B173" s="68"/>
      <c r="C173" s="68"/>
      <c r="D173" s="68"/>
      <c r="E173" s="68"/>
      <c r="F173" s="68"/>
      <c r="G173" s="68"/>
      <c r="H173" s="68"/>
      <c r="I173" s="68"/>
      <c r="J173" s="68"/>
      <c r="K173" s="68"/>
      <c r="L173" s="68"/>
      <c r="M173" s="68"/>
      <c r="N173" s="68"/>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row>
    <row r="174" spans="2:61">
      <c r="B174" s="68"/>
      <c r="C174" s="68"/>
      <c r="D174" s="68"/>
      <c r="E174" s="68"/>
      <c r="F174" s="68"/>
      <c r="G174" s="68"/>
      <c r="H174" s="68"/>
      <c r="I174" s="68"/>
      <c r="J174" s="68"/>
      <c r="K174" s="68"/>
      <c r="L174" s="68"/>
      <c r="M174" s="68"/>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row>
    <row r="175" spans="2:61">
      <c r="B175" s="68"/>
      <c r="C175" s="68"/>
      <c r="D175" s="68"/>
      <c r="E175" s="68"/>
      <c r="F175" s="68"/>
      <c r="G175" s="68"/>
      <c r="H175" s="68"/>
      <c r="I175" s="68"/>
      <c r="J175" s="68"/>
      <c r="K175" s="68"/>
      <c r="L175" s="68"/>
      <c r="M175" s="68"/>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row>
    <row r="176" spans="2:61">
      <c r="B176" s="68"/>
      <c r="C176" s="68"/>
      <c r="D176" s="68"/>
      <c r="E176" s="68"/>
      <c r="F176" s="68"/>
      <c r="G176" s="68"/>
      <c r="H176" s="68"/>
      <c r="I176" s="68"/>
      <c r="J176" s="68"/>
      <c r="K176" s="68"/>
      <c r="L176" s="68"/>
      <c r="M176" s="68"/>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row>
    <row r="177" spans="2:61">
      <c r="B177" s="68"/>
      <c r="C177" s="68"/>
      <c r="D177" s="68"/>
      <c r="E177" s="68"/>
      <c r="F177" s="68"/>
      <c r="G177" s="68"/>
      <c r="H177" s="68"/>
      <c r="I177" s="68"/>
      <c r="J177" s="68"/>
      <c r="K177" s="68"/>
      <c r="L177" s="68"/>
      <c r="M177" s="68"/>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row>
    <row r="178" spans="2:61">
      <c r="B178" s="68"/>
      <c r="C178" s="68"/>
      <c r="D178" s="68"/>
      <c r="E178" s="68"/>
      <c r="F178" s="68"/>
      <c r="G178" s="68"/>
      <c r="H178" s="68"/>
      <c r="I178" s="68"/>
      <c r="J178" s="68"/>
      <c r="K178" s="68"/>
      <c r="L178" s="68"/>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row>
    <row r="179" spans="2:61">
      <c r="B179" s="68"/>
      <c r="C179" s="68"/>
      <c r="D179" s="68"/>
      <c r="E179" s="68"/>
      <c r="F179" s="68"/>
      <c r="G179" s="68"/>
      <c r="H179" s="68"/>
      <c r="I179" s="68"/>
      <c r="J179" s="68"/>
      <c r="K179" s="68"/>
      <c r="L179" s="68"/>
      <c r="M179" s="68"/>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row>
    <row r="180" spans="2:61">
      <c r="B180" s="68"/>
      <c r="C180" s="68"/>
      <c r="D180" s="68"/>
      <c r="E180" s="68"/>
      <c r="F180" s="68"/>
      <c r="G180" s="68"/>
      <c r="H180" s="68"/>
      <c r="I180" s="68"/>
      <c r="J180" s="68"/>
      <c r="K180" s="68"/>
      <c r="L180" s="68"/>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row>
    <row r="181" spans="2:61">
      <c r="B181" s="68"/>
      <c r="C181" s="68"/>
      <c r="D181" s="68"/>
      <c r="E181" s="68"/>
      <c r="F181" s="68"/>
      <c r="G181" s="68"/>
      <c r="H181" s="68"/>
      <c r="I181" s="68"/>
      <c r="J181" s="68"/>
      <c r="K181" s="68"/>
      <c r="L181" s="68"/>
      <c r="M181" s="68"/>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row>
    <row r="182" spans="2:61">
      <c r="B182" s="68"/>
      <c r="C182" s="68"/>
      <c r="D182" s="68"/>
      <c r="E182" s="68"/>
      <c r="F182" s="68"/>
      <c r="G182" s="68"/>
      <c r="H182" s="68"/>
      <c r="I182" s="68"/>
      <c r="J182" s="68"/>
      <c r="K182" s="68"/>
      <c r="L182" s="68"/>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row>
    <row r="183" spans="2:61">
      <c r="B183" s="68"/>
      <c r="C183" s="68"/>
      <c r="D183" s="68"/>
      <c r="E183" s="68"/>
      <c r="F183" s="68"/>
      <c r="G183" s="68"/>
      <c r="H183" s="68"/>
      <c r="I183" s="68"/>
      <c r="J183" s="68"/>
      <c r="K183" s="68"/>
      <c r="L183" s="68"/>
      <c r="M183" s="68"/>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row>
    <row r="184" spans="2:61">
      <c r="B184" s="68"/>
      <c r="C184" s="68"/>
      <c r="D184" s="68"/>
      <c r="E184" s="68"/>
      <c r="F184" s="68"/>
      <c r="G184" s="68"/>
      <c r="H184" s="68"/>
      <c r="I184" s="68"/>
      <c r="J184" s="68"/>
      <c r="K184" s="68"/>
      <c r="L184" s="68"/>
      <c r="M184" s="68"/>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row>
    <row r="185" spans="2:61">
      <c r="B185" s="68"/>
      <c r="C185" s="68"/>
      <c r="D185" s="68"/>
      <c r="E185" s="68"/>
      <c r="F185" s="68"/>
      <c r="G185" s="68"/>
      <c r="H185" s="68"/>
      <c r="I185" s="68"/>
      <c r="J185" s="68"/>
      <c r="K185" s="68"/>
      <c r="L185" s="68"/>
      <c r="M185" s="68"/>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row>
    <row r="186" spans="2:61">
      <c r="B186" s="68"/>
      <c r="C186" s="68"/>
      <c r="D186" s="68"/>
      <c r="E186" s="68"/>
      <c r="F186" s="68"/>
      <c r="G186" s="68"/>
      <c r="H186" s="68"/>
      <c r="I186" s="68"/>
      <c r="J186" s="68"/>
      <c r="K186" s="68"/>
      <c r="L186" s="68"/>
      <c r="M186" s="68"/>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row>
    <row r="187" spans="2:61">
      <c r="B187" s="68"/>
      <c r="C187" s="68"/>
      <c r="D187" s="68"/>
      <c r="E187" s="68"/>
      <c r="F187" s="68"/>
      <c r="G187" s="68"/>
      <c r="H187" s="68"/>
      <c r="I187" s="68"/>
      <c r="J187" s="68"/>
      <c r="K187" s="68"/>
      <c r="L187" s="68"/>
      <c r="M187" s="68"/>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row>
    <row r="188" spans="2:61">
      <c r="B188" s="68"/>
      <c r="C188" s="68"/>
      <c r="D188" s="68"/>
      <c r="E188" s="68"/>
      <c r="F188" s="68"/>
      <c r="G188" s="68"/>
      <c r="H188" s="68"/>
      <c r="I188" s="68"/>
      <c r="J188" s="68"/>
      <c r="K188" s="68"/>
      <c r="L188" s="68"/>
      <c r="M188" s="68"/>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row>
    <row r="189" spans="2:61">
      <c r="B189" s="68"/>
      <c r="C189" s="68"/>
      <c r="D189" s="68"/>
      <c r="E189" s="68"/>
      <c r="F189" s="68"/>
      <c r="G189" s="68"/>
      <c r="H189" s="68"/>
      <c r="I189" s="68"/>
      <c r="J189" s="68"/>
      <c r="K189" s="68"/>
      <c r="L189" s="68"/>
      <c r="M189" s="68"/>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row>
    <row r="190" spans="2:61">
      <c r="B190" s="68"/>
      <c r="C190" s="68"/>
      <c r="D190" s="68"/>
      <c r="E190" s="68"/>
      <c r="F190" s="68"/>
      <c r="G190" s="68"/>
      <c r="H190" s="68"/>
      <c r="I190" s="68"/>
      <c r="J190" s="68"/>
      <c r="K190" s="68"/>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row>
    <row r="191" spans="2:61">
      <c r="B191" s="68"/>
      <c r="C191" s="68"/>
      <c r="D191" s="68"/>
      <c r="E191" s="68"/>
      <c r="F191" s="68"/>
      <c r="G191" s="68"/>
      <c r="H191" s="68"/>
      <c r="I191" s="68"/>
      <c r="J191" s="68"/>
      <c r="K191" s="68"/>
      <c r="L191" s="68"/>
      <c r="M191" s="68"/>
      <c r="N191" s="68"/>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row>
    <row r="192" spans="2:61">
      <c r="B192" s="68"/>
      <c r="C192" s="68"/>
      <c r="D192" s="68"/>
      <c r="E192" s="68"/>
      <c r="F192" s="68"/>
      <c r="G192" s="68"/>
      <c r="H192" s="68"/>
      <c r="I192" s="68"/>
      <c r="J192" s="68"/>
      <c r="K192" s="68"/>
      <c r="L192" s="68"/>
      <c r="M192" s="68"/>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row>
    <row r="193" spans="2:61">
      <c r="B193" s="68"/>
      <c r="C193" s="68"/>
      <c r="D193" s="68"/>
      <c r="E193" s="68"/>
      <c r="F193" s="68"/>
      <c r="G193" s="68"/>
      <c r="H193" s="68"/>
      <c r="I193" s="68"/>
      <c r="J193" s="68"/>
      <c r="K193" s="68"/>
      <c r="L193" s="68"/>
      <c r="M193" s="68"/>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row>
    <row r="194" spans="2:61">
      <c r="B194" s="68"/>
      <c r="C194" s="68"/>
      <c r="D194" s="68"/>
      <c r="E194" s="68"/>
      <c r="F194" s="68"/>
      <c r="G194" s="68"/>
      <c r="H194" s="68"/>
      <c r="I194" s="68"/>
      <c r="J194" s="68"/>
      <c r="K194" s="68"/>
      <c r="L194" s="68"/>
      <c r="M194" s="68"/>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row>
    <row r="195" spans="2:61">
      <c r="B195" s="68"/>
      <c r="C195" s="68"/>
      <c r="D195" s="68"/>
      <c r="E195" s="68"/>
      <c r="F195" s="68"/>
      <c r="G195" s="68"/>
      <c r="H195" s="68"/>
      <c r="I195" s="68"/>
      <c r="J195" s="68"/>
      <c r="K195" s="68"/>
      <c r="L195" s="68"/>
      <c r="M195" s="68"/>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row>
    <row r="196" spans="2:61">
      <c r="B196" s="68"/>
      <c r="C196" s="68"/>
      <c r="D196" s="68"/>
      <c r="E196" s="68"/>
      <c r="F196" s="68"/>
      <c r="G196" s="68"/>
      <c r="H196" s="68"/>
      <c r="I196" s="68"/>
      <c r="J196" s="68"/>
      <c r="K196" s="68"/>
      <c r="L196" s="68"/>
      <c r="M196" s="68"/>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row>
    <row r="197" spans="2:61">
      <c r="B197" s="68"/>
      <c r="K197" s="68"/>
      <c r="L197" s="68"/>
      <c r="M197" s="68"/>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row>
    <row r="198" spans="2:61">
      <c r="B198" s="68"/>
      <c r="K198" s="68"/>
      <c r="L198" s="68"/>
      <c r="M198" s="68"/>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row>
    <row r="199" spans="2:61">
      <c r="B199" s="68"/>
      <c r="K199" s="68"/>
      <c r="L199" s="68"/>
      <c r="M199" s="68"/>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row>
    <row r="200" spans="2:61">
      <c r="B200" s="68"/>
      <c r="K200" s="68"/>
      <c r="L200" s="68"/>
      <c r="M200" s="68"/>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row>
    <row r="201" spans="2:61">
      <c r="B201" s="68"/>
      <c r="K201" s="68"/>
      <c r="L201" s="68"/>
      <c r="M201" s="68"/>
      <c r="N201" s="68"/>
      <c r="O201" s="68"/>
      <c r="P201" s="68"/>
      <c r="Q201" s="68"/>
      <c r="R201" s="68"/>
      <c r="S201" s="68"/>
      <c r="T201" s="68"/>
      <c r="U201" s="68"/>
      <c r="V201" s="68"/>
      <c r="W201" s="68"/>
      <c r="X201" s="68"/>
      <c r="Y201" s="68"/>
      <c r="Z201" s="68"/>
      <c r="AA201" s="68"/>
      <c r="AB201" s="68"/>
      <c r="AC201" s="68"/>
      <c r="AD201" s="68"/>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row>
    <row r="202" spans="2:61">
      <c r="B202" s="68"/>
      <c r="K202" s="68"/>
      <c r="L202" s="68"/>
      <c r="M202" s="68"/>
      <c r="N202" s="68"/>
      <c r="O202" s="68"/>
      <c r="P202" s="68"/>
      <c r="Q202" s="68"/>
      <c r="R202" s="68"/>
      <c r="S202" s="68"/>
      <c r="T202" s="68"/>
      <c r="U202" s="68"/>
      <c r="V202" s="68"/>
      <c r="W202" s="68"/>
      <c r="X202" s="68"/>
      <c r="Y202" s="68"/>
      <c r="Z202" s="68"/>
      <c r="AA202" s="68"/>
      <c r="AB202" s="68"/>
      <c r="AC202" s="68"/>
      <c r="AD202" s="68"/>
      <c r="AE202" s="68"/>
      <c r="AF202" s="68"/>
      <c r="AG202" s="68"/>
      <c r="AH202" s="68"/>
      <c r="AI202" s="68"/>
      <c r="AJ202" s="68"/>
      <c r="AK202" s="68"/>
      <c r="AL202" s="68"/>
      <c r="AM202" s="68"/>
      <c r="AN202" s="68"/>
      <c r="AO202" s="68"/>
      <c r="AP202" s="68"/>
      <c r="AQ202" s="68"/>
      <c r="AR202" s="68"/>
      <c r="AS202" s="68"/>
      <c r="AT202" s="68"/>
      <c r="AU202" s="68"/>
      <c r="AV202" s="68"/>
      <c r="AW202" s="68"/>
      <c r="AX202" s="68"/>
      <c r="AY202" s="68"/>
      <c r="AZ202" s="68"/>
      <c r="BA202" s="68"/>
      <c r="BB202" s="68"/>
      <c r="BC202" s="68"/>
      <c r="BD202" s="68"/>
      <c r="BE202" s="68"/>
      <c r="BF202" s="68"/>
      <c r="BG202" s="68"/>
      <c r="BH202" s="68"/>
      <c r="BI202" s="68"/>
    </row>
    <row r="203" spans="2:61">
      <c r="B203" s="68"/>
      <c r="K203" s="68"/>
      <c r="L203" s="68"/>
      <c r="M203" s="68"/>
      <c r="N203" s="68"/>
      <c r="O203" s="68"/>
      <c r="P203" s="68"/>
      <c r="Q203" s="68"/>
      <c r="R203" s="68"/>
      <c r="S203" s="68"/>
      <c r="T203" s="68"/>
      <c r="U203" s="68"/>
      <c r="V203" s="68"/>
      <c r="W203" s="68"/>
      <c r="X203" s="68"/>
      <c r="Y203" s="68"/>
      <c r="Z203" s="68"/>
      <c r="AA203" s="68"/>
      <c r="AB203" s="68"/>
      <c r="AC203" s="68"/>
      <c r="AD203" s="68"/>
      <c r="AE203" s="68"/>
      <c r="AF203" s="68"/>
      <c r="AG203" s="68"/>
      <c r="AH203" s="68"/>
      <c r="AI203" s="68"/>
      <c r="AJ203" s="68"/>
      <c r="AK203" s="68"/>
      <c r="AL203" s="68"/>
      <c r="AM203" s="68"/>
      <c r="AN203" s="68"/>
      <c r="AO203" s="68"/>
      <c r="AP203" s="68"/>
      <c r="AQ203" s="68"/>
      <c r="AR203" s="68"/>
      <c r="AS203" s="68"/>
      <c r="AT203" s="68"/>
      <c r="AU203" s="68"/>
      <c r="AV203" s="68"/>
      <c r="AW203" s="68"/>
      <c r="AX203" s="68"/>
      <c r="AY203" s="68"/>
      <c r="AZ203" s="68"/>
      <c r="BA203" s="68"/>
      <c r="BB203" s="68"/>
      <c r="BC203" s="68"/>
      <c r="BD203" s="68"/>
      <c r="BE203" s="68"/>
      <c r="BF203" s="68"/>
      <c r="BG203" s="68"/>
      <c r="BH203" s="68"/>
      <c r="BI203" s="68"/>
    </row>
    <row r="204" spans="2:61">
      <c r="B204" s="68"/>
      <c r="K204" s="68"/>
      <c r="L204" s="68"/>
      <c r="M204" s="68"/>
      <c r="N204" s="68"/>
      <c r="O204" s="68"/>
      <c r="P204" s="68"/>
      <c r="Q204" s="68"/>
      <c r="R204" s="68"/>
      <c r="S204" s="68"/>
      <c r="T204" s="68"/>
      <c r="U204" s="68"/>
      <c r="V204" s="68"/>
      <c r="W204" s="68"/>
      <c r="X204" s="68"/>
      <c r="Y204" s="68"/>
      <c r="Z204" s="68"/>
      <c r="AA204" s="68"/>
      <c r="AB204" s="68"/>
      <c r="AC204" s="68"/>
      <c r="AD204" s="68"/>
      <c r="AE204" s="68"/>
      <c r="AF204" s="68"/>
      <c r="AG204" s="68"/>
      <c r="AH204" s="68"/>
      <c r="AI204" s="68"/>
      <c r="AJ204" s="68"/>
      <c r="AK204" s="68"/>
      <c r="AL204" s="68"/>
      <c r="AM204" s="68"/>
      <c r="AN204" s="68"/>
      <c r="AO204" s="68"/>
      <c r="AP204" s="68"/>
      <c r="AQ204" s="68"/>
      <c r="AR204" s="68"/>
      <c r="AS204" s="68"/>
      <c r="AT204" s="68"/>
      <c r="AU204" s="68"/>
      <c r="AV204" s="68"/>
      <c r="AW204" s="68"/>
      <c r="AX204" s="68"/>
      <c r="AY204" s="68"/>
      <c r="AZ204" s="68"/>
      <c r="BA204" s="68"/>
      <c r="BB204" s="68"/>
      <c r="BC204" s="68"/>
      <c r="BD204" s="68"/>
      <c r="BE204" s="68"/>
      <c r="BF204" s="68"/>
      <c r="BG204" s="68"/>
      <c r="BH204" s="68"/>
      <c r="BI204" s="68"/>
    </row>
    <row r="205" spans="2:61">
      <c r="B205" s="68"/>
      <c r="K205" s="68"/>
      <c r="L205" s="68"/>
      <c r="M205" s="68"/>
      <c r="N205" s="68"/>
      <c r="O205" s="68"/>
      <c r="P205" s="68"/>
      <c r="Q205" s="68"/>
      <c r="R205" s="68"/>
      <c r="S205" s="68"/>
      <c r="T205" s="68"/>
      <c r="U205" s="68"/>
      <c r="V205" s="68"/>
      <c r="W205" s="68"/>
      <c r="X205" s="68"/>
      <c r="Y205" s="68"/>
      <c r="Z205" s="68"/>
      <c r="AA205" s="68"/>
      <c r="AB205" s="68"/>
      <c r="AC205" s="68"/>
      <c r="AD205" s="68"/>
      <c r="AE205" s="68"/>
      <c r="AF205" s="68"/>
      <c r="AG205" s="68"/>
      <c r="AH205" s="68"/>
      <c r="AI205" s="68"/>
      <c r="AJ205" s="68"/>
      <c r="AK205" s="68"/>
      <c r="AL205" s="68"/>
      <c r="AM205" s="68"/>
      <c r="AN205" s="68"/>
      <c r="AO205" s="68"/>
      <c r="AP205" s="68"/>
      <c r="AQ205" s="68"/>
      <c r="AR205" s="68"/>
      <c r="AS205" s="68"/>
      <c r="AT205" s="68"/>
      <c r="AU205" s="68"/>
      <c r="AV205" s="68"/>
      <c r="AW205" s="68"/>
      <c r="AX205" s="68"/>
      <c r="AY205" s="68"/>
      <c r="AZ205" s="68"/>
      <c r="BA205" s="68"/>
      <c r="BB205" s="68"/>
      <c r="BC205" s="68"/>
      <c r="BD205" s="68"/>
      <c r="BE205" s="68"/>
      <c r="BF205" s="68"/>
      <c r="BG205" s="68"/>
      <c r="BH205" s="68"/>
      <c r="BI205" s="68"/>
    </row>
    <row r="206" spans="2:61">
      <c r="B206" s="68"/>
      <c r="K206" s="68"/>
      <c r="L206" s="68"/>
      <c r="M206" s="68"/>
      <c r="N206" s="68"/>
      <c r="O206" s="68"/>
      <c r="P206" s="68"/>
      <c r="Q206" s="68"/>
      <c r="R206" s="68"/>
      <c r="S206" s="68"/>
      <c r="T206" s="68"/>
      <c r="U206" s="68"/>
      <c r="V206" s="68"/>
      <c r="W206" s="68"/>
      <c r="X206" s="68"/>
      <c r="Y206" s="68"/>
      <c r="Z206" s="68"/>
      <c r="AA206" s="68"/>
      <c r="AB206" s="68"/>
      <c r="AC206" s="68"/>
      <c r="AD206" s="68"/>
      <c r="AE206" s="68"/>
      <c r="AF206" s="68"/>
      <c r="AG206" s="68"/>
      <c r="AH206" s="68"/>
      <c r="AI206" s="68"/>
      <c r="AJ206" s="68"/>
      <c r="AK206" s="68"/>
      <c r="AL206" s="68"/>
      <c r="AM206" s="68"/>
      <c r="AN206" s="68"/>
      <c r="AO206" s="68"/>
      <c r="AP206" s="68"/>
      <c r="AQ206" s="68"/>
      <c r="AR206" s="68"/>
      <c r="AS206" s="68"/>
      <c r="AT206" s="68"/>
      <c r="AU206" s="68"/>
      <c r="AV206" s="68"/>
      <c r="AW206" s="68"/>
      <c r="AX206" s="68"/>
      <c r="AY206" s="68"/>
      <c r="AZ206" s="68"/>
      <c r="BA206" s="68"/>
      <c r="BB206" s="68"/>
      <c r="BC206" s="68"/>
      <c r="BD206" s="68"/>
      <c r="BE206" s="68"/>
      <c r="BF206" s="68"/>
      <c r="BG206" s="68"/>
      <c r="BH206" s="68"/>
      <c r="BI206" s="68"/>
    </row>
    <row r="207" spans="2:61">
      <c r="B207" s="68"/>
      <c r="K207" s="68"/>
      <c r="L207" s="68"/>
      <c r="M207" s="68"/>
      <c r="N207" s="68"/>
      <c r="O207" s="68"/>
      <c r="P207" s="68"/>
      <c r="Q207" s="68"/>
      <c r="R207" s="68"/>
      <c r="S207" s="68"/>
      <c r="T207" s="68"/>
      <c r="U207" s="68"/>
      <c r="V207" s="68"/>
      <c r="W207" s="68"/>
      <c r="X207" s="68"/>
      <c r="Y207" s="68"/>
      <c r="Z207" s="68"/>
      <c r="AA207" s="68"/>
      <c r="AB207" s="68"/>
      <c r="AC207" s="68"/>
      <c r="AD207" s="68"/>
      <c r="AE207" s="68"/>
      <c r="AF207" s="68"/>
      <c r="AG207" s="68"/>
      <c r="AH207" s="68"/>
      <c r="AI207" s="68"/>
      <c r="AJ207" s="68"/>
      <c r="AK207" s="68"/>
      <c r="AL207" s="68"/>
      <c r="AM207" s="68"/>
      <c r="AN207" s="68"/>
      <c r="AO207" s="68"/>
      <c r="AP207" s="68"/>
      <c r="AQ207" s="68"/>
      <c r="AR207" s="68"/>
      <c r="AS207" s="68"/>
      <c r="AT207" s="68"/>
      <c r="AU207" s="68"/>
      <c r="AV207" s="68"/>
      <c r="AW207" s="68"/>
      <c r="AX207" s="68"/>
      <c r="AY207" s="68"/>
      <c r="AZ207" s="68"/>
      <c r="BA207" s="68"/>
      <c r="BB207" s="68"/>
      <c r="BC207" s="68"/>
      <c r="BD207" s="68"/>
      <c r="BE207" s="68"/>
      <c r="BF207" s="68"/>
      <c r="BG207" s="68"/>
      <c r="BH207" s="68"/>
      <c r="BI207" s="68"/>
    </row>
    <row r="208" spans="2:61">
      <c r="B208" s="68"/>
      <c r="K208" s="68"/>
      <c r="L208" s="68"/>
      <c r="M208" s="68"/>
      <c r="N208" s="68"/>
      <c r="O208" s="68"/>
      <c r="P208" s="68"/>
      <c r="Q208" s="68"/>
      <c r="R208" s="68"/>
      <c r="S208" s="68"/>
      <c r="T208" s="68"/>
      <c r="U208" s="68"/>
      <c r="V208" s="68"/>
      <c r="W208" s="68"/>
      <c r="X208" s="68"/>
      <c r="Y208" s="68"/>
      <c r="Z208" s="68"/>
      <c r="AA208" s="68"/>
      <c r="AB208" s="68"/>
      <c r="AC208" s="68"/>
      <c r="AD208" s="68"/>
      <c r="AE208" s="68"/>
      <c r="AF208" s="68"/>
      <c r="AG208" s="68"/>
      <c r="AH208" s="68"/>
      <c r="AI208" s="68"/>
      <c r="AJ208" s="68"/>
      <c r="AK208" s="68"/>
      <c r="AL208" s="68"/>
      <c r="AM208" s="68"/>
      <c r="AN208" s="68"/>
      <c r="AO208" s="68"/>
      <c r="AP208" s="68"/>
      <c r="AQ208" s="68"/>
      <c r="AR208" s="68"/>
      <c r="AS208" s="68"/>
      <c r="AT208" s="68"/>
      <c r="AU208" s="68"/>
      <c r="AV208" s="68"/>
      <c r="AW208" s="68"/>
      <c r="AX208" s="68"/>
      <c r="AY208" s="68"/>
      <c r="AZ208" s="68"/>
      <c r="BA208" s="68"/>
      <c r="BB208" s="68"/>
      <c r="BC208" s="68"/>
      <c r="BD208" s="68"/>
      <c r="BE208" s="68"/>
      <c r="BF208" s="68"/>
      <c r="BG208" s="68"/>
      <c r="BH208" s="68"/>
      <c r="BI208" s="68"/>
    </row>
    <row r="209" spans="2:61">
      <c r="B209" s="68"/>
      <c r="K209" s="68"/>
      <c r="L209" s="68"/>
      <c r="M209" s="68"/>
      <c r="N209" s="68"/>
      <c r="O209" s="68"/>
      <c r="P209" s="68"/>
      <c r="Q209" s="68"/>
      <c r="R209" s="68"/>
      <c r="S209" s="68"/>
      <c r="T209" s="68"/>
      <c r="U209" s="68"/>
      <c r="V209" s="68"/>
      <c r="W209" s="68"/>
      <c r="X209" s="68"/>
      <c r="Y209" s="68"/>
      <c r="Z209" s="68"/>
      <c r="AA209" s="68"/>
      <c r="AB209" s="68"/>
      <c r="AC209" s="68"/>
      <c r="AD209" s="68"/>
      <c r="AE209" s="68"/>
      <c r="AF209" s="68"/>
      <c r="AG209" s="68"/>
      <c r="AH209" s="68"/>
      <c r="AI209" s="68"/>
      <c r="AJ209" s="68"/>
      <c r="AK209" s="68"/>
      <c r="AL209" s="68"/>
      <c r="AM209" s="68"/>
      <c r="AN209" s="68"/>
      <c r="AO209" s="68"/>
      <c r="AP209" s="68"/>
      <c r="AQ209" s="68"/>
      <c r="AR209" s="68"/>
      <c r="AS209" s="68"/>
      <c r="AT209" s="68"/>
      <c r="AU209" s="68"/>
      <c r="AV209" s="68"/>
      <c r="AW209" s="68"/>
      <c r="AX209" s="68"/>
      <c r="AY209" s="68"/>
      <c r="AZ209" s="68"/>
      <c r="BA209" s="68"/>
      <c r="BB209" s="68"/>
      <c r="BC209" s="68"/>
      <c r="BD209" s="68"/>
      <c r="BE209" s="68"/>
      <c r="BF209" s="68"/>
      <c r="BG209" s="68"/>
      <c r="BH209" s="68"/>
      <c r="BI209" s="68"/>
    </row>
    <row r="210" spans="2:61">
      <c r="B210" s="68"/>
      <c r="K210" s="68"/>
      <c r="L210" s="68"/>
      <c r="M210" s="68"/>
      <c r="N210" s="68"/>
      <c r="O210" s="68"/>
      <c r="P210" s="68"/>
      <c r="Q210" s="68"/>
      <c r="R210" s="68"/>
      <c r="S210" s="68"/>
      <c r="T210" s="68"/>
      <c r="U210" s="68"/>
      <c r="V210" s="68"/>
      <c r="W210" s="68"/>
      <c r="X210" s="68"/>
      <c r="Y210" s="68"/>
      <c r="Z210" s="68"/>
      <c r="AA210" s="68"/>
      <c r="AB210" s="68"/>
      <c r="AC210" s="68"/>
      <c r="AD210" s="68"/>
      <c r="AE210" s="68"/>
      <c r="AF210" s="68"/>
      <c r="AG210" s="68"/>
      <c r="AH210" s="68"/>
      <c r="AI210" s="68"/>
      <c r="AJ210" s="68"/>
      <c r="AK210" s="68"/>
      <c r="AL210" s="68"/>
      <c r="AM210" s="68"/>
      <c r="AN210" s="68"/>
      <c r="AO210" s="68"/>
      <c r="AP210" s="68"/>
      <c r="AQ210" s="68"/>
      <c r="AR210" s="68"/>
      <c r="AS210" s="68"/>
      <c r="AT210" s="68"/>
      <c r="AU210" s="68"/>
      <c r="AV210" s="68"/>
      <c r="AW210" s="68"/>
      <c r="AX210" s="68"/>
      <c r="AY210" s="68"/>
      <c r="AZ210" s="68"/>
      <c r="BA210" s="68"/>
      <c r="BB210" s="68"/>
      <c r="BC210" s="68"/>
      <c r="BD210" s="68"/>
      <c r="BE210" s="68"/>
      <c r="BF210" s="68"/>
      <c r="BG210" s="68"/>
      <c r="BH210" s="68"/>
      <c r="BI210" s="68"/>
    </row>
    <row r="211" spans="2:61">
      <c r="B211" s="68"/>
      <c r="K211" s="68"/>
      <c r="L211" s="68"/>
      <c r="M211" s="68"/>
      <c r="N211" s="68"/>
      <c r="O211" s="68"/>
      <c r="P211" s="68"/>
      <c r="Q211" s="68"/>
      <c r="R211" s="68"/>
      <c r="S211" s="68"/>
      <c r="T211" s="68"/>
      <c r="U211" s="68"/>
      <c r="V211" s="68"/>
      <c r="W211" s="68"/>
      <c r="X211" s="68"/>
      <c r="Y211" s="68"/>
      <c r="Z211" s="68"/>
      <c r="AA211" s="68"/>
      <c r="AB211" s="68"/>
      <c r="AC211" s="68"/>
      <c r="AD211" s="68"/>
      <c r="AE211" s="68"/>
      <c r="AF211" s="68"/>
      <c r="AG211" s="68"/>
      <c r="AH211" s="68"/>
      <c r="AI211" s="68"/>
      <c r="AJ211" s="68"/>
      <c r="AK211" s="68"/>
      <c r="AL211" s="68"/>
      <c r="AM211" s="68"/>
      <c r="AN211" s="68"/>
      <c r="AO211" s="68"/>
      <c r="AP211" s="68"/>
      <c r="AQ211" s="68"/>
      <c r="AR211" s="68"/>
      <c r="AS211" s="68"/>
      <c r="AT211" s="68"/>
      <c r="AU211" s="68"/>
      <c r="AV211" s="68"/>
      <c r="AW211" s="68"/>
      <c r="AX211" s="68"/>
      <c r="AY211" s="68"/>
      <c r="AZ211" s="68"/>
      <c r="BA211" s="68"/>
      <c r="BB211" s="68"/>
      <c r="BC211" s="68"/>
      <c r="BD211" s="68"/>
      <c r="BE211" s="68"/>
      <c r="BF211" s="68"/>
      <c r="BG211" s="68"/>
      <c r="BH211" s="68"/>
      <c r="BI211" s="68"/>
    </row>
    <row r="212" spans="2:61">
      <c r="B212" s="68"/>
      <c r="K212" s="68"/>
      <c r="L212" s="68"/>
      <c r="M212" s="68"/>
      <c r="N212" s="68"/>
      <c r="O212" s="68"/>
      <c r="P212" s="68"/>
      <c r="Q212" s="68"/>
      <c r="R212" s="68"/>
      <c r="S212" s="68"/>
      <c r="T212" s="68"/>
      <c r="U212" s="68"/>
      <c r="V212" s="68"/>
      <c r="W212" s="68"/>
      <c r="X212" s="68"/>
      <c r="Y212" s="68"/>
      <c r="Z212" s="68"/>
      <c r="AA212" s="68"/>
      <c r="AB212" s="68"/>
      <c r="AC212" s="68"/>
      <c r="AD212" s="68"/>
      <c r="AE212" s="68"/>
      <c r="AF212" s="68"/>
      <c r="AG212" s="68"/>
      <c r="AH212" s="68"/>
      <c r="AI212" s="68"/>
      <c r="AJ212" s="68"/>
      <c r="AK212" s="68"/>
      <c r="AL212" s="68"/>
      <c r="AM212" s="68"/>
      <c r="AN212" s="68"/>
      <c r="AO212" s="68"/>
      <c r="AP212" s="68"/>
      <c r="AQ212" s="68"/>
      <c r="AR212" s="68"/>
      <c r="AS212" s="68"/>
      <c r="AT212" s="68"/>
      <c r="AU212" s="68"/>
      <c r="AV212" s="68"/>
      <c r="AW212" s="68"/>
      <c r="AX212" s="68"/>
      <c r="AY212" s="68"/>
      <c r="AZ212" s="68"/>
      <c r="BA212" s="68"/>
      <c r="BB212" s="68"/>
      <c r="BC212" s="68"/>
      <c r="BD212" s="68"/>
      <c r="BE212" s="68"/>
      <c r="BF212" s="68"/>
      <c r="BG212" s="68"/>
      <c r="BH212" s="68"/>
      <c r="BI212" s="68"/>
    </row>
    <row r="213" spans="2:61">
      <c r="B213" s="68"/>
      <c r="K213" s="68"/>
      <c r="L213" s="68"/>
      <c r="M213" s="68"/>
      <c r="N213" s="68"/>
      <c r="O213" s="68"/>
      <c r="P213" s="68"/>
      <c r="Q213" s="68"/>
      <c r="R213" s="68"/>
      <c r="S213" s="68"/>
      <c r="T213" s="68"/>
      <c r="U213" s="68"/>
      <c r="V213" s="68"/>
      <c r="W213" s="68"/>
      <c r="X213" s="68"/>
      <c r="Y213" s="68"/>
      <c r="Z213" s="68"/>
      <c r="AA213" s="68"/>
      <c r="AB213" s="68"/>
      <c r="AC213" s="68"/>
      <c r="AD213" s="68"/>
      <c r="AE213" s="68"/>
      <c r="AF213" s="68"/>
      <c r="AG213" s="68"/>
      <c r="AH213" s="68"/>
      <c r="AI213" s="68"/>
      <c r="AJ213" s="68"/>
      <c r="AK213" s="68"/>
      <c r="AL213" s="68"/>
      <c r="AM213" s="68"/>
      <c r="AN213" s="68"/>
      <c r="AO213" s="68"/>
      <c r="AP213" s="68"/>
      <c r="AQ213" s="68"/>
      <c r="AR213" s="68"/>
      <c r="AS213" s="68"/>
      <c r="AT213" s="68"/>
      <c r="AU213" s="68"/>
      <c r="AV213" s="68"/>
      <c r="AW213" s="68"/>
      <c r="AX213" s="68"/>
      <c r="AY213" s="68"/>
      <c r="AZ213" s="68"/>
      <c r="BA213" s="68"/>
      <c r="BB213" s="68"/>
      <c r="BC213" s="68"/>
      <c r="BD213" s="68"/>
      <c r="BE213" s="68"/>
      <c r="BF213" s="68"/>
      <c r="BG213" s="68"/>
      <c r="BH213" s="68"/>
      <c r="BI213" s="68"/>
    </row>
    <row r="214" spans="2:61">
      <c r="B214" s="68"/>
      <c r="K214" s="68"/>
      <c r="L214" s="68"/>
      <c r="M214" s="68"/>
      <c r="N214" s="68"/>
      <c r="O214" s="68"/>
      <c r="P214" s="68"/>
      <c r="Q214" s="68"/>
      <c r="R214" s="68"/>
      <c r="S214" s="68"/>
      <c r="T214" s="68"/>
      <c r="U214" s="68"/>
      <c r="V214" s="68"/>
      <c r="W214" s="68"/>
      <c r="X214" s="68"/>
      <c r="Y214" s="68"/>
      <c r="Z214" s="68"/>
      <c r="AA214" s="68"/>
      <c r="AB214" s="68"/>
      <c r="AC214" s="68"/>
      <c r="AD214" s="68"/>
      <c r="AE214" s="68"/>
      <c r="AF214" s="68"/>
      <c r="AG214" s="68"/>
      <c r="AH214" s="68"/>
      <c r="AI214" s="68"/>
      <c r="AJ214" s="68"/>
      <c r="AK214" s="68"/>
      <c r="AL214" s="68"/>
      <c r="AM214" s="68"/>
      <c r="AN214" s="68"/>
      <c r="AO214" s="68"/>
      <c r="AP214" s="68"/>
      <c r="AQ214" s="68"/>
      <c r="AR214" s="68"/>
      <c r="AS214" s="68"/>
      <c r="AT214" s="68"/>
      <c r="AU214" s="68"/>
      <c r="AV214" s="68"/>
      <c r="AW214" s="68"/>
      <c r="AX214" s="68"/>
      <c r="AY214" s="68"/>
      <c r="AZ214" s="68"/>
      <c r="BA214" s="68"/>
      <c r="BB214" s="68"/>
      <c r="BC214" s="68"/>
      <c r="BD214" s="68"/>
      <c r="BE214" s="68"/>
      <c r="BF214" s="68"/>
      <c r="BG214" s="68"/>
      <c r="BH214" s="68"/>
      <c r="BI214" s="68"/>
    </row>
    <row r="215" spans="2:61">
      <c r="B215" s="68"/>
      <c r="K215" s="68"/>
      <c r="L215" s="68"/>
      <c r="M215" s="68"/>
      <c r="N215" s="68"/>
      <c r="O215" s="68"/>
      <c r="P215" s="68"/>
      <c r="Q215" s="68"/>
      <c r="R215" s="68"/>
      <c r="S215" s="68"/>
      <c r="T215" s="68"/>
      <c r="U215" s="68"/>
      <c r="V215" s="68"/>
      <c r="W215" s="68"/>
      <c r="X215" s="68"/>
      <c r="Y215" s="68"/>
      <c r="Z215" s="68"/>
      <c r="AA215" s="68"/>
      <c r="AB215" s="68"/>
      <c r="AC215" s="68"/>
      <c r="AD215" s="68"/>
      <c r="AE215" s="68"/>
      <c r="AF215" s="68"/>
      <c r="AG215" s="68"/>
      <c r="AH215" s="68"/>
      <c r="AI215" s="68"/>
      <c r="AJ215" s="68"/>
      <c r="AK215" s="68"/>
      <c r="AL215" s="68"/>
      <c r="AM215" s="68"/>
      <c r="AN215" s="68"/>
      <c r="AO215" s="68"/>
      <c r="AP215" s="68"/>
      <c r="AQ215" s="68"/>
      <c r="AR215" s="68"/>
      <c r="AS215" s="68"/>
      <c r="AT215" s="68"/>
      <c r="AU215" s="68"/>
      <c r="AV215" s="68"/>
      <c r="AW215" s="68"/>
      <c r="AX215" s="68"/>
      <c r="AY215" s="68"/>
      <c r="AZ215" s="68"/>
      <c r="BA215" s="68"/>
      <c r="BB215" s="68"/>
      <c r="BC215" s="68"/>
      <c r="BD215" s="68"/>
      <c r="BE215" s="68"/>
      <c r="BF215" s="68"/>
      <c r="BG215" s="68"/>
      <c r="BH215" s="68"/>
      <c r="BI215" s="68"/>
    </row>
    <row r="216" spans="2:61">
      <c r="B216" s="68"/>
      <c r="K216" s="68"/>
      <c r="L216" s="68"/>
      <c r="M216" s="68"/>
      <c r="N216" s="68"/>
      <c r="O216" s="68"/>
      <c r="P216" s="68"/>
      <c r="Q216" s="68"/>
      <c r="R216" s="68"/>
      <c r="S216" s="68"/>
      <c r="T216" s="68"/>
      <c r="U216" s="68"/>
      <c r="V216" s="68"/>
      <c r="W216" s="68"/>
      <c r="X216" s="68"/>
      <c r="Y216" s="68"/>
      <c r="Z216" s="68"/>
      <c r="AA216" s="68"/>
      <c r="AB216" s="68"/>
      <c r="AC216" s="68"/>
      <c r="AD216" s="68"/>
      <c r="AE216" s="68"/>
      <c r="AF216" s="68"/>
      <c r="AG216" s="68"/>
      <c r="AH216" s="68"/>
      <c r="AI216" s="68"/>
      <c r="AJ216" s="68"/>
      <c r="AK216" s="68"/>
      <c r="AL216" s="68"/>
      <c r="AM216" s="68"/>
      <c r="AN216" s="68"/>
      <c r="AO216" s="68"/>
      <c r="AP216" s="68"/>
      <c r="AQ216" s="68"/>
      <c r="AR216" s="68"/>
      <c r="AS216" s="68"/>
      <c r="AT216" s="68"/>
      <c r="AU216" s="68"/>
      <c r="AV216" s="68"/>
      <c r="AW216" s="68"/>
      <c r="AX216" s="68"/>
      <c r="AY216" s="68"/>
      <c r="AZ216" s="68"/>
      <c r="BA216" s="68"/>
      <c r="BB216" s="68"/>
      <c r="BC216" s="68"/>
      <c r="BD216" s="68"/>
      <c r="BE216" s="68"/>
      <c r="BF216" s="68"/>
      <c r="BG216" s="68"/>
      <c r="BH216" s="68"/>
      <c r="BI216" s="68"/>
    </row>
    <row r="217" spans="2:61">
      <c r="B217" s="68"/>
      <c r="K217" s="68"/>
      <c r="L217" s="68"/>
      <c r="M217" s="68"/>
      <c r="N217" s="68"/>
      <c r="O217" s="68"/>
      <c r="P217" s="68"/>
      <c r="Q217" s="68"/>
      <c r="R217" s="68"/>
      <c r="S217" s="68"/>
      <c r="T217" s="68"/>
      <c r="U217" s="68"/>
      <c r="V217" s="68"/>
      <c r="W217" s="68"/>
      <c r="X217" s="68"/>
      <c r="Y217" s="68"/>
      <c r="Z217" s="68"/>
      <c r="AA217" s="68"/>
      <c r="AB217" s="68"/>
      <c r="AC217" s="68"/>
      <c r="AD217" s="68"/>
      <c r="AE217" s="68"/>
      <c r="AF217" s="68"/>
      <c r="AG217" s="68"/>
      <c r="AH217" s="68"/>
      <c r="AI217" s="68"/>
      <c r="AJ217" s="68"/>
      <c r="AK217" s="68"/>
      <c r="AL217" s="68"/>
      <c r="AM217" s="68"/>
      <c r="AN217" s="68"/>
      <c r="AO217" s="68"/>
      <c r="AP217" s="68"/>
      <c r="AQ217" s="68"/>
      <c r="AR217" s="68"/>
      <c r="AS217" s="68"/>
      <c r="AT217" s="68"/>
      <c r="AU217" s="68"/>
      <c r="AV217" s="68"/>
      <c r="AW217" s="68"/>
      <c r="AX217" s="68"/>
      <c r="AY217" s="68"/>
      <c r="AZ217" s="68"/>
      <c r="BA217" s="68"/>
      <c r="BB217" s="68"/>
      <c r="BC217" s="68"/>
      <c r="BD217" s="68"/>
      <c r="BE217" s="68"/>
      <c r="BF217" s="68"/>
      <c r="BG217" s="68"/>
      <c r="BH217" s="68"/>
      <c r="BI217" s="68"/>
    </row>
    <row r="218" spans="2:61">
      <c r="B218" s="68"/>
      <c r="K218" s="68"/>
      <c r="L218" s="68"/>
      <c r="M218" s="68"/>
      <c r="N218" s="68"/>
      <c r="O218" s="68"/>
      <c r="P218" s="68"/>
      <c r="Q218" s="68"/>
      <c r="R218" s="68"/>
      <c r="S218" s="68"/>
      <c r="T218" s="68"/>
      <c r="U218" s="68"/>
      <c r="V218" s="68"/>
      <c r="W218" s="68"/>
      <c r="X218" s="68"/>
      <c r="Y218" s="68"/>
      <c r="Z218" s="68"/>
      <c r="AA218" s="68"/>
      <c r="AB218" s="68"/>
      <c r="AC218" s="68"/>
      <c r="AD218" s="68"/>
      <c r="AE218" s="68"/>
      <c r="AF218" s="68"/>
      <c r="AG218" s="68"/>
      <c r="AH218" s="68"/>
      <c r="AI218" s="68"/>
      <c r="AJ218" s="68"/>
      <c r="AK218" s="68"/>
      <c r="AL218" s="68"/>
      <c r="AM218" s="68"/>
      <c r="AN218" s="68"/>
      <c r="AO218" s="68"/>
      <c r="AP218" s="68"/>
      <c r="AQ218" s="68"/>
      <c r="AR218" s="68"/>
      <c r="AS218" s="68"/>
      <c r="AT218" s="68"/>
      <c r="AU218" s="68"/>
      <c r="AV218" s="68"/>
      <c r="AW218" s="68"/>
      <c r="AX218" s="68"/>
      <c r="AY218" s="68"/>
      <c r="AZ218" s="68"/>
      <c r="BA218" s="68"/>
      <c r="BB218" s="68"/>
      <c r="BC218" s="68"/>
      <c r="BD218" s="68"/>
      <c r="BE218" s="68"/>
      <c r="BF218" s="68"/>
      <c r="BG218" s="68"/>
      <c r="BH218" s="68"/>
      <c r="BI218" s="68"/>
    </row>
    <row r="219" spans="2:61">
      <c r="B219" s="68"/>
      <c r="K219" s="68"/>
      <c r="L219" s="68"/>
      <c r="M219" s="68"/>
      <c r="N219" s="68"/>
      <c r="O219" s="68"/>
      <c r="P219" s="68"/>
      <c r="Q219" s="68"/>
      <c r="R219" s="68"/>
      <c r="S219" s="68"/>
      <c r="T219" s="68"/>
      <c r="U219" s="68"/>
      <c r="V219" s="68"/>
      <c r="W219" s="68"/>
      <c r="X219" s="68"/>
      <c r="Y219" s="68"/>
      <c r="Z219" s="68"/>
      <c r="AA219" s="68"/>
      <c r="AB219" s="68"/>
      <c r="AC219" s="68"/>
      <c r="AD219" s="68"/>
      <c r="AE219" s="68"/>
      <c r="AF219" s="68"/>
      <c r="AG219" s="68"/>
      <c r="AH219" s="68"/>
      <c r="AI219" s="68"/>
      <c r="AJ219" s="68"/>
      <c r="AK219" s="68"/>
      <c r="AL219" s="68"/>
      <c r="AM219" s="68"/>
      <c r="AN219" s="68"/>
      <c r="AO219" s="68"/>
      <c r="AP219" s="68"/>
      <c r="AQ219" s="68"/>
      <c r="AR219" s="68"/>
      <c r="AS219" s="68"/>
      <c r="AT219" s="68"/>
      <c r="AU219" s="68"/>
      <c r="AV219" s="68"/>
      <c r="AW219" s="68"/>
      <c r="AX219" s="68"/>
      <c r="AY219" s="68"/>
      <c r="AZ219" s="68"/>
      <c r="BA219" s="68"/>
      <c r="BB219" s="68"/>
      <c r="BC219" s="68"/>
      <c r="BD219" s="68"/>
      <c r="BE219" s="68"/>
      <c r="BF219" s="68"/>
      <c r="BG219" s="68"/>
      <c r="BH219" s="68"/>
      <c r="BI219" s="68"/>
    </row>
    <row r="220" spans="2:61">
      <c r="B220" s="68"/>
      <c r="K220" s="68"/>
      <c r="L220" s="68"/>
      <c r="M220" s="68"/>
      <c r="N220" s="68"/>
      <c r="O220" s="68"/>
      <c r="P220" s="68"/>
      <c r="Q220" s="68"/>
      <c r="R220" s="68"/>
      <c r="S220" s="68"/>
      <c r="T220" s="68"/>
      <c r="U220" s="68"/>
      <c r="V220" s="68"/>
      <c r="W220" s="68"/>
      <c r="X220" s="68"/>
      <c r="Y220" s="68"/>
      <c r="Z220" s="68"/>
      <c r="AA220" s="68"/>
      <c r="AB220" s="68"/>
      <c r="AC220" s="68"/>
      <c r="AD220" s="68"/>
      <c r="AE220" s="68"/>
      <c r="AF220" s="68"/>
      <c r="AG220" s="68"/>
      <c r="AH220" s="68"/>
      <c r="AI220" s="68"/>
      <c r="AJ220" s="68"/>
      <c r="AK220" s="68"/>
      <c r="AL220" s="68"/>
      <c r="AM220" s="68"/>
      <c r="AN220" s="68"/>
      <c r="AO220" s="68"/>
      <c r="AP220" s="68"/>
      <c r="AQ220" s="68"/>
      <c r="AR220" s="68"/>
      <c r="AS220" s="68"/>
      <c r="AT220" s="68"/>
      <c r="AU220" s="68"/>
      <c r="AV220" s="68"/>
      <c r="AW220" s="68"/>
      <c r="AX220" s="68"/>
      <c r="AY220" s="68"/>
      <c r="AZ220" s="68"/>
      <c r="BA220" s="68"/>
      <c r="BB220" s="68"/>
      <c r="BC220" s="68"/>
      <c r="BD220" s="68"/>
      <c r="BE220" s="68"/>
      <c r="BF220" s="68"/>
      <c r="BG220" s="68"/>
      <c r="BH220" s="68"/>
      <c r="BI220" s="68"/>
    </row>
    <row r="221" spans="2:61">
      <c r="B221" s="68"/>
      <c r="K221" s="68"/>
      <c r="L221" s="68"/>
      <c r="M221" s="68"/>
      <c r="N221" s="68"/>
      <c r="O221" s="68"/>
      <c r="P221" s="68"/>
      <c r="Q221" s="68"/>
      <c r="R221" s="68"/>
      <c r="S221" s="68"/>
      <c r="T221" s="68"/>
      <c r="U221" s="68"/>
      <c r="V221" s="68"/>
      <c r="W221" s="68"/>
      <c r="X221" s="68"/>
      <c r="Y221" s="68"/>
      <c r="Z221" s="68"/>
      <c r="AA221" s="68"/>
      <c r="AB221" s="68"/>
      <c r="AC221" s="68"/>
      <c r="AD221" s="68"/>
      <c r="AE221" s="68"/>
      <c r="AF221" s="68"/>
      <c r="AG221" s="68"/>
      <c r="AH221" s="68"/>
      <c r="AI221" s="68"/>
      <c r="AJ221" s="68"/>
      <c r="AK221" s="68"/>
      <c r="AL221" s="68"/>
      <c r="AM221" s="68"/>
      <c r="AN221" s="68"/>
      <c r="AO221" s="68"/>
      <c r="AP221" s="68"/>
      <c r="AQ221" s="68"/>
      <c r="AR221" s="68"/>
      <c r="AS221" s="68"/>
      <c r="AT221" s="68"/>
      <c r="AU221" s="68"/>
      <c r="AV221" s="68"/>
      <c r="AW221" s="68"/>
      <c r="AX221" s="68"/>
      <c r="AY221" s="68"/>
      <c r="AZ221" s="68"/>
      <c r="BA221" s="68"/>
      <c r="BB221" s="68"/>
      <c r="BC221" s="68"/>
      <c r="BD221" s="68"/>
      <c r="BE221" s="68"/>
      <c r="BF221" s="68"/>
      <c r="BG221" s="68"/>
      <c r="BH221" s="68"/>
      <c r="BI221" s="68"/>
    </row>
    <row r="222" spans="2:61">
      <c r="B222" s="68"/>
      <c r="K222" s="68"/>
      <c r="L222" s="68"/>
      <c r="M222" s="68"/>
      <c r="N222" s="68"/>
      <c r="O222" s="68"/>
      <c r="P222" s="68"/>
      <c r="Q222" s="68"/>
      <c r="R222" s="68"/>
      <c r="S222" s="68"/>
      <c r="T222" s="68"/>
      <c r="U222" s="68"/>
      <c r="V222" s="68"/>
      <c r="W222" s="68"/>
      <c r="X222" s="68"/>
      <c r="Y222" s="68"/>
      <c r="Z222" s="68"/>
      <c r="AA222" s="68"/>
      <c r="AB222" s="68"/>
      <c r="AC222" s="68"/>
      <c r="AD222" s="68"/>
      <c r="AE222" s="68"/>
      <c r="AF222" s="68"/>
      <c r="AG222" s="68"/>
      <c r="AH222" s="68"/>
      <c r="AI222" s="68"/>
      <c r="AJ222" s="68"/>
      <c r="AK222" s="68"/>
      <c r="AL222" s="68"/>
      <c r="AM222" s="68"/>
      <c r="AN222" s="68"/>
      <c r="AO222" s="68"/>
      <c r="AP222" s="68"/>
      <c r="AQ222" s="68"/>
      <c r="AR222" s="68"/>
      <c r="AS222" s="68"/>
      <c r="AT222" s="68"/>
      <c r="AU222" s="68"/>
      <c r="AV222" s="68"/>
      <c r="AW222" s="68"/>
      <c r="AX222" s="68"/>
      <c r="AY222" s="68"/>
      <c r="AZ222" s="68"/>
      <c r="BA222" s="68"/>
      <c r="BB222" s="68"/>
      <c r="BC222" s="68"/>
      <c r="BD222" s="68"/>
      <c r="BE222" s="68"/>
      <c r="BF222" s="68"/>
      <c r="BG222" s="68"/>
      <c r="BH222" s="68"/>
      <c r="BI222" s="68"/>
    </row>
    <row r="223" spans="2:61">
      <c r="B223" s="68"/>
      <c r="K223" s="68"/>
      <c r="L223" s="68"/>
      <c r="M223" s="68"/>
      <c r="N223" s="68"/>
      <c r="O223" s="68"/>
      <c r="P223" s="68"/>
      <c r="Q223" s="68"/>
      <c r="R223" s="68"/>
      <c r="S223" s="68"/>
      <c r="T223" s="68"/>
      <c r="U223" s="68"/>
      <c r="V223" s="68"/>
      <c r="W223" s="68"/>
      <c r="X223" s="68"/>
      <c r="Y223" s="68"/>
      <c r="Z223" s="68"/>
      <c r="AA223" s="68"/>
      <c r="AB223" s="68"/>
      <c r="AC223" s="68"/>
      <c r="AD223" s="68"/>
      <c r="AE223" s="68"/>
      <c r="AF223" s="68"/>
      <c r="AG223" s="68"/>
      <c r="AH223" s="68"/>
      <c r="AI223" s="68"/>
      <c r="AJ223" s="68"/>
      <c r="AK223" s="68"/>
      <c r="AL223" s="68"/>
      <c r="AM223" s="68"/>
      <c r="AN223" s="68"/>
      <c r="AO223" s="68"/>
      <c r="AP223" s="68"/>
      <c r="AQ223" s="68"/>
      <c r="AR223" s="68"/>
      <c r="AS223" s="68"/>
      <c r="AT223" s="68"/>
      <c r="AU223" s="68"/>
      <c r="AV223" s="68"/>
      <c r="AW223" s="68"/>
      <c r="AX223" s="68"/>
      <c r="AY223" s="68"/>
      <c r="AZ223" s="68"/>
      <c r="BA223" s="68"/>
      <c r="BB223" s="68"/>
      <c r="BC223" s="68"/>
      <c r="BD223" s="68"/>
      <c r="BE223" s="68"/>
      <c r="BF223" s="68"/>
      <c r="BG223" s="68"/>
      <c r="BH223" s="68"/>
      <c r="BI223" s="68"/>
    </row>
    <row r="224" spans="2:61">
      <c r="B224" s="68"/>
      <c r="K224" s="68"/>
      <c r="L224" s="68"/>
      <c r="M224" s="68"/>
      <c r="N224" s="68"/>
      <c r="O224" s="68"/>
      <c r="P224" s="68"/>
      <c r="Q224" s="68"/>
      <c r="R224" s="68"/>
      <c r="S224" s="68"/>
      <c r="T224" s="68"/>
      <c r="U224" s="68"/>
      <c r="V224" s="68"/>
      <c r="W224" s="68"/>
      <c r="X224" s="68"/>
      <c r="Y224" s="68"/>
      <c r="Z224" s="68"/>
      <c r="AA224" s="68"/>
      <c r="AB224" s="68"/>
      <c r="AC224" s="68"/>
      <c r="AD224" s="68"/>
      <c r="AE224" s="68"/>
      <c r="AF224" s="68"/>
      <c r="AG224" s="68"/>
      <c r="AH224" s="68"/>
      <c r="AI224" s="68"/>
      <c r="AJ224" s="68"/>
      <c r="AK224" s="68"/>
      <c r="AL224" s="68"/>
      <c r="AM224" s="68"/>
      <c r="AN224" s="68"/>
      <c r="AO224" s="68"/>
      <c r="AP224" s="68"/>
      <c r="AQ224" s="68"/>
      <c r="AR224" s="68"/>
      <c r="AS224" s="68"/>
      <c r="AT224" s="68"/>
      <c r="AU224" s="68"/>
      <c r="AV224" s="68"/>
      <c r="AW224" s="68"/>
      <c r="AX224" s="68"/>
      <c r="AY224" s="68"/>
      <c r="AZ224" s="68"/>
      <c r="BA224" s="68"/>
      <c r="BB224" s="68"/>
      <c r="BC224" s="68"/>
      <c r="BD224" s="68"/>
      <c r="BE224" s="68"/>
      <c r="BF224" s="68"/>
      <c r="BG224" s="68"/>
      <c r="BH224" s="68"/>
      <c r="BI224" s="68"/>
    </row>
    <row r="225" spans="2:61">
      <c r="B225" s="68"/>
      <c r="K225" s="68"/>
      <c r="L225" s="68"/>
      <c r="M225" s="68"/>
      <c r="N225" s="68"/>
      <c r="O225" s="68"/>
      <c r="P225" s="68"/>
      <c r="Q225" s="68"/>
      <c r="R225" s="68"/>
      <c r="S225" s="68"/>
      <c r="T225" s="68"/>
      <c r="U225" s="68"/>
      <c r="V225" s="68"/>
      <c r="W225" s="68"/>
      <c r="X225" s="68"/>
      <c r="Y225" s="68"/>
      <c r="Z225" s="68"/>
      <c r="AA225" s="68"/>
      <c r="AB225" s="68"/>
      <c r="AC225" s="68"/>
      <c r="AD225" s="68"/>
      <c r="AE225" s="68"/>
      <c r="AF225" s="68"/>
      <c r="AG225" s="68"/>
      <c r="AH225" s="68"/>
      <c r="AI225" s="68"/>
      <c r="AJ225" s="68"/>
      <c r="AK225" s="68"/>
      <c r="AL225" s="68"/>
      <c r="AM225" s="68"/>
      <c r="AN225" s="68"/>
      <c r="AO225" s="68"/>
      <c r="AP225" s="68"/>
      <c r="AQ225" s="68"/>
      <c r="AR225" s="68"/>
      <c r="AS225" s="68"/>
      <c r="AT225" s="68"/>
      <c r="AU225" s="68"/>
      <c r="AV225" s="68"/>
      <c r="AW225" s="68"/>
      <c r="AX225" s="68"/>
      <c r="AY225" s="68"/>
      <c r="AZ225" s="68"/>
      <c r="BA225" s="68"/>
      <c r="BB225" s="68"/>
      <c r="BC225" s="68"/>
      <c r="BD225" s="68"/>
      <c r="BE225" s="68"/>
      <c r="BF225" s="68"/>
      <c r="BG225" s="68"/>
      <c r="BH225" s="68"/>
      <c r="BI225" s="68"/>
    </row>
    <row r="226" spans="2:61">
      <c r="B226" s="68"/>
      <c r="K226" s="68"/>
      <c r="L226" s="68"/>
      <c r="M226" s="68"/>
      <c r="N226" s="68"/>
      <c r="O226" s="68"/>
      <c r="P226" s="68"/>
      <c r="Q226" s="68"/>
      <c r="R226" s="68"/>
      <c r="S226" s="68"/>
      <c r="T226" s="68"/>
      <c r="U226" s="68"/>
      <c r="V226" s="68"/>
      <c r="W226" s="68"/>
      <c r="X226" s="68"/>
      <c r="Y226" s="68"/>
      <c r="Z226" s="68"/>
      <c r="AA226" s="68"/>
      <c r="AB226" s="68"/>
      <c r="AC226" s="68"/>
      <c r="AD226" s="68"/>
      <c r="AE226" s="68"/>
      <c r="AF226" s="68"/>
      <c r="AG226" s="68"/>
      <c r="AH226" s="68"/>
      <c r="AI226" s="68"/>
      <c r="AJ226" s="68"/>
      <c r="AK226" s="68"/>
      <c r="AL226" s="68"/>
      <c r="AM226" s="68"/>
      <c r="AN226" s="68"/>
      <c r="AO226" s="68"/>
      <c r="AP226" s="68"/>
      <c r="AQ226" s="68"/>
      <c r="AR226" s="68"/>
      <c r="AS226" s="68"/>
      <c r="AT226" s="68"/>
      <c r="AU226" s="68"/>
      <c r="AV226" s="68"/>
      <c r="AW226" s="68"/>
      <c r="AX226" s="68"/>
      <c r="AY226" s="68"/>
      <c r="AZ226" s="68"/>
      <c r="BA226" s="68"/>
      <c r="BB226" s="68"/>
      <c r="BC226" s="68"/>
      <c r="BD226" s="68"/>
      <c r="BE226" s="68"/>
      <c r="BF226" s="68"/>
      <c r="BG226" s="68"/>
      <c r="BH226" s="68"/>
      <c r="BI226" s="68"/>
    </row>
    <row r="227" spans="2:61">
      <c r="B227" s="68"/>
      <c r="K227" s="68"/>
      <c r="L227" s="68"/>
      <c r="M227" s="68"/>
      <c r="N227" s="68"/>
      <c r="O227" s="68"/>
      <c r="P227" s="68"/>
      <c r="Q227" s="68"/>
      <c r="R227" s="68"/>
      <c r="S227" s="68"/>
      <c r="T227" s="68"/>
      <c r="U227" s="68"/>
      <c r="V227" s="68"/>
      <c r="W227" s="68"/>
      <c r="X227" s="68"/>
      <c r="Y227" s="68"/>
      <c r="Z227" s="68"/>
      <c r="AA227" s="68"/>
      <c r="AB227" s="68"/>
      <c r="AC227" s="68"/>
      <c r="AD227" s="68"/>
      <c r="AE227" s="68"/>
      <c r="AF227" s="68"/>
      <c r="AG227" s="68"/>
      <c r="AH227" s="68"/>
      <c r="AI227" s="68"/>
      <c r="AJ227" s="68"/>
      <c r="AK227" s="68"/>
      <c r="AL227" s="68"/>
      <c r="AM227" s="68"/>
      <c r="AN227" s="68"/>
      <c r="AO227" s="68"/>
      <c r="AP227" s="68"/>
      <c r="AQ227" s="68"/>
      <c r="AR227" s="68"/>
      <c r="AS227" s="68"/>
      <c r="AT227" s="68"/>
      <c r="AU227" s="68"/>
      <c r="AV227" s="68"/>
      <c r="AW227" s="68"/>
      <c r="AX227" s="68"/>
      <c r="AY227" s="68"/>
      <c r="AZ227" s="68"/>
      <c r="BA227" s="68"/>
      <c r="BB227" s="68"/>
      <c r="BC227" s="68"/>
      <c r="BD227" s="68"/>
      <c r="BE227" s="68"/>
      <c r="BF227" s="68"/>
      <c r="BG227" s="68"/>
      <c r="BH227" s="68"/>
      <c r="BI227" s="68"/>
    </row>
    <row r="228" spans="2:61">
      <c r="B228" s="68"/>
      <c r="K228" s="68"/>
      <c r="L228" s="68"/>
      <c r="M228" s="68"/>
      <c r="N228" s="68"/>
      <c r="O228" s="68"/>
      <c r="P228" s="68"/>
      <c r="Q228" s="68"/>
      <c r="R228" s="68"/>
      <c r="S228" s="68"/>
      <c r="T228" s="68"/>
      <c r="U228" s="68"/>
      <c r="V228" s="68"/>
      <c r="W228" s="68"/>
      <c r="X228" s="68"/>
      <c r="Y228" s="68"/>
      <c r="Z228" s="68"/>
      <c r="AA228" s="68"/>
      <c r="AB228" s="68"/>
      <c r="AC228" s="68"/>
      <c r="AD228" s="68"/>
      <c r="AE228" s="68"/>
      <c r="AF228" s="68"/>
      <c r="AG228" s="68"/>
      <c r="AH228" s="68"/>
      <c r="AI228" s="68"/>
      <c r="AJ228" s="68"/>
      <c r="AK228" s="68"/>
      <c r="AL228" s="68"/>
      <c r="AM228" s="68"/>
      <c r="AN228" s="68"/>
      <c r="AO228" s="68"/>
      <c r="AP228" s="68"/>
      <c r="AQ228" s="68"/>
      <c r="AR228" s="68"/>
      <c r="AS228" s="68"/>
      <c r="AT228" s="68"/>
      <c r="AU228" s="68"/>
      <c r="AV228" s="68"/>
      <c r="AW228" s="68"/>
      <c r="AX228" s="68"/>
      <c r="AY228" s="68"/>
      <c r="AZ228" s="68"/>
      <c r="BA228" s="68"/>
      <c r="BB228" s="68"/>
      <c r="BC228" s="68"/>
      <c r="BD228" s="68"/>
      <c r="BE228" s="68"/>
      <c r="BF228" s="68"/>
      <c r="BG228" s="68"/>
      <c r="BH228" s="68"/>
      <c r="BI228" s="68"/>
    </row>
    <row r="229" spans="2:61">
      <c r="B229" s="68"/>
      <c r="K229" s="68"/>
      <c r="L229" s="68"/>
      <c r="M229" s="68"/>
      <c r="N229" s="68"/>
      <c r="O229" s="68"/>
      <c r="P229" s="68"/>
      <c r="Q229" s="68"/>
      <c r="R229" s="68"/>
      <c r="S229" s="68"/>
      <c r="T229" s="68"/>
      <c r="U229" s="68"/>
      <c r="V229" s="68"/>
      <c r="W229" s="68"/>
      <c r="X229" s="68"/>
      <c r="Y229" s="68"/>
      <c r="Z229" s="68"/>
      <c r="AA229" s="68"/>
      <c r="AB229" s="68"/>
      <c r="AC229" s="68"/>
      <c r="AD229" s="68"/>
      <c r="AE229" s="68"/>
      <c r="AF229" s="68"/>
      <c r="AG229" s="68"/>
      <c r="AH229" s="68"/>
      <c r="AI229" s="68"/>
      <c r="AJ229" s="68"/>
      <c r="AK229" s="68"/>
      <c r="AL229" s="68"/>
      <c r="AM229" s="68"/>
      <c r="AN229" s="68"/>
      <c r="AO229" s="68"/>
      <c r="AP229" s="68"/>
      <c r="AQ229" s="68"/>
      <c r="AR229" s="68"/>
      <c r="AS229" s="68"/>
      <c r="AT229" s="68"/>
      <c r="AU229" s="68"/>
      <c r="AV229" s="68"/>
      <c r="AW229" s="68"/>
      <c r="AX229" s="68"/>
      <c r="AY229" s="68"/>
      <c r="AZ229" s="68"/>
      <c r="BA229" s="68"/>
      <c r="BB229" s="68"/>
      <c r="BC229" s="68"/>
      <c r="BD229" s="68"/>
      <c r="BE229" s="68"/>
      <c r="BF229" s="68"/>
      <c r="BG229" s="68"/>
      <c r="BH229" s="68"/>
      <c r="BI229" s="68"/>
    </row>
    <row r="230" spans="2:61">
      <c r="B230" s="68"/>
      <c r="K230" s="68"/>
      <c r="L230" s="68"/>
      <c r="M230" s="68"/>
      <c r="N230" s="68"/>
      <c r="O230" s="68"/>
      <c r="P230" s="68"/>
      <c r="Q230" s="68"/>
      <c r="R230" s="68"/>
      <c r="S230" s="68"/>
      <c r="T230" s="68"/>
      <c r="U230" s="68"/>
      <c r="V230" s="68"/>
      <c r="W230" s="68"/>
      <c r="X230" s="68"/>
      <c r="Y230" s="68"/>
      <c r="Z230" s="68"/>
      <c r="AA230" s="68"/>
      <c r="AB230" s="68"/>
      <c r="AC230" s="68"/>
      <c r="AD230" s="68"/>
      <c r="AE230" s="68"/>
      <c r="AF230" s="68"/>
      <c r="AG230" s="68"/>
      <c r="AH230" s="68"/>
      <c r="AI230" s="68"/>
      <c r="AJ230" s="68"/>
      <c r="AK230" s="68"/>
      <c r="AL230" s="68"/>
      <c r="AM230" s="68"/>
      <c r="AN230" s="68"/>
      <c r="AO230" s="68"/>
      <c r="AP230" s="68"/>
      <c r="AQ230" s="68"/>
      <c r="AR230" s="68"/>
      <c r="AS230" s="68"/>
      <c r="AT230" s="68"/>
      <c r="AU230" s="68"/>
      <c r="AV230" s="68"/>
      <c r="AW230" s="68"/>
      <c r="AX230" s="68"/>
      <c r="AY230" s="68"/>
      <c r="AZ230" s="68"/>
      <c r="BA230" s="68"/>
      <c r="BB230" s="68"/>
      <c r="BC230" s="68"/>
      <c r="BD230" s="68"/>
      <c r="BE230" s="68"/>
      <c r="BF230" s="68"/>
      <c r="BG230" s="68"/>
      <c r="BH230" s="68"/>
      <c r="BI230" s="68"/>
    </row>
    <row r="231" spans="2:61">
      <c r="B231" s="68"/>
      <c r="K231" s="68"/>
      <c r="L231" s="68"/>
      <c r="M231" s="68"/>
      <c r="N231" s="68"/>
      <c r="O231" s="68"/>
      <c r="P231" s="68"/>
      <c r="Q231" s="68"/>
      <c r="R231" s="68"/>
      <c r="S231" s="68"/>
      <c r="T231" s="68"/>
      <c r="U231" s="68"/>
      <c r="V231" s="68"/>
      <c r="W231" s="68"/>
      <c r="X231" s="68"/>
      <c r="Y231" s="68"/>
      <c r="Z231" s="68"/>
      <c r="AA231" s="68"/>
      <c r="AB231" s="68"/>
      <c r="AC231" s="68"/>
      <c r="AD231" s="68"/>
      <c r="AE231" s="68"/>
      <c r="AF231" s="68"/>
      <c r="AG231" s="68"/>
      <c r="AH231" s="68"/>
      <c r="AI231" s="68"/>
      <c r="AJ231" s="68"/>
      <c r="AK231" s="68"/>
      <c r="AL231" s="68"/>
      <c r="AM231" s="68"/>
      <c r="AN231" s="68"/>
      <c r="AO231" s="68"/>
      <c r="AP231" s="68"/>
      <c r="AQ231" s="68"/>
      <c r="AR231" s="68"/>
      <c r="AS231" s="68"/>
      <c r="AT231" s="68"/>
      <c r="AU231" s="68"/>
      <c r="AV231" s="68"/>
      <c r="AW231" s="68"/>
      <c r="AX231" s="68"/>
      <c r="AY231" s="68"/>
      <c r="AZ231" s="68"/>
      <c r="BA231" s="68"/>
      <c r="BB231" s="68"/>
      <c r="BC231" s="68"/>
      <c r="BD231" s="68"/>
      <c r="BE231" s="68"/>
      <c r="BF231" s="68"/>
      <c r="BG231" s="68"/>
      <c r="BH231" s="68"/>
      <c r="BI231" s="68"/>
    </row>
    <row r="232" spans="2:61">
      <c r="B232" s="68"/>
      <c r="K232" s="68"/>
      <c r="L232" s="68"/>
      <c r="M232" s="68"/>
      <c r="N232" s="68"/>
      <c r="O232" s="68"/>
      <c r="P232" s="68"/>
      <c r="Q232" s="68"/>
      <c r="R232" s="68"/>
      <c r="S232" s="68"/>
      <c r="T232" s="68"/>
      <c r="U232" s="68"/>
      <c r="V232" s="68"/>
      <c r="W232" s="68"/>
      <c r="X232" s="68"/>
      <c r="Y232" s="68"/>
      <c r="Z232" s="68"/>
      <c r="AA232" s="68"/>
      <c r="AB232" s="68"/>
      <c r="AC232" s="68"/>
      <c r="AD232" s="68"/>
      <c r="AE232" s="68"/>
      <c r="AF232" s="68"/>
      <c r="AG232" s="68"/>
      <c r="AH232" s="68"/>
      <c r="AI232" s="68"/>
      <c r="AJ232" s="68"/>
      <c r="AK232" s="68"/>
      <c r="AL232" s="68"/>
      <c r="AM232" s="68"/>
      <c r="AN232" s="68"/>
      <c r="AO232" s="68"/>
      <c r="AP232" s="68"/>
      <c r="AQ232" s="68"/>
      <c r="AR232" s="68"/>
      <c r="AS232" s="68"/>
      <c r="AT232" s="68"/>
      <c r="AU232" s="68"/>
      <c r="AV232" s="68"/>
      <c r="AW232" s="68"/>
      <c r="AX232" s="68"/>
      <c r="AY232" s="68"/>
      <c r="AZ232" s="68"/>
      <c r="BA232" s="68"/>
      <c r="BB232" s="68"/>
      <c r="BC232" s="68"/>
      <c r="BD232" s="68"/>
      <c r="BE232" s="68"/>
      <c r="BF232" s="68"/>
      <c r="BG232" s="68"/>
      <c r="BH232" s="68"/>
      <c r="BI232" s="68"/>
    </row>
    <row r="233" spans="2:61">
      <c r="B233" s="68"/>
      <c r="K233" s="68"/>
      <c r="L233" s="68"/>
      <c r="M233" s="68"/>
      <c r="N233" s="68"/>
      <c r="O233" s="68"/>
      <c r="P233" s="68"/>
      <c r="Q233" s="68"/>
      <c r="R233" s="68"/>
      <c r="S233" s="68"/>
      <c r="T233" s="68"/>
      <c r="U233" s="68"/>
      <c r="V233" s="68"/>
      <c r="W233" s="68"/>
      <c r="X233" s="68"/>
      <c r="Y233" s="68"/>
      <c r="Z233" s="68"/>
      <c r="AA233" s="68"/>
      <c r="AB233" s="68"/>
      <c r="AC233" s="68"/>
      <c r="AD233" s="68"/>
      <c r="AE233" s="68"/>
      <c r="AF233" s="68"/>
      <c r="AG233" s="68"/>
      <c r="AH233" s="68"/>
      <c r="AI233" s="68"/>
      <c r="AJ233" s="68"/>
      <c r="AK233" s="68"/>
      <c r="AL233" s="68"/>
      <c r="AM233" s="68"/>
      <c r="AN233" s="68"/>
      <c r="AO233" s="68"/>
      <c r="AP233" s="68"/>
      <c r="AQ233" s="68"/>
      <c r="AR233" s="68"/>
      <c r="AS233" s="68"/>
      <c r="AT233" s="68"/>
      <c r="AU233" s="68"/>
      <c r="AV233" s="68"/>
      <c r="AW233" s="68"/>
      <c r="AX233" s="68"/>
      <c r="AY233" s="68"/>
      <c r="AZ233" s="68"/>
      <c r="BA233" s="68"/>
      <c r="BB233" s="68"/>
      <c r="BC233" s="68"/>
      <c r="BD233" s="68"/>
      <c r="BE233" s="68"/>
      <c r="BF233" s="68"/>
      <c r="BG233" s="68"/>
      <c r="BH233" s="68"/>
      <c r="BI233" s="68"/>
    </row>
    <row r="234" spans="2:61">
      <c r="B234" s="68"/>
      <c r="K234" s="68"/>
      <c r="L234" s="68"/>
      <c r="M234" s="68"/>
      <c r="N234" s="68"/>
      <c r="O234" s="68"/>
      <c r="P234" s="68"/>
      <c r="Q234" s="68"/>
      <c r="R234" s="68"/>
      <c r="S234" s="68"/>
      <c r="T234" s="68"/>
      <c r="U234" s="68"/>
      <c r="V234" s="68"/>
      <c r="W234" s="68"/>
      <c r="X234" s="68"/>
      <c r="Y234" s="68"/>
      <c r="Z234" s="68"/>
      <c r="AA234" s="68"/>
      <c r="AB234" s="68"/>
      <c r="AC234" s="68"/>
      <c r="AD234" s="68"/>
      <c r="AE234" s="68"/>
      <c r="AF234" s="68"/>
      <c r="AG234" s="68"/>
      <c r="AH234" s="68"/>
      <c r="AI234" s="68"/>
      <c r="AJ234" s="68"/>
      <c r="AK234" s="68"/>
      <c r="AL234" s="68"/>
      <c r="AM234" s="68"/>
      <c r="AN234" s="68"/>
      <c r="AO234" s="68"/>
      <c r="AP234" s="68"/>
      <c r="AQ234" s="68"/>
      <c r="AR234" s="68"/>
      <c r="AS234" s="68"/>
      <c r="AT234" s="68"/>
      <c r="AU234" s="68"/>
      <c r="AV234" s="68"/>
      <c r="AW234" s="68"/>
      <c r="AX234" s="68"/>
      <c r="AY234" s="68"/>
      <c r="AZ234" s="68"/>
      <c r="BA234" s="68"/>
      <c r="BB234" s="68"/>
      <c r="BC234" s="68"/>
      <c r="BD234" s="68"/>
      <c r="BE234" s="68"/>
      <c r="BF234" s="68"/>
      <c r="BG234" s="68"/>
      <c r="BH234" s="68"/>
      <c r="BI234" s="68"/>
    </row>
    <row r="235" spans="2:61">
      <c r="B235" s="68"/>
      <c r="K235" s="68"/>
      <c r="L235" s="68"/>
      <c r="M235" s="68"/>
      <c r="N235" s="68"/>
      <c r="O235" s="68"/>
      <c r="P235" s="68"/>
      <c r="Q235" s="68"/>
      <c r="R235" s="68"/>
      <c r="S235" s="68"/>
      <c r="T235" s="68"/>
      <c r="U235" s="68"/>
      <c r="V235" s="68"/>
      <c r="W235" s="68"/>
      <c r="X235" s="68"/>
      <c r="Y235" s="68"/>
      <c r="Z235" s="68"/>
      <c r="AA235" s="68"/>
      <c r="AB235" s="68"/>
      <c r="AC235" s="68"/>
      <c r="AD235" s="68"/>
      <c r="AE235" s="68"/>
      <c r="AF235" s="68"/>
      <c r="AG235" s="68"/>
      <c r="AH235" s="68"/>
      <c r="AI235" s="68"/>
      <c r="AJ235" s="68"/>
      <c r="AK235" s="68"/>
      <c r="AL235" s="68"/>
      <c r="AM235" s="68"/>
      <c r="AN235" s="68"/>
      <c r="AO235" s="68"/>
      <c r="AP235" s="68"/>
      <c r="AQ235" s="68"/>
      <c r="AR235" s="68"/>
      <c r="AS235" s="68"/>
      <c r="AT235" s="68"/>
      <c r="AU235" s="68"/>
      <c r="AV235" s="68"/>
      <c r="AW235" s="68"/>
      <c r="AX235" s="68"/>
      <c r="AY235" s="68"/>
      <c r="AZ235" s="68"/>
      <c r="BA235" s="68"/>
      <c r="BB235" s="68"/>
      <c r="BC235" s="68"/>
      <c r="BD235" s="68"/>
      <c r="BE235" s="68"/>
      <c r="BF235" s="68"/>
      <c r="BG235" s="68"/>
      <c r="BH235" s="68"/>
      <c r="BI235" s="68"/>
    </row>
    <row r="236" spans="2:61">
      <c r="B236" s="68"/>
      <c r="K236" s="68"/>
      <c r="L236" s="68"/>
      <c r="M236" s="68"/>
      <c r="N236" s="68"/>
      <c r="O236" s="68"/>
      <c r="P236" s="68"/>
      <c r="Q236" s="68"/>
      <c r="R236" s="68"/>
      <c r="S236" s="68"/>
      <c r="T236" s="68"/>
      <c r="U236" s="68"/>
      <c r="V236" s="68"/>
      <c r="W236" s="68"/>
      <c r="X236" s="68"/>
      <c r="Y236" s="68"/>
      <c r="Z236" s="68"/>
      <c r="AA236" s="68"/>
      <c r="AB236" s="68"/>
      <c r="AC236" s="68"/>
      <c r="AD236" s="68"/>
      <c r="AE236" s="68"/>
      <c r="AF236" s="68"/>
      <c r="AG236" s="68"/>
      <c r="AH236" s="68"/>
      <c r="AI236" s="68"/>
      <c r="AJ236" s="68"/>
      <c r="AK236" s="68"/>
      <c r="AL236" s="68"/>
      <c r="AM236" s="68"/>
      <c r="AN236" s="68"/>
      <c r="AO236" s="68"/>
      <c r="AP236" s="68"/>
      <c r="AQ236" s="68"/>
      <c r="AR236" s="68"/>
      <c r="AS236" s="68"/>
      <c r="AT236" s="68"/>
      <c r="AU236" s="68"/>
      <c r="AV236" s="68"/>
      <c r="AW236" s="68"/>
      <c r="AX236" s="68"/>
      <c r="AY236" s="68"/>
      <c r="AZ236" s="68"/>
      <c r="BA236" s="68"/>
      <c r="BB236" s="68"/>
      <c r="BC236" s="68"/>
      <c r="BD236" s="68"/>
      <c r="BE236" s="68"/>
      <c r="BF236" s="68"/>
      <c r="BG236" s="68"/>
      <c r="BH236" s="68"/>
      <c r="BI236" s="68"/>
    </row>
    <row r="237" spans="2:61">
      <c r="B237" s="68"/>
      <c r="K237" s="68"/>
      <c r="L237" s="68"/>
      <c r="M237" s="68"/>
      <c r="N237" s="68"/>
      <c r="O237" s="68"/>
      <c r="P237" s="68"/>
      <c r="Q237" s="68"/>
      <c r="R237" s="68"/>
      <c r="S237" s="68"/>
      <c r="T237" s="68"/>
      <c r="U237" s="68"/>
      <c r="V237" s="68"/>
      <c r="W237" s="68"/>
      <c r="X237" s="68"/>
      <c r="Y237" s="68"/>
      <c r="Z237" s="68"/>
      <c r="AA237" s="68"/>
      <c r="AB237" s="68"/>
      <c r="AC237" s="68"/>
      <c r="AD237" s="68"/>
      <c r="AE237" s="68"/>
      <c r="AF237" s="68"/>
      <c r="AG237" s="68"/>
      <c r="AH237" s="68"/>
      <c r="AI237" s="68"/>
      <c r="AJ237" s="68"/>
      <c r="AK237" s="68"/>
      <c r="AL237" s="68"/>
      <c r="AM237" s="68"/>
      <c r="AN237" s="68"/>
      <c r="AO237" s="68"/>
      <c r="AP237" s="68"/>
      <c r="AQ237" s="68"/>
      <c r="AR237" s="68"/>
      <c r="AS237" s="68"/>
      <c r="AT237" s="68"/>
      <c r="AU237" s="68"/>
      <c r="AV237" s="68"/>
      <c r="AW237" s="68"/>
      <c r="AX237" s="68"/>
      <c r="AY237" s="68"/>
      <c r="AZ237" s="68"/>
      <c r="BA237" s="68"/>
      <c r="BB237" s="68"/>
      <c r="BC237" s="68"/>
      <c r="BD237" s="68"/>
      <c r="BE237" s="68"/>
      <c r="BF237" s="68"/>
      <c r="BG237" s="68"/>
      <c r="BH237" s="68"/>
      <c r="BI237" s="68"/>
    </row>
    <row r="238" spans="2:61">
      <c r="B238" s="68"/>
      <c r="K238" s="68"/>
      <c r="L238" s="68"/>
      <c r="M238" s="68"/>
      <c r="N238" s="68"/>
      <c r="O238" s="68"/>
      <c r="P238" s="68"/>
      <c r="Q238" s="68"/>
      <c r="R238" s="68"/>
      <c r="S238" s="68"/>
      <c r="T238" s="68"/>
      <c r="U238" s="68"/>
      <c r="V238" s="68"/>
      <c r="W238" s="68"/>
      <c r="X238" s="68"/>
      <c r="Y238" s="68"/>
      <c r="Z238" s="68"/>
      <c r="AA238" s="68"/>
      <c r="AB238" s="68"/>
      <c r="AC238" s="68"/>
      <c r="AD238" s="68"/>
      <c r="AE238" s="68"/>
      <c r="AF238" s="68"/>
      <c r="AG238" s="68"/>
      <c r="AH238" s="68"/>
      <c r="AI238" s="68"/>
      <c r="AJ238" s="68"/>
      <c r="AK238" s="68"/>
      <c r="AL238" s="68"/>
      <c r="AM238" s="68"/>
      <c r="AN238" s="68"/>
      <c r="AO238" s="68"/>
      <c r="AP238" s="68"/>
      <c r="AQ238" s="68"/>
      <c r="AR238" s="68"/>
      <c r="AS238" s="68"/>
      <c r="AT238" s="68"/>
      <c r="AU238" s="68"/>
      <c r="AV238" s="68"/>
      <c r="AW238" s="68"/>
      <c r="AX238" s="68"/>
      <c r="AY238" s="68"/>
      <c r="AZ238" s="68"/>
      <c r="BA238" s="68"/>
      <c r="BB238" s="68"/>
      <c r="BC238" s="68"/>
      <c r="BD238" s="68"/>
      <c r="BE238" s="68"/>
      <c r="BF238" s="68"/>
      <c r="BG238" s="68"/>
      <c r="BH238" s="68"/>
      <c r="BI238" s="68"/>
    </row>
    <row r="239" spans="2:61">
      <c r="B239" s="68"/>
      <c r="K239" s="68"/>
      <c r="L239" s="68"/>
      <c r="M239" s="68"/>
      <c r="N239" s="68"/>
      <c r="O239" s="68"/>
      <c r="P239" s="68"/>
      <c r="Q239" s="68"/>
      <c r="R239" s="68"/>
      <c r="S239" s="68"/>
      <c r="T239" s="68"/>
      <c r="U239" s="68"/>
      <c r="V239" s="68"/>
      <c r="W239" s="68"/>
      <c r="X239" s="68"/>
      <c r="Y239" s="68"/>
      <c r="Z239" s="68"/>
      <c r="AA239" s="68"/>
      <c r="AB239" s="68"/>
      <c r="AC239" s="68"/>
      <c r="AD239" s="68"/>
      <c r="AE239" s="68"/>
      <c r="AF239" s="68"/>
      <c r="AG239" s="68"/>
      <c r="AH239" s="68"/>
      <c r="AI239" s="68"/>
      <c r="AJ239" s="68"/>
      <c r="AK239" s="68"/>
      <c r="AL239" s="68"/>
      <c r="AM239" s="68"/>
      <c r="AN239" s="68"/>
      <c r="AO239" s="68"/>
      <c r="AP239" s="68"/>
      <c r="AQ239" s="68"/>
      <c r="AR239" s="68"/>
      <c r="AS239" s="68"/>
      <c r="AT239" s="68"/>
      <c r="AU239" s="68"/>
      <c r="AV239" s="68"/>
      <c r="AW239" s="68"/>
      <c r="AX239" s="68"/>
      <c r="AY239" s="68"/>
      <c r="AZ239" s="68"/>
      <c r="BA239" s="68"/>
      <c r="BB239" s="68"/>
      <c r="BC239" s="68"/>
      <c r="BD239" s="68"/>
      <c r="BE239" s="68"/>
      <c r="BF239" s="68"/>
      <c r="BG239" s="68"/>
      <c r="BH239" s="68"/>
      <c r="BI239" s="68"/>
    </row>
    <row r="240" spans="2:61">
      <c r="B240" s="68"/>
      <c r="K240" s="68"/>
      <c r="L240" s="68"/>
      <c r="M240" s="68"/>
      <c r="N240" s="68"/>
      <c r="O240" s="68"/>
      <c r="P240" s="68"/>
      <c r="Q240" s="68"/>
      <c r="R240" s="68"/>
      <c r="S240" s="68"/>
      <c r="T240" s="68"/>
      <c r="U240" s="68"/>
      <c r="V240" s="68"/>
      <c r="W240" s="68"/>
      <c r="X240" s="68"/>
      <c r="Y240" s="68"/>
      <c r="Z240" s="68"/>
      <c r="AA240" s="68"/>
      <c r="AB240" s="68"/>
      <c r="AC240" s="68"/>
      <c r="AD240" s="68"/>
      <c r="AE240" s="68"/>
      <c r="AF240" s="68"/>
      <c r="AG240" s="68"/>
      <c r="AH240" s="68"/>
      <c r="AI240" s="68"/>
      <c r="AJ240" s="68"/>
      <c r="AK240" s="68"/>
      <c r="AL240" s="68"/>
      <c r="AM240" s="68"/>
      <c r="AN240" s="68"/>
      <c r="AO240" s="68"/>
      <c r="AP240" s="68"/>
      <c r="AQ240" s="68"/>
      <c r="AR240" s="68"/>
      <c r="AS240" s="68"/>
      <c r="AT240" s="68"/>
      <c r="AU240" s="68"/>
      <c r="AV240" s="68"/>
      <c r="AW240" s="68"/>
      <c r="AX240" s="68"/>
      <c r="AY240" s="68"/>
      <c r="AZ240" s="68"/>
      <c r="BA240" s="68"/>
      <c r="BB240" s="68"/>
      <c r="BC240" s="68"/>
      <c r="BD240" s="68"/>
      <c r="BE240" s="68"/>
      <c r="BF240" s="68"/>
      <c r="BG240" s="68"/>
      <c r="BH240" s="68"/>
      <c r="BI240" s="68"/>
    </row>
    <row r="241" spans="2:61">
      <c r="B241" s="68"/>
      <c r="K241" s="68"/>
      <c r="L241" s="68"/>
      <c r="M241" s="68"/>
      <c r="N241" s="68"/>
      <c r="O241" s="68"/>
      <c r="P241" s="68"/>
      <c r="Q241" s="68"/>
      <c r="R241" s="68"/>
      <c r="S241" s="68"/>
      <c r="T241" s="68"/>
      <c r="U241" s="68"/>
      <c r="V241" s="68"/>
      <c r="W241" s="68"/>
      <c r="X241" s="68"/>
      <c r="Y241" s="68"/>
      <c r="Z241" s="68"/>
      <c r="AA241" s="68"/>
      <c r="AB241" s="68"/>
      <c r="AC241" s="68"/>
      <c r="AD241" s="68"/>
      <c r="AE241" s="68"/>
      <c r="AF241" s="68"/>
      <c r="AG241" s="68"/>
      <c r="AH241" s="68"/>
      <c r="AI241" s="68"/>
      <c r="AJ241" s="68"/>
      <c r="AK241" s="68"/>
      <c r="AL241" s="68"/>
      <c r="AM241" s="68"/>
      <c r="AN241" s="68"/>
      <c r="AO241" s="68"/>
      <c r="AP241" s="68"/>
      <c r="AQ241" s="68"/>
      <c r="AR241" s="68"/>
      <c r="AS241" s="68"/>
      <c r="AT241" s="68"/>
      <c r="AU241" s="68"/>
      <c r="AV241" s="68"/>
      <c r="AW241" s="68"/>
      <c r="AX241" s="68"/>
      <c r="AY241" s="68"/>
      <c r="AZ241" s="68"/>
      <c r="BA241" s="68"/>
      <c r="BB241" s="68"/>
      <c r="BC241" s="68"/>
      <c r="BD241" s="68"/>
      <c r="BE241" s="68"/>
      <c r="BF241" s="68"/>
      <c r="BG241" s="68"/>
      <c r="BH241" s="68"/>
      <c r="BI241" s="68"/>
    </row>
    <row r="242" spans="2:61">
      <c r="B242" s="68"/>
      <c r="K242" s="68"/>
      <c r="L242" s="68"/>
      <c r="M242" s="68"/>
      <c r="N242" s="68"/>
      <c r="O242" s="68"/>
      <c r="P242" s="68"/>
      <c r="Q242" s="68"/>
      <c r="R242" s="68"/>
      <c r="S242" s="68"/>
      <c r="T242" s="68"/>
      <c r="U242" s="68"/>
      <c r="V242" s="68"/>
      <c r="W242" s="68"/>
      <c r="X242" s="68"/>
      <c r="Y242" s="68"/>
      <c r="Z242" s="68"/>
      <c r="AA242" s="68"/>
      <c r="AB242" s="68"/>
      <c r="AC242" s="68"/>
      <c r="AD242" s="68"/>
      <c r="AE242" s="68"/>
      <c r="AF242" s="68"/>
      <c r="AG242" s="68"/>
      <c r="AH242" s="68"/>
      <c r="AI242" s="68"/>
      <c r="AJ242" s="68"/>
      <c r="AK242" s="68"/>
      <c r="AL242" s="68"/>
      <c r="AM242" s="68"/>
      <c r="AN242" s="68"/>
      <c r="AO242" s="68"/>
      <c r="AP242" s="68"/>
      <c r="AQ242" s="68"/>
      <c r="AR242" s="68"/>
      <c r="AS242" s="68"/>
      <c r="AT242" s="68"/>
      <c r="AU242" s="68"/>
      <c r="AV242" s="68"/>
      <c r="AW242" s="68"/>
      <c r="AX242" s="68"/>
      <c r="AY242" s="68"/>
      <c r="AZ242" s="68"/>
      <c r="BA242" s="68"/>
      <c r="BB242" s="68"/>
      <c r="BC242" s="68"/>
      <c r="BD242" s="68"/>
      <c r="BE242" s="68"/>
      <c r="BF242" s="68"/>
      <c r="BG242" s="68"/>
      <c r="BH242" s="68"/>
      <c r="BI242" s="68"/>
    </row>
    <row r="243" spans="2:61">
      <c r="B243" s="68"/>
      <c r="K243" s="68"/>
      <c r="L243" s="68"/>
      <c r="M243" s="68"/>
      <c r="N243" s="68"/>
      <c r="O243" s="68"/>
      <c r="P243" s="68"/>
      <c r="Q243" s="68"/>
      <c r="R243" s="68"/>
      <c r="S243" s="68"/>
      <c r="T243" s="68"/>
      <c r="U243" s="68"/>
      <c r="V243" s="68"/>
      <c r="W243" s="68"/>
      <c r="X243" s="68"/>
      <c r="Y243" s="68"/>
      <c r="Z243" s="68"/>
      <c r="AA243" s="68"/>
      <c r="AB243" s="68"/>
      <c r="AC243" s="68"/>
      <c r="AD243" s="68"/>
      <c r="AE243" s="68"/>
      <c r="AF243" s="68"/>
      <c r="AG243" s="68"/>
      <c r="AH243" s="68"/>
      <c r="AI243" s="68"/>
      <c r="AJ243" s="68"/>
      <c r="AK243" s="68"/>
      <c r="AL243" s="68"/>
      <c r="AM243" s="68"/>
      <c r="AN243" s="68"/>
      <c r="AO243" s="68"/>
      <c r="AP243" s="68"/>
      <c r="AQ243" s="68"/>
      <c r="AR243" s="68"/>
      <c r="AS243" s="68"/>
      <c r="AT243" s="68"/>
      <c r="AU243" s="68"/>
      <c r="AV243" s="68"/>
      <c r="AW243" s="68"/>
      <c r="AX243" s="68"/>
      <c r="AY243" s="68"/>
      <c r="AZ243" s="68"/>
      <c r="BA243" s="68"/>
      <c r="BB243" s="68"/>
      <c r="BC243" s="68"/>
      <c r="BD243" s="68"/>
      <c r="BE243" s="68"/>
      <c r="BF243" s="68"/>
      <c r="BG243" s="68"/>
      <c r="BH243" s="68"/>
      <c r="BI243" s="68"/>
    </row>
    <row r="244" spans="2:61">
      <c r="B244" s="68"/>
      <c r="K244" s="68"/>
      <c r="L244" s="68"/>
      <c r="M244" s="68"/>
      <c r="N244" s="68"/>
      <c r="O244" s="68"/>
      <c r="P244" s="68"/>
      <c r="Q244" s="68"/>
      <c r="R244" s="68"/>
      <c r="S244" s="68"/>
      <c r="T244" s="68"/>
      <c r="U244" s="68"/>
      <c r="V244" s="68"/>
      <c r="W244" s="68"/>
      <c r="X244" s="68"/>
      <c r="Y244" s="68"/>
      <c r="Z244" s="68"/>
      <c r="AA244" s="68"/>
      <c r="AB244" s="68"/>
      <c r="AC244" s="68"/>
      <c r="AD244" s="68"/>
      <c r="AE244" s="68"/>
      <c r="AF244" s="68"/>
      <c r="AG244" s="68"/>
      <c r="AH244" s="68"/>
      <c r="AI244" s="68"/>
      <c r="AJ244" s="68"/>
      <c r="AK244" s="68"/>
      <c r="AL244" s="68"/>
      <c r="AM244" s="68"/>
      <c r="AN244" s="68"/>
      <c r="AO244" s="68"/>
      <c r="AP244" s="68"/>
      <c r="AQ244" s="68"/>
      <c r="AR244" s="68"/>
      <c r="AS244" s="68"/>
      <c r="AT244" s="68"/>
      <c r="AU244" s="68"/>
      <c r="AV244" s="68"/>
      <c r="AW244" s="68"/>
      <c r="AX244" s="68"/>
      <c r="AY244" s="68"/>
      <c r="AZ244" s="68"/>
      <c r="BA244" s="68"/>
      <c r="BB244" s="68"/>
      <c r="BC244" s="68"/>
      <c r="BD244" s="68"/>
      <c r="BE244" s="68"/>
      <c r="BF244" s="68"/>
      <c r="BG244" s="68"/>
      <c r="BH244" s="68"/>
      <c r="BI244" s="68"/>
    </row>
    <row r="245" spans="2:61">
      <c r="B245" s="68"/>
      <c r="K245" s="68"/>
      <c r="L245" s="68"/>
      <c r="M245" s="68"/>
      <c r="N245" s="68"/>
      <c r="O245" s="68"/>
      <c r="P245" s="68"/>
      <c r="Q245" s="68"/>
      <c r="R245" s="68"/>
      <c r="S245" s="68"/>
      <c r="T245" s="68"/>
      <c r="U245" s="68"/>
      <c r="V245" s="68"/>
      <c r="W245" s="68"/>
      <c r="X245" s="68"/>
      <c r="Y245" s="68"/>
      <c r="Z245" s="68"/>
      <c r="AA245" s="68"/>
      <c r="AB245" s="68"/>
      <c r="AC245" s="68"/>
      <c r="AD245" s="68"/>
      <c r="AE245" s="68"/>
      <c r="AF245" s="68"/>
      <c r="AG245" s="68"/>
      <c r="AH245" s="68"/>
      <c r="AI245" s="68"/>
      <c r="AJ245" s="68"/>
      <c r="AK245" s="68"/>
      <c r="AL245" s="68"/>
      <c r="AM245" s="68"/>
      <c r="AN245" s="68"/>
      <c r="AO245" s="68"/>
      <c r="AP245" s="68"/>
      <c r="AQ245" s="68"/>
      <c r="AR245" s="68"/>
      <c r="AS245" s="68"/>
      <c r="AT245" s="68"/>
      <c r="AU245" s="68"/>
      <c r="AV245" s="68"/>
      <c r="AW245" s="68"/>
      <c r="AX245" s="68"/>
      <c r="AY245" s="68"/>
      <c r="AZ245" s="68"/>
      <c r="BA245" s="68"/>
      <c r="BB245" s="68"/>
      <c r="BC245" s="68"/>
      <c r="BD245" s="68"/>
      <c r="BE245" s="68"/>
      <c r="BF245" s="68"/>
      <c r="BG245" s="68"/>
      <c r="BH245" s="68"/>
      <c r="BI245" s="68"/>
    </row>
    <row r="246" spans="2:61">
      <c r="B246" s="68"/>
      <c r="K246" s="68"/>
      <c r="L246" s="68"/>
      <c r="M246" s="68"/>
      <c r="N246" s="68"/>
      <c r="O246" s="68"/>
      <c r="P246" s="68"/>
      <c r="Q246" s="68"/>
      <c r="R246" s="68"/>
      <c r="S246" s="68"/>
      <c r="T246" s="68"/>
      <c r="U246" s="68"/>
      <c r="V246" s="68"/>
      <c r="W246" s="68"/>
      <c r="X246" s="68"/>
      <c r="Y246" s="68"/>
      <c r="Z246" s="68"/>
      <c r="AA246" s="68"/>
      <c r="AB246" s="68"/>
      <c r="AC246" s="68"/>
      <c r="AD246" s="68"/>
      <c r="AE246" s="68"/>
      <c r="AF246" s="68"/>
      <c r="AG246" s="68"/>
      <c r="AH246" s="68"/>
      <c r="AI246" s="68"/>
      <c r="AJ246" s="68"/>
      <c r="AK246" s="68"/>
      <c r="AL246" s="68"/>
      <c r="AM246" s="68"/>
      <c r="AN246" s="68"/>
      <c r="AO246" s="68"/>
      <c r="AP246" s="68"/>
      <c r="AQ246" s="68"/>
      <c r="AR246" s="68"/>
      <c r="AS246" s="68"/>
      <c r="AT246" s="68"/>
      <c r="AU246" s="68"/>
      <c r="AV246" s="68"/>
      <c r="AW246" s="68"/>
      <c r="AX246" s="68"/>
      <c r="AY246" s="68"/>
      <c r="AZ246" s="68"/>
      <c r="BA246" s="68"/>
      <c r="BB246" s="68"/>
      <c r="BC246" s="68"/>
      <c r="BD246" s="68"/>
      <c r="BE246" s="68"/>
      <c r="BF246" s="68"/>
      <c r="BG246" s="68"/>
      <c r="BH246" s="68"/>
      <c r="BI246" s="68"/>
    </row>
    <row r="247" spans="2:61">
      <c r="B247" s="68"/>
      <c r="K247" s="68"/>
      <c r="L247" s="68"/>
      <c r="M247" s="68"/>
      <c r="N247" s="68"/>
      <c r="O247" s="68"/>
      <c r="P247" s="68"/>
      <c r="Q247" s="68"/>
      <c r="R247" s="68"/>
      <c r="S247" s="68"/>
      <c r="T247" s="68"/>
      <c r="U247" s="68"/>
      <c r="V247" s="68"/>
      <c r="W247" s="68"/>
      <c r="X247" s="68"/>
      <c r="Y247" s="68"/>
      <c r="Z247" s="68"/>
      <c r="AA247" s="68"/>
      <c r="AB247" s="68"/>
      <c r="AC247" s="68"/>
      <c r="AD247" s="68"/>
      <c r="AE247" s="68"/>
      <c r="AF247" s="68"/>
      <c r="AG247" s="68"/>
      <c r="AH247" s="68"/>
      <c r="AI247" s="68"/>
      <c r="AJ247" s="68"/>
      <c r="AK247" s="68"/>
      <c r="AL247" s="68"/>
      <c r="AM247" s="68"/>
      <c r="AN247" s="68"/>
      <c r="AO247" s="68"/>
      <c r="AP247" s="68"/>
      <c r="AQ247" s="68"/>
      <c r="AR247" s="68"/>
      <c r="AS247" s="68"/>
      <c r="AT247" s="68"/>
      <c r="AU247" s="68"/>
      <c r="AV247" s="68"/>
      <c r="AW247" s="68"/>
      <c r="AX247" s="68"/>
      <c r="AY247" s="68"/>
      <c r="AZ247" s="68"/>
      <c r="BA247" s="68"/>
      <c r="BB247" s="68"/>
      <c r="BC247" s="68"/>
      <c r="BD247" s="68"/>
      <c r="BE247" s="68"/>
      <c r="BF247" s="68"/>
      <c r="BG247" s="68"/>
      <c r="BH247" s="68"/>
      <c r="BI247" s="68"/>
    </row>
    <row r="248" spans="2:61">
      <c r="B248" s="68"/>
      <c r="K248" s="68"/>
      <c r="L248" s="68"/>
      <c r="M248" s="68"/>
      <c r="N248" s="68"/>
      <c r="O248" s="68"/>
      <c r="P248" s="68"/>
      <c r="Q248" s="68"/>
      <c r="R248" s="68"/>
      <c r="S248" s="68"/>
      <c r="T248" s="68"/>
      <c r="U248" s="68"/>
      <c r="V248" s="68"/>
      <c r="W248" s="68"/>
      <c r="X248" s="68"/>
      <c r="Y248" s="68"/>
      <c r="Z248" s="68"/>
      <c r="AA248" s="68"/>
      <c r="AB248" s="68"/>
      <c r="AC248" s="68"/>
      <c r="AD248" s="68"/>
      <c r="AE248" s="68"/>
      <c r="AF248" s="68"/>
      <c r="AG248" s="68"/>
      <c r="AH248" s="68"/>
      <c r="AI248" s="68"/>
      <c r="AJ248" s="68"/>
      <c r="AK248" s="68"/>
      <c r="AL248" s="68"/>
      <c r="AM248" s="68"/>
      <c r="AN248" s="68"/>
      <c r="AO248" s="68"/>
      <c r="AP248" s="68"/>
      <c r="AQ248" s="68"/>
      <c r="AR248" s="68"/>
      <c r="AS248" s="68"/>
      <c r="AT248" s="68"/>
      <c r="AU248" s="68"/>
      <c r="AV248" s="68"/>
      <c r="AW248" s="68"/>
      <c r="AX248" s="68"/>
      <c r="AY248" s="68"/>
      <c r="AZ248" s="68"/>
      <c r="BA248" s="68"/>
      <c r="BB248" s="68"/>
      <c r="BC248" s="68"/>
      <c r="BD248" s="68"/>
      <c r="BE248" s="68"/>
      <c r="BF248" s="68"/>
      <c r="BG248" s="68"/>
      <c r="BH248" s="68"/>
      <c r="BI248" s="68"/>
    </row>
    <row r="249" spans="2:61">
      <c r="B249" s="68"/>
      <c r="K249" s="68"/>
      <c r="L249" s="68"/>
      <c r="M249" s="68"/>
      <c r="N249" s="68"/>
      <c r="O249" s="68"/>
      <c r="P249" s="68"/>
      <c r="Q249" s="68"/>
      <c r="R249" s="68"/>
      <c r="S249" s="68"/>
      <c r="T249" s="68"/>
      <c r="U249" s="68"/>
      <c r="V249" s="68"/>
      <c r="W249" s="68"/>
      <c r="X249" s="68"/>
      <c r="Y249" s="68"/>
      <c r="Z249" s="68"/>
      <c r="AA249" s="68"/>
      <c r="AB249" s="68"/>
      <c r="AC249" s="68"/>
      <c r="AD249" s="68"/>
      <c r="AE249" s="68"/>
      <c r="AF249" s="68"/>
      <c r="AG249" s="68"/>
      <c r="AH249" s="68"/>
      <c r="AI249" s="68"/>
      <c r="AJ249" s="68"/>
      <c r="AK249" s="68"/>
      <c r="AL249" s="68"/>
      <c r="AM249" s="68"/>
      <c r="AN249" s="68"/>
      <c r="AO249" s="68"/>
      <c r="AP249" s="68"/>
      <c r="AQ249" s="68"/>
      <c r="AR249" s="68"/>
      <c r="AS249" s="68"/>
      <c r="AT249" s="68"/>
      <c r="AU249" s="68"/>
      <c r="AV249" s="68"/>
      <c r="AW249" s="68"/>
      <c r="AX249" s="68"/>
      <c r="AY249" s="68"/>
      <c r="AZ249" s="68"/>
      <c r="BA249" s="68"/>
      <c r="BB249" s="68"/>
      <c r="BC249" s="68"/>
      <c r="BD249" s="68"/>
      <c r="BE249" s="68"/>
      <c r="BF249" s="68"/>
      <c r="BG249" s="68"/>
      <c r="BH249" s="68"/>
      <c r="BI249" s="68"/>
    </row>
    <row r="250" spans="2:61">
      <c r="B250" s="68"/>
      <c r="K250" s="68"/>
      <c r="L250" s="68"/>
      <c r="M250" s="68"/>
      <c r="N250" s="68"/>
      <c r="O250" s="68"/>
      <c r="P250" s="68"/>
      <c r="Q250" s="68"/>
      <c r="R250" s="68"/>
      <c r="S250" s="68"/>
      <c r="T250" s="68"/>
      <c r="U250" s="68"/>
      <c r="V250" s="68"/>
      <c r="W250" s="68"/>
      <c r="X250" s="68"/>
      <c r="Y250" s="68"/>
      <c r="Z250" s="68"/>
      <c r="AA250" s="68"/>
      <c r="AB250" s="68"/>
      <c r="AC250" s="68"/>
      <c r="AD250" s="68"/>
      <c r="AE250" s="68"/>
      <c r="AF250" s="68"/>
      <c r="AG250" s="68"/>
      <c r="AH250" s="68"/>
      <c r="AI250" s="68"/>
      <c r="AJ250" s="68"/>
      <c r="AK250" s="68"/>
      <c r="AL250" s="68"/>
      <c r="AM250" s="68"/>
      <c r="AN250" s="68"/>
      <c r="AO250" s="68"/>
      <c r="AP250" s="68"/>
      <c r="AQ250" s="68"/>
      <c r="AR250" s="68"/>
      <c r="AS250" s="68"/>
      <c r="AT250" s="68"/>
      <c r="AU250" s="68"/>
      <c r="AV250" s="68"/>
      <c r="AW250" s="68"/>
      <c r="AX250" s="68"/>
      <c r="AY250" s="68"/>
      <c r="AZ250" s="68"/>
      <c r="BA250" s="68"/>
      <c r="BB250" s="68"/>
      <c r="BC250" s="68"/>
      <c r="BD250" s="68"/>
      <c r="BE250" s="68"/>
      <c r="BF250" s="68"/>
      <c r="BG250" s="68"/>
      <c r="BH250" s="68"/>
      <c r="BI250" s="68"/>
    </row>
    <row r="251" spans="2:61">
      <c r="B251" s="68"/>
    </row>
    <row r="252" spans="2:61">
      <c r="B252" s="68"/>
    </row>
    <row r="253" spans="2:61">
      <c r="B253" s="68"/>
    </row>
    <row r="254" spans="2:61">
      <c r="B254" s="68"/>
    </row>
  </sheetData>
  <mergeCells count="24">
    <mergeCell ref="C2:J5"/>
    <mergeCell ref="K2:AN5"/>
    <mergeCell ref="AO2:AU2"/>
    <mergeCell ref="AO3:AU3"/>
    <mergeCell ref="AO4:AU4"/>
    <mergeCell ref="AO5:AU5"/>
    <mergeCell ref="AI62:AN67"/>
    <mergeCell ref="AP22:AU31"/>
    <mergeCell ref="F22:J31"/>
    <mergeCell ref="AP12:AU21"/>
    <mergeCell ref="C8:J10"/>
    <mergeCell ref="K8:AN10"/>
    <mergeCell ref="C12:E61"/>
    <mergeCell ref="F12:J21"/>
    <mergeCell ref="F52:J61"/>
    <mergeCell ref="AP42:AU51"/>
    <mergeCell ref="F42:J51"/>
    <mergeCell ref="AP32:AU41"/>
    <mergeCell ref="F32:J41"/>
    <mergeCell ref="A8:B8"/>
    <mergeCell ref="K62:P67"/>
    <mergeCell ref="Q62:V67"/>
    <mergeCell ref="W62:AB67"/>
    <mergeCell ref="AC62:AH67"/>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tabColor rgb="FF26783C"/>
    <pageSetUpPr fitToPage="1"/>
  </sheetPr>
  <dimension ref="A1:F25"/>
  <sheetViews>
    <sheetView workbookViewId="0">
      <selection activeCell="G7" sqref="G7"/>
    </sheetView>
  </sheetViews>
  <sheetFormatPr baseColWidth="10" defaultColWidth="11.42578125" defaultRowHeight="15"/>
  <cols>
    <col min="1" max="1" width="10.28515625" style="116" customWidth="1"/>
    <col min="2" max="2" width="32.42578125" style="116" customWidth="1"/>
    <col min="3" max="3" width="77" style="116" customWidth="1"/>
    <col min="4" max="4" width="21" style="116" customWidth="1"/>
    <col min="5" max="5" width="23.7109375" style="116" customWidth="1"/>
    <col min="6" max="16384" width="11.42578125" style="116"/>
  </cols>
  <sheetData>
    <row r="1" spans="1:6" ht="8.1" customHeight="1"/>
    <row r="2" spans="1:6" ht="15.75" customHeight="1">
      <c r="B2" s="551" t="s">
        <v>268</v>
      </c>
      <c r="C2" s="554" t="s">
        <v>1</v>
      </c>
      <c r="D2" s="252"/>
      <c r="E2" s="195" t="s">
        <v>2</v>
      </c>
      <c r="F2" s="117"/>
    </row>
    <row r="3" spans="1:6" ht="15.75" customHeight="1">
      <c r="B3" s="552"/>
      <c r="C3" s="555"/>
      <c r="D3" s="255"/>
      <c r="E3" s="196" t="s">
        <v>3</v>
      </c>
      <c r="F3" s="117"/>
    </row>
    <row r="4" spans="1:6" ht="16.5" customHeight="1">
      <c r="B4" s="552"/>
      <c r="C4" s="555"/>
      <c r="D4" s="255"/>
      <c r="E4" s="196" t="s">
        <v>4</v>
      </c>
      <c r="F4" s="117"/>
    </row>
    <row r="5" spans="1:6" ht="15" customHeight="1">
      <c r="B5" s="553"/>
      <c r="C5" s="556"/>
      <c r="D5" s="258"/>
      <c r="E5" s="197" t="s">
        <v>5</v>
      </c>
      <c r="F5" s="117"/>
    </row>
    <row r="7" spans="1:6">
      <c r="A7" s="557" t="s">
        <v>9</v>
      </c>
      <c r="B7" s="134" t="s">
        <v>269</v>
      </c>
      <c r="C7" s="135" t="s">
        <v>270</v>
      </c>
      <c r="D7" s="135" t="s">
        <v>271</v>
      </c>
      <c r="E7" s="135" t="s">
        <v>272</v>
      </c>
    </row>
    <row r="8" spans="1:6" ht="42.75">
      <c r="A8" s="557"/>
      <c r="B8" s="118">
        <v>45687</v>
      </c>
      <c r="C8" s="192" t="s">
        <v>273</v>
      </c>
      <c r="D8" s="120" t="s">
        <v>274</v>
      </c>
      <c r="E8" s="120" t="s">
        <v>275</v>
      </c>
    </row>
    <row r="9" spans="1:6" ht="161.44999999999999" customHeight="1">
      <c r="A9" s="557"/>
      <c r="B9" s="118">
        <v>45777</v>
      </c>
      <c r="C9" s="192" t="s">
        <v>276</v>
      </c>
      <c r="D9" s="120" t="s">
        <v>274</v>
      </c>
      <c r="E9" s="120" t="s">
        <v>275</v>
      </c>
    </row>
    <row r="10" spans="1:6">
      <c r="A10" s="557"/>
      <c r="B10" s="118"/>
      <c r="C10" s="119"/>
      <c r="D10" s="120"/>
      <c r="E10" s="120"/>
    </row>
    <row r="11" spans="1:6">
      <c r="A11" s="557"/>
      <c r="B11" s="118"/>
      <c r="C11" s="119"/>
      <c r="D11" s="120"/>
      <c r="E11" s="120"/>
    </row>
    <row r="12" spans="1:6">
      <c r="A12" s="557"/>
      <c r="B12" s="118"/>
      <c r="C12" s="119"/>
      <c r="D12" s="120"/>
      <c r="E12" s="120"/>
    </row>
    <row r="13" spans="1:6">
      <c r="A13" s="136"/>
      <c r="B13" s="118"/>
      <c r="C13" s="119"/>
      <c r="D13" s="120"/>
      <c r="E13" s="120"/>
    </row>
    <row r="14" spans="1:6">
      <c r="A14" s="136"/>
      <c r="B14" s="118"/>
      <c r="C14" s="119"/>
      <c r="D14" s="120"/>
      <c r="E14" s="120"/>
    </row>
    <row r="15" spans="1:6">
      <c r="A15" s="136"/>
      <c r="B15" s="118"/>
      <c r="C15" s="119"/>
      <c r="D15" s="120"/>
      <c r="E15" s="120"/>
    </row>
    <row r="16" spans="1:6">
      <c r="A16" s="136"/>
      <c r="B16" s="118"/>
      <c r="C16" s="119"/>
      <c r="D16" s="120"/>
      <c r="E16" s="120"/>
    </row>
    <row r="17" spans="1:5">
      <c r="A17" s="136"/>
      <c r="B17" s="118"/>
      <c r="C17" s="119"/>
      <c r="D17" s="120"/>
      <c r="E17" s="120"/>
    </row>
    <row r="18" spans="1:5">
      <c r="A18" s="136"/>
      <c r="B18" s="118"/>
      <c r="C18" s="119"/>
      <c r="D18" s="120"/>
      <c r="E18" s="120"/>
    </row>
    <row r="19" spans="1:5">
      <c r="B19" s="118"/>
      <c r="C19" s="121"/>
      <c r="D19" s="120"/>
      <c r="E19" s="120"/>
    </row>
    <row r="20" spans="1:5">
      <c r="B20" s="118"/>
      <c r="C20" s="119"/>
      <c r="D20" s="120"/>
      <c r="E20" s="120"/>
    </row>
    <row r="25" spans="1:5">
      <c r="C25" s="122"/>
    </row>
  </sheetData>
  <mergeCells count="3">
    <mergeCell ref="B2:B5"/>
    <mergeCell ref="C2:D5"/>
    <mergeCell ref="A7:A12"/>
  </mergeCells>
  <pageMargins left="0.7" right="0.7" top="0.75" bottom="0.75" header="0.3" footer="0.3"/>
  <pageSetup scale="68"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
  <sheetViews>
    <sheetView workbookViewId="0">
      <selection activeCell="C28" sqref="C28"/>
    </sheetView>
  </sheetViews>
  <sheetFormatPr baseColWidth="10" defaultColWidth="11.42578125" defaultRowHeight="1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B1:J45"/>
  <sheetViews>
    <sheetView topLeftCell="A2" zoomScale="80" zoomScaleNormal="80" workbookViewId="0">
      <selection activeCell="H20" sqref="H20"/>
    </sheetView>
  </sheetViews>
  <sheetFormatPr baseColWidth="10" defaultColWidth="11.42578125" defaultRowHeight="15"/>
  <cols>
    <col min="1" max="1" width="2.7109375" style="68" customWidth="1"/>
    <col min="2" max="3" width="24.7109375" style="68" customWidth="1"/>
    <col min="4" max="4" width="16" style="68" customWidth="1"/>
    <col min="5" max="5" width="24.7109375" style="68" customWidth="1"/>
    <col min="6" max="6" width="27.7109375" style="68" customWidth="1"/>
    <col min="7" max="8" width="24.7109375" style="68" customWidth="1"/>
    <col min="9" max="10" width="11.42578125" style="142"/>
    <col min="11" max="16384" width="11.42578125" style="68"/>
  </cols>
  <sheetData>
    <row r="1" spans="2:10" ht="15.75" thickBot="1"/>
    <row r="2" spans="2:10" ht="18" customHeight="1">
      <c r="B2" s="558" t="s">
        <v>277</v>
      </c>
      <c r="C2" s="559"/>
      <c r="D2" s="559"/>
      <c r="E2" s="559"/>
      <c r="F2" s="559"/>
      <c r="G2" s="559"/>
      <c r="H2" s="560"/>
      <c r="J2" s="143" t="s">
        <v>278</v>
      </c>
    </row>
    <row r="3" spans="2:10" ht="20.25">
      <c r="B3" s="69"/>
      <c r="C3" s="70"/>
      <c r="D3" s="70"/>
      <c r="E3" s="70"/>
      <c r="F3" s="70"/>
      <c r="G3" s="70"/>
      <c r="H3" s="71"/>
      <c r="J3" s="143"/>
    </row>
    <row r="4" spans="2:10" ht="63" customHeight="1">
      <c r="B4" s="561" t="s">
        <v>279</v>
      </c>
      <c r="C4" s="562"/>
      <c r="D4" s="562"/>
      <c r="E4" s="562"/>
      <c r="F4" s="562"/>
      <c r="G4" s="562"/>
      <c r="H4" s="563"/>
    </row>
    <row r="5" spans="2:10" ht="63" customHeight="1">
      <c r="B5" s="564"/>
      <c r="C5" s="565"/>
      <c r="D5" s="565"/>
      <c r="E5" s="565"/>
      <c r="F5" s="565"/>
      <c r="G5" s="565"/>
      <c r="H5" s="566"/>
    </row>
    <row r="6" spans="2:10" ht="16.5">
      <c r="B6" s="567" t="s">
        <v>280</v>
      </c>
      <c r="C6" s="568"/>
      <c r="D6" s="568"/>
      <c r="E6" s="568"/>
      <c r="F6" s="568"/>
      <c r="G6" s="568"/>
      <c r="H6" s="569"/>
    </row>
    <row r="7" spans="2:10" ht="95.25" customHeight="1">
      <c r="B7" s="577" t="s">
        <v>281</v>
      </c>
      <c r="C7" s="578"/>
      <c r="D7" s="578"/>
      <c r="E7" s="578"/>
      <c r="F7" s="578"/>
      <c r="G7" s="578"/>
      <c r="H7" s="579"/>
    </row>
    <row r="8" spans="2:10" ht="16.5">
      <c r="B8" s="101"/>
      <c r="C8" s="102"/>
      <c r="D8" s="102"/>
      <c r="E8" s="102"/>
      <c r="F8" s="102"/>
      <c r="G8" s="102"/>
      <c r="H8" s="103"/>
    </row>
    <row r="9" spans="2:10" ht="16.5" customHeight="1">
      <c r="B9" s="570" t="s">
        <v>282</v>
      </c>
      <c r="C9" s="571"/>
      <c r="D9" s="571"/>
      <c r="E9" s="571"/>
      <c r="F9" s="571"/>
      <c r="G9" s="571"/>
      <c r="H9" s="572"/>
    </row>
    <row r="10" spans="2:10" ht="44.25" customHeight="1">
      <c r="B10" s="570"/>
      <c r="C10" s="571"/>
      <c r="D10" s="571"/>
      <c r="E10" s="571"/>
      <c r="F10" s="571"/>
      <c r="G10" s="571"/>
      <c r="H10" s="572"/>
    </row>
    <row r="11" spans="2:10" ht="15.75" thickBot="1">
      <c r="B11" s="90"/>
      <c r="C11" s="93"/>
      <c r="D11" s="98"/>
      <c r="E11" s="99"/>
      <c r="F11" s="99"/>
      <c r="G11" s="100"/>
      <c r="H11" s="94"/>
    </row>
    <row r="12" spans="2:10" ht="15.75" thickTop="1">
      <c r="B12" s="90"/>
      <c r="C12" s="573" t="s">
        <v>283</v>
      </c>
      <c r="D12" s="574"/>
      <c r="E12" s="575" t="s">
        <v>284</v>
      </c>
      <c r="F12" s="576"/>
      <c r="G12" s="93"/>
      <c r="H12" s="94"/>
    </row>
    <row r="13" spans="2:10" ht="35.25" customHeight="1">
      <c r="B13" s="90"/>
      <c r="C13" s="580" t="s">
        <v>285</v>
      </c>
      <c r="D13" s="581"/>
      <c r="E13" s="582" t="s">
        <v>286</v>
      </c>
      <c r="F13" s="583"/>
      <c r="G13" s="93"/>
      <c r="H13" s="94"/>
    </row>
    <row r="14" spans="2:10" ht="17.25" customHeight="1">
      <c r="B14" s="90"/>
      <c r="C14" s="580" t="s">
        <v>287</v>
      </c>
      <c r="D14" s="581"/>
      <c r="E14" s="582" t="s">
        <v>288</v>
      </c>
      <c r="F14" s="583"/>
      <c r="G14" s="93"/>
      <c r="H14" s="94"/>
    </row>
    <row r="15" spans="2:10" ht="19.5" customHeight="1">
      <c r="B15" s="90"/>
      <c r="C15" s="580" t="s">
        <v>289</v>
      </c>
      <c r="D15" s="581"/>
      <c r="E15" s="582" t="s">
        <v>290</v>
      </c>
      <c r="F15" s="583"/>
      <c r="G15" s="93"/>
      <c r="H15" s="94"/>
    </row>
    <row r="16" spans="2:10" ht="69.75" customHeight="1">
      <c r="B16" s="90"/>
      <c r="C16" s="580" t="s">
        <v>291</v>
      </c>
      <c r="D16" s="581"/>
      <c r="E16" s="582" t="s">
        <v>292</v>
      </c>
      <c r="F16" s="583"/>
      <c r="G16" s="93"/>
      <c r="H16" s="94"/>
    </row>
    <row r="17" spans="2:8" ht="34.5" customHeight="1">
      <c r="B17" s="90"/>
      <c r="C17" s="584" t="s">
        <v>56</v>
      </c>
      <c r="D17" s="585"/>
      <c r="E17" s="586" t="s">
        <v>293</v>
      </c>
      <c r="F17" s="587"/>
      <c r="G17" s="93"/>
      <c r="H17" s="94"/>
    </row>
    <row r="18" spans="2:8" ht="27.75" customHeight="1">
      <c r="B18" s="90"/>
      <c r="C18" s="584" t="s">
        <v>294</v>
      </c>
      <c r="D18" s="585"/>
      <c r="E18" s="586" t="s">
        <v>295</v>
      </c>
      <c r="F18" s="587"/>
      <c r="G18" s="93"/>
      <c r="H18" s="94"/>
    </row>
    <row r="19" spans="2:8" ht="28.5" customHeight="1">
      <c r="B19" s="90"/>
      <c r="C19" s="584" t="s">
        <v>296</v>
      </c>
      <c r="D19" s="585"/>
      <c r="E19" s="586" t="s">
        <v>297</v>
      </c>
      <c r="F19" s="587"/>
      <c r="G19" s="93"/>
      <c r="H19" s="94"/>
    </row>
    <row r="20" spans="2:8" ht="72.75" customHeight="1">
      <c r="B20" s="90"/>
      <c r="C20" s="584" t="s">
        <v>298</v>
      </c>
      <c r="D20" s="585"/>
      <c r="E20" s="586" t="s">
        <v>299</v>
      </c>
      <c r="F20" s="587"/>
      <c r="G20" s="93"/>
      <c r="H20" s="94"/>
    </row>
    <row r="21" spans="2:8" ht="64.5" customHeight="1">
      <c r="B21" s="90"/>
      <c r="C21" s="584" t="s">
        <v>61</v>
      </c>
      <c r="D21" s="585"/>
      <c r="E21" s="586" t="s">
        <v>300</v>
      </c>
      <c r="F21" s="587"/>
      <c r="G21" s="93"/>
      <c r="H21" s="94"/>
    </row>
    <row r="22" spans="2:8" ht="71.25" customHeight="1">
      <c r="B22" s="90"/>
      <c r="C22" s="584" t="s">
        <v>301</v>
      </c>
      <c r="D22" s="585"/>
      <c r="E22" s="586" t="s">
        <v>302</v>
      </c>
      <c r="F22" s="587"/>
      <c r="G22" s="93"/>
      <c r="H22" s="94"/>
    </row>
    <row r="23" spans="2:8" ht="55.5" customHeight="1">
      <c r="B23" s="90"/>
      <c r="C23" s="591" t="s">
        <v>303</v>
      </c>
      <c r="D23" s="592"/>
      <c r="E23" s="586" t="s">
        <v>304</v>
      </c>
      <c r="F23" s="587"/>
      <c r="G23" s="93"/>
      <c r="H23" s="94"/>
    </row>
    <row r="24" spans="2:8" ht="42" customHeight="1">
      <c r="B24" s="90"/>
      <c r="C24" s="591" t="s">
        <v>68</v>
      </c>
      <c r="D24" s="592"/>
      <c r="E24" s="586" t="s">
        <v>305</v>
      </c>
      <c r="F24" s="587"/>
      <c r="G24" s="93"/>
      <c r="H24" s="94"/>
    </row>
    <row r="25" spans="2:8" ht="59.25" customHeight="1">
      <c r="B25" s="90"/>
      <c r="C25" s="591" t="s">
        <v>306</v>
      </c>
      <c r="D25" s="592"/>
      <c r="E25" s="586" t="s">
        <v>307</v>
      </c>
      <c r="F25" s="587"/>
      <c r="G25" s="93"/>
      <c r="H25" s="94"/>
    </row>
    <row r="26" spans="2:8" ht="23.25" customHeight="1">
      <c r="B26" s="90"/>
      <c r="C26" s="591" t="s">
        <v>72</v>
      </c>
      <c r="D26" s="592"/>
      <c r="E26" s="586" t="s">
        <v>308</v>
      </c>
      <c r="F26" s="587"/>
      <c r="G26" s="93"/>
      <c r="H26" s="94"/>
    </row>
    <row r="27" spans="2:8" ht="30.75" customHeight="1">
      <c r="B27" s="90"/>
      <c r="C27" s="591" t="s">
        <v>309</v>
      </c>
      <c r="D27" s="592"/>
      <c r="E27" s="586" t="s">
        <v>310</v>
      </c>
      <c r="F27" s="587"/>
      <c r="G27" s="93"/>
      <c r="H27" s="94"/>
    </row>
    <row r="28" spans="2:8" ht="35.25" customHeight="1">
      <c r="B28" s="90"/>
      <c r="C28" s="591" t="s">
        <v>311</v>
      </c>
      <c r="D28" s="592"/>
      <c r="E28" s="586" t="s">
        <v>312</v>
      </c>
      <c r="F28" s="587"/>
      <c r="G28" s="93"/>
      <c r="H28" s="94"/>
    </row>
    <row r="29" spans="2:8" ht="33" customHeight="1">
      <c r="B29" s="90"/>
      <c r="C29" s="591" t="s">
        <v>311</v>
      </c>
      <c r="D29" s="592"/>
      <c r="E29" s="586" t="s">
        <v>312</v>
      </c>
      <c r="F29" s="587"/>
      <c r="G29" s="93"/>
      <c r="H29" s="94"/>
    </row>
    <row r="30" spans="2:8" ht="30" customHeight="1">
      <c r="B30" s="90"/>
      <c r="C30" s="591" t="s">
        <v>313</v>
      </c>
      <c r="D30" s="592"/>
      <c r="E30" s="586" t="s">
        <v>314</v>
      </c>
      <c r="F30" s="587"/>
      <c r="G30" s="93"/>
      <c r="H30" s="94"/>
    </row>
    <row r="31" spans="2:8" ht="35.25" customHeight="1">
      <c r="B31" s="90"/>
      <c r="C31" s="591" t="s">
        <v>315</v>
      </c>
      <c r="D31" s="592"/>
      <c r="E31" s="586" t="s">
        <v>316</v>
      </c>
      <c r="F31" s="587"/>
      <c r="G31" s="93"/>
      <c r="H31" s="94"/>
    </row>
    <row r="32" spans="2:8" ht="31.5" customHeight="1">
      <c r="B32" s="90"/>
      <c r="C32" s="591" t="s">
        <v>317</v>
      </c>
      <c r="D32" s="592"/>
      <c r="E32" s="586" t="s">
        <v>318</v>
      </c>
      <c r="F32" s="587"/>
      <c r="G32" s="93"/>
      <c r="H32" s="94"/>
    </row>
    <row r="33" spans="2:8" ht="35.25" customHeight="1">
      <c r="B33" s="90"/>
      <c r="C33" s="591" t="s">
        <v>319</v>
      </c>
      <c r="D33" s="592"/>
      <c r="E33" s="586" t="s">
        <v>320</v>
      </c>
      <c r="F33" s="587"/>
      <c r="G33" s="93"/>
      <c r="H33" s="94"/>
    </row>
    <row r="34" spans="2:8" ht="59.25" customHeight="1">
      <c r="B34" s="90"/>
      <c r="C34" s="591" t="s">
        <v>321</v>
      </c>
      <c r="D34" s="592"/>
      <c r="E34" s="586" t="s">
        <v>322</v>
      </c>
      <c r="F34" s="587"/>
      <c r="G34" s="93"/>
      <c r="H34" s="94"/>
    </row>
    <row r="35" spans="2:8" ht="29.25" customHeight="1">
      <c r="B35" s="90"/>
      <c r="C35" s="591" t="s">
        <v>78</v>
      </c>
      <c r="D35" s="592"/>
      <c r="E35" s="586" t="s">
        <v>323</v>
      </c>
      <c r="F35" s="587"/>
      <c r="G35" s="93"/>
      <c r="H35" s="94"/>
    </row>
    <row r="36" spans="2:8" ht="82.5" customHeight="1">
      <c r="B36" s="90"/>
      <c r="C36" s="591" t="s">
        <v>324</v>
      </c>
      <c r="D36" s="592"/>
      <c r="E36" s="586" t="s">
        <v>325</v>
      </c>
      <c r="F36" s="587"/>
      <c r="G36" s="93"/>
      <c r="H36" s="94"/>
    </row>
    <row r="37" spans="2:8" ht="46.5" customHeight="1">
      <c r="B37" s="90"/>
      <c r="C37" s="591" t="s">
        <v>326</v>
      </c>
      <c r="D37" s="592"/>
      <c r="E37" s="586" t="s">
        <v>327</v>
      </c>
      <c r="F37" s="587"/>
      <c r="G37" s="93"/>
      <c r="H37" s="94"/>
    </row>
    <row r="38" spans="2:8" ht="6.75" customHeight="1" thickBot="1">
      <c r="B38" s="90"/>
      <c r="C38" s="593"/>
      <c r="D38" s="594"/>
      <c r="E38" s="595"/>
      <c r="F38" s="596"/>
      <c r="G38" s="93"/>
      <c r="H38" s="94"/>
    </row>
    <row r="39" spans="2:8" ht="15.75" thickTop="1">
      <c r="B39" s="90"/>
      <c r="C39" s="91"/>
      <c r="D39" s="91"/>
      <c r="E39" s="92"/>
      <c r="F39" s="92"/>
      <c r="G39" s="93"/>
      <c r="H39" s="94"/>
    </row>
    <row r="40" spans="2:8" ht="21" customHeight="1">
      <c r="B40" s="588" t="s">
        <v>328</v>
      </c>
      <c r="C40" s="589"/>
      <c r="D40" s="589"/>
      <c r="E40" s="589"/>
      <c r="F40" s="589"/>
      <c r="G40" s="589"/>
      <c r="H40" s="590"/>
    </row>
    <row r="41" spans="2:8" ht="20.25" customHeight="1">
      <c r="B41" s="588" t="s">
        <v>329</v>
      </c>
      <c r="C41" s="589"/>
      <c r="D41" s="589"/>
      <c r="E41" s="589"/>
      <c r="F41" s="589"/>
      <c r="G41" s="589"/>
      <c r="H41" s="590"/>
    </row>
    <row r="42" spans="2:8" ht="20.25" customHeight="1">
      <c r="B42" s="588" t="s">
        <v>330</v>
      </c>
      <c r="C42" s="589"/>
      <c r="D42" s="589"/>
      <c r="E42" s="589"/>
      <c r="F42" s="589"/>
      <c r="G42" s="589"/>
      <c r="H42" s="590"/>
    </row>
    <row r="43" spans="2:8" ht="20.25" customHeight="1">
      <c r="B43" s="588" t="s">
        <v>331</v>
      </c>
      <c r="C43" s="589"/>
      <c r="D43" s="589"/>
      <c r="E43" s="589"/>
      <c r="F43" s="589"/>
      <c r="G43" s="589"/>
      <c r="H43" s="590"/>
    </row>
    <row r="44" spans="2:8" ht="15" customHeight="1">
      <c r="B44" s="588" t="s">
        <v>332</v>
      </c>
      <c r="C44" s="589"/>
      <c r="D44" s="589"/>
      <c r="E44" s="589"/>
      <c r="F44" s="589"/>
      <c r="G44" s="589"/>
      <c r="H44" s="590"/>
    </row>
    <row r="45" spans="2:8" ht="15.75" thickBot="1">
      <c r="B45" s="95"/>
      <c r="C45" s="96"/>
      <c r="D45" s="96"/>
      <c r="E45" s="96"/>
      <c r="F45" s="96"/>
      <c r="G45" s="96"/>
      <c r="H45" s="97"/>
    </row>
  </sheetData>
  <mergeCells count="64">
    <mergeCell ref="E28:F28"/>
    <mergeCell ref="C28:D28"/>
    <mergeCell ref="C16:D16"/>
    <mergeCell ref="E16:F16"/>
    <mergeCell ref="C14:D14"/>
    <mergeCell ref="E14:F14"/>
    <mergeCell ref="C15:D15"/>
    <mergeCell ref="E15:F15"/>
    <mergeCell ref="E22:F22"/>
    <mergeCell ref="C22:D22"/>
    <mergeCell ref="C25:D25"/>
    <mergeCell ref="E25:F25"/>
    <mergeCell ref="B41:H41"/>
    <mergeCell ref="C38:D38"/>
    <mergeCell ref="E38:F38"/>
    <mergeCell ref="C37:D37"/>
    <mergeCell ref="E37:F37"/>
    <mergeCell ref="C33:D33"/>
    <mergeCell ref="B40:H40"/>
    <mergeCell ref="C29:D29"/>
    <mergeCell ref="E29:F29"/>
    <mergeCell ref="C30:D30"/>
    <mergeCell ref="E30:F30"/>
    <mergeCell ref="E33:F33"/>
    <mergeCell ref="C34:D34"/>
    <mergeCell ref="C35:D35"/>
    <mergeCell ref="E35:F35"/>
    <mergeCell ref="C36:D36"/>
    <mergeCell ref="E36:F36"/>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13:D13"/>
    <mergeCell ref="E13:F13"/>
    <mergeCell ref="C17:D17"/>
    <mergeCell ref="E17:F17"/>
    <mergeCell ref="C21:D21"/>
    <mergeCell ref="C18:D18"/>
    <mergeCell ref="C19:D19"/>
    <mergeCell ref="C20:D20"/>
    <mergeCell ref="E18:F18"/>
    <mergeCell ref="E19:F19"/>
    <mergeCell ref="E20:F20"/>
    <mergeCell ref="E21:F21"/>
    <mergeCell ref="B2:H2"/>
    <mergeCell ref="B4:H5"/>
    <mergeCell ref="B6:H6"/>
    <mergeCell ref="B9:H10"/>
    <mergeCell ref="C12:D12"/>
    <mergeCell ref="E12:F12"/>
    <mergeCell ref="B7:H7"/>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
  <sheetViews>
    <sheetView workbookViewId="0">
      <selection activeCell="A2" sqref="A2"/>
    </sheetView>
  </sheetViews>
  <sheetFormatPr baseColWidth="10" defaultColWidth="11.42578125" defaultRowHeight="1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D9"/>
  <sheetViews>
    <sheetView workbookViewId="0">
      <selection activeCell="K15" sqref="K15"/>
    </sheetView>
  </sheetViews>
  <sheetFormatPr baseColWidth="10" defaultColWidth="11.42578125" defaultRowHeight="15"/>
  <sheetData>
    <row r="1" spans="1:4">
      <c r="A1" t="s">
        <v>333</v>
      </c>
      <c r="B1" t="s">
        <v>58</v>
      </c>
      <c r="C1" t="s">
        <v>140</v>
      </c>
      <c r="D1" t="s">
        <v>141</v>
      </c>
    </row>
    <row r="2" spans="1:4">
      <c r="A2" t="s">
        <v>334</v>
      </c>
      <c r="B2" t="s">
        <v>147</v>
      </c>
      <c r="C2" t="s">
        <v>177</v>
      </c>
      <c r="D2" t="s">
        <v>150</v>
      </c>
    </row>
    <row r="3" spans="1:4">
      <c r="A3" t="s">
        <v>99</v>
      </c>
      <c r="B3" t="s">
        <v>161</v>
      </c>
      <c r="C3" t="s">
        <v>335</v>
      </c>
      <c r="D3" t="s">
        <v>164</v>
      </c>
    </row>
    <row r="4" spans="1:4">
      <c r="A4" t="s">
        <v>336</v>
      </c>
      <c r="B4" t="s">
        <v>175</v>
      </c>
      <c r="C4" t="s">
        <v>185</v>
      </c>
      <c r="D4" t="s">
        <v>178</v>
      </c>
    </row>
    <row r="5" spans="1:4">
      <c r="A5" t="s">
        <v>161</v>
      </c>
      <c r="B5" t="s">
        <v>183</v>
      </c>
      <c r="C5" t="s">
        <v>337</v>
      </c>
      <c r="D5" t="s">
        <v>102</v>
      </c>
    </row>
    <row r="6" spans="1:4">
      <c r="A6" t="s">
        <v>143</v>
      </c>
      <c r="B6" t="s">
        <v>188</v>
      </c>
      <c r="C6" t="s">
        <v>102</v>
      </c>
    </row>
    <row r="7" spans="1:4">
      <c r="A7" t="s">
        <v>338</v>
      </c>
      <c r="B7" t="s">
        <v>192</v>
      </c>
    </row>
    <row r="8" spans="1:4">
      <c r="A8" t="s">
        <v>339</v>
      </c>
    </row>
    <row r="9" spans="1:4">
      <c r="A9" t="s">
        <v>340</v>
      </c>
    </row>
  </sheetData>
  <sheetProtection algorithmName="SHA-512" hashValue="v7i/xahZG2C7t5BslLITKnVU2aeqZ2qUUc7D3ggQN7269OWOf4ZVULOvpishKqJW79vwiv5Gp2BFg470cY4dqQ==" saltValue="yCXLobWCYjK/kLc7JEpQfQ=="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
  <sheetViews>
    <sheetView workbookViewId="0"/>
  </sheetViews>
  <sheetFormatPr baseColWidth="10" defaultColWidth="11.42578125" defaultRowHeight="1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B1:L27"/>
  <sheetViews>
    <sheetView showGridLines="0" view="pageBreakPreview" zoomScaleNormal="100" zoomScaleSheetLayoutView="100" workbookViewId="0">
      <selection activeCell="M16" sqref="M16"/>
    </sheetView>
  </sheetViews>
  <sheetFormatPr baseColWidth="10" defaultColWidth="11.42578125" defaultRowHeight="15"/>
  <cols>
    <col min="1" max="1" width="2.42578125" style="68" customWidth="1"/>
    <col min="2" max="2" width="33.28515625" style="68" customWidth="1"/>
    <col min="3" max="4" width="11.42578125" style="68"/>
    <col min="5" max="5" width="5.7109375" style="68" customWidth="1"/>
    <col min="6" max="6" width="16.28515625" style="68" customWidth="1"/>
    <col min="7" max="7" width="11.42578125" style="68"/>
    <col min="8" max="8" width="13.7109375" style="68" customWidth="1"/>
    <col min="9" max="9" width="14.28515625" style="68" customWidth="1"/>
    <col min="10" max="10" width="14.7109375" style="68" customWidth="1"/>
    <col min="11" max="11" width="7.42578125" style="68" customWidth="1"/>
    <col min="12" max="12" width="2.28515625" style="68" customWidth="1"/>
    <col min="13" max="16384" width="11.42578125" style="68"/>
  </cols>
  <sheetData>
    <row r="1" spans="2:11" ht="6" customHeight="1" thickBot="1"/>
    <row r="2" spans="2:11" ht="15" customHeight="1">
      <c r="B2" s="597" t="s">
        <v>248</v>
      </c>
      <c r="C2" s="600" t="s">
        <v>1</v>
      </c>
      <c r="D2" s="601"/>
      <c r="E2" s="601"/>
      <c r="F2" s="601"/>
      <c r="G2" s="601"/>
      <c r="H2" s="601"/>
      <c r="I2" s="601"/>
      <c r="J2" s="293" t="s">
        <v>249</v>
      </c>
      <c r="K2" s="267"/>
    </row>
    <row r="3" spans="2:11" ht="15" customHeight="1">
      <c r="B3" s="598"/>
      <c r="C3" s="602"/>
      <c r="D3" s="603"/>
      <c r="E3" s="603"/>
      <c r="F3" s="603"/>
      <c r="G3" s="603"/>
      <c r="H3" s="603"/>
      <c r="I3" s="603"/>
      <c r="J3" s="294" t="s">
        <v>341</v>
      </c>
      <c r="K3" s="269"/>
    </row>
    <row r="4" spans="2:11" ht="15" customHeight="1">
      <c r="B4" s="598"/>
      <c r="C4" s="602"/>
      <c r="D4" s="603"/>
      <c r="E4" s="603"/>
      <c r="F4" s="603"/>
      <c r="G4" s="603"/>
      <c r="H4" s="603"/>
      <c r="I4" s="603"/>
      <c r="J4" s="294" t="s">
        <v>250</v>
      </c>
      <c r="K4" s="269" t="s">
        <v>250</v>
      </c>
    </row>
    <row r="5" spans="2:11" ht="15" customHeight="1" thickBot="1">
      <c r="B5" s="599"/>
      <c r="C5" s="604"/>
      <c r="D5" s="605"/>
      <c r="E5" s="605"/>
      <c r="F5" s="605"/>
      <c r="G5" s="605"/>
      <c r="H5" s="605"/>
      <c r="I5" s="605"/>
      <c r="J5" s="295" t="s">
        <v>5</v>
      </c>
      <c r="K5" s="271" t="s">
        <v>5</v>
      </c>
    </row>
    <row r="6" spans="2:11" ht="15.75" thickBot="1"/>
    <row r="7" spans="2:11" customFormat="1" ht="15.75" thickBot="1">
      <c r="B7" s="606" t="s">
        <v>269</v>
      </c>
      <c r="C7" s="607"/>
      <c r="D7" s="608" t="s">
        <v>342</v>
      </c>
      <c r="E7" s="609"/>
      <c r="F7" s="608" t="s">
        <v>343</v>
      </c>
      <c r="G7" s="610"/>
      <c r="H7" s="610"/>
      <c r="I7" s="610"/>
      <c r="J7" s="610"/>
      <c r="K7" s="611"/>
    </row>
    <row r="8" spans="2:11" customFormat="1" ht="18" customHeight="1" thickBot="1">
      <c r="B8" s="612"/>
      <c r="C8" s="613"/>
      <c r="D8" s="614">
        <v>1</v>
      </c>
      <c r="E8" s="615"/>
      <c r="F8" s="616"/>
      <c r="G8" s="616"/>
      <c r="H8" s="616"/>
      <c r="I8" s="616"/>
      <c r="J8" s="616"/>
      <c r="K8" s="617"/>
    </row>
    <row r="9" spans="2:11" customFormat="1" ht="18" customHeight="1" thickBot="1">
      <c r="B9" s="612"/>
      <c r="C9" s="613"/>
      <c r="D9" s="614">
        <v>2</v>
      </c>
      <c r="E9" s="615"/>
      <c r="F9" s="616"/>
      <c r="G9" s="616"/>
      <c r="H9" s="616"/>
      <c r="I9" s="616"/>
      <c r="J9" s="616"/>
      <c r="K9" s="617"/>
    </row>
    <row r="10" spans="2:11" customFormat="1" ht="18" customHeight="1" thickBot="1">
      <c r="B10" s="612"/>
      <c r="C10" s="613"/>
      <c r="D10" s="614">
        <v>3</v>
      </c>
      <c r="E10" s="615"/>
      <c r="F10" s="616"/>
      <c r="G10" s="616"/>
      <c r="H10" s="616"/>
      <c r="I10" s="616"/>
      <c r="J10" s="616"/>
      <c r="K10" s="617"/>
    </row>
    <row r="11" spans="2:11" customFormat="1" ht="18" customHeight="1" thickBot="1">
      <c r="B11" s="612"/>
      <c r="C11" s="613"/>
      <c r="D11" s="614">
        <v>4</v>
      </c>
      <c r="E11" s="615"/>
      <c r="F11" s="616"/>
      <c r="G11" s="616"/>
      <c r="H11" s="616"/>
      <c r="I11" s="616"/>
      <c r="J11" s="616"/>
      <c r="K11" s="617"/>
    </row>
    <row r="12" spans="2:11" customFormat="1" ht="18" customHeight="1" thickBot="1">
      <c r="B12" s="612"/>
      <c r="C12" s="613"/>
      <c r="D12" s="614">
        <v>5</v>
      </c>
      <c r="E12" s="615"/>
      <c r="F12" s="616"/>
      <c r="G12" s="616"/>
      <c r="H12" s="616"/>
      <c r="I12" s="616"/>
      <c r="J12" s="616"/>
      <c r="K12" s="617"/>
    </row>
    <row r="13" spans="2:11" customFormat="1" ht="18" customHeight="1" thickBot="1">
      <c r="B13" s="612"/>
      <c r="C13" s="613"/>
      <c r="D13" s="614">
        <v>6</v>
      </c>
      <c r="E13" s="615"/>
      <c r="F13" s="616"/>
      <c r="G13" s="616"/>
      <c r="H13" s="616"/>
      <c r="I13" s="616"/>
      <c r="J13" s="616"/>
      <c r="K13" s="617"/>
    </row>
    <row r="14" spans="2:11" customFormat="1" ht="18" customHeight="1" thickBot="1">
      <c r="B14" s="612"/>
      <c r="C14" s="613"/>
      <c r="D14" s="614">
        <v>7</v>
      </c>
      <c r="E14" s="615"/>
      <c r="F14" s="616"/>
      <c r="G14" s="616"/>
      <c r="H14" s="616"/>
      <c r="I14" s="616"/>
      <c r="J14" s="616"/>
      <c r="K14" s="617"/>
    </row>
    <row r="15" spans="2:11" customFormat="1" ht="18" customHeight="1">
      <c r="B15" s="612">
        <v>45352</v>
      </c>
      <c r="C15" s="613"/>
      <c r="D15" s="614">
        <v>8</v>
      </c>
      <c r="E15" s="615"/>
      <c r="F15" s="616" t="s">
        <v>344</v>
      </c>
      <c r="G15" s="616"/>
      <c r="H15" s="616"/>
      <c r="I15" s="616"/>
      <c r="J15" s="616"/>
      <c r="K15" s="617"/>
    </row>
    <row r="16" spans="2:11" customFormat="1" ht="150.75" customHeight="1">
      <c r="B16" s="612" t="s">
        <v>345</v>
      </c>
      <c r="C16" s="613"/>
      <c r="D16" s="614">
        <v>9</v>
      </c>
      <c r="E16" s="615"/>
      <c r="F16" s="616" t="s">
        <v>346</v>
      </c>
      <c r="G16" s="616"/>
      <c r="H16" s="616"/>
      <c r="I16" s="616"/>
      <c r="J16" s="616"/>
      <c r="K16" s="617"/>
    </row>
    <row r="17" spans="2:12" customFormat="1" ht="15.75" customHeight="1">
      <c r="B17" s="618"/>
      <c r="C17" s="618"/>
      <c r="D17" s="618"/>
      <c r="E17" s="618"/>
      <c r="F17" s="618"/>
      <c r="G17" s="618"/>
      <c r="H17" s="618"/>
      <c r="I17" s="618"/>
      <c r="J17" s="618"/>
      <c r="K17" s="618"/>
    </row>
    <row r="18" spans="2:12" customFormat="1" ht="15.75" customHeight="1" thickBot="1">
      <c r="B18" s="619" t="s">
        <v>347</v>
      </c>
      <c r="C18" s="620"/>
      <c r="D18" s="620"/>
      <c r="E18" s="621"/>
      <c r="F18" s="622" t="s">
        <v>348</v>
      </c>
      <c r="G18" s="623"/>
      <c r="H18" s="624"/>
      <c r="I18" s="625" t="s">
        <v>349</v>
      </c>
      <c r="J18" s="626"/>
      <c r="K18" s="621"/>
    </row>
    <row r="19" spans="2:12" customFormat="1" ht="27" customHeight="1">
      <c r="B19" s="627"/>
      <c r="C19" s="628"/>
      <c r="D19" s="628"/>
      <c r="E19" s="628"/>
      <c r="F19" s="628"/>
      <c r="G19" s="628"/>
      <c r="H19" s="628"/>
      <c r="I19" s="629"/>
      <c r="J19" s="629"/>
      <c r="K19" s="630"/>
    </row>
    <row r="20" spans="2:12" customFormat="1" ht="15" customHeight="1">
      <c r="B20" s="632" t="s">
        <v>350</v>
      </c>
      <c r="C20" s="633"/>
      <c r="D20" s="633"/>
      <c r="E20" s="633"/>
      <c r="F20" s="634" t="s">
        <v>351</v>
      </c>
      <c r="G20" s="634"/>
      <c r="H20" s="635"/>
      <c r="I20" s="634" t="s">
        <v>351</v>
      </c>
      <c r="J20" s="634"/>
      <c r="K20" s="635"/>
    </row>
    <row r="21" spans="2:12" customFormat="1" ht="22.5" customHeight="1" thickBot="1">
      <c r="B21" s="636" t="s">
        <v>352</v>
      </c>
      <c r="C21" s="637"/>
      <c r="D21" s="637"/>
      <c r="E21" s="637"/>
      <c r="F21" s="637" t="s">
        <v>353</v>
      </c>
      <c r="G21" s="637"/>
      <c r="H21" s="638"/>
      <c r="I21" s="637" t="s">
        <v>353</v>
      </c>
      <c r="J21" s="637"/>
      <c r="K21" s="638"/>
    </row>
    <row r="22" spans="2:12" customFormat="1" ht="9" customHeight="1" thickBot="1">
      <c r="B22" s="639"/>
      <c r="C22" s="639"/>
      <c r="D22" s="639"/>
      <c r="E22" s="639"/>
      <c r="F22" s="639"/>
      <c r="G22" s="639"/>
      <c r="H22" s="639"/>
      <c r="I22" s="639"/>
      <c r="J22" s="639"/>
      <c r="K22" s="639"/>
    </row>
    <row r="23" spans="2:12" customFormat="1" ht="15.75" thickBot="1">
      <c r="B23" s="640" t="s">
        <v>107</v>
      </c>
      <c r="C23" s="641"/>
      <c r="D23" s="642"/>
      <c r="E23" s="123" t="s">
        <v>108</v>
      </c>
      <c r="F23" s="640" t="s">
        <v>109</v>
      </c>
      <c r="G23" s="642"/>
      <c r="H23" s="124" t="s">
        <v>110</v>
      </c>
      <c r="I23" s="640" t="s">
        <v>111</v>
      </c>
      <c r="J23" s="642"/>
      <c r="K23" s="125">
        <v>1</v>
      </c>
    </row>
    <row r="24" spans="2:12" ht="8.25" customHeight="1"/>
    <row r="25" spans="2:12">
      <c r="B25" s="631" t="s">
        <v>354</v>
      </c>
      <c r="C25" s="631"/>
      <c r="D25" s="631"/>
      <c r="E25" s="631"/>
      <c r="F25" s="631"/>
      <c r="G25" s="631"/>
      <c r="H25" s="631"/>
      <c r="I25" s="631"/>
      <c r="J25" s="631"/>
      <c r="K25" s="631"/>
      <c r="L25" s="631"/>
    </row>
    <row r="26" spans="2:12">
      <c r="B26" s="631" t="s">
        <v>355</v>
      </c>
      <c r="C26" s="631"/>
      <c r="D26" s="631"/>
      <c r="E26" s="631"/>
      <c r="F26" s="631"/>
      <c r="G26" s="631"/>
      <c r="H26" s="631"/>
      <c r="I26" s="631"/>
      <c r="J26" s="631"/>
      <c r="K26" s="631"/>
      <c r="L26" s="631"/>
    </row>
    <row r="27" spans="2:12" ht="9" customHeight="1"/>
  </sheetData>
  <mergeCells count="55">
    <mergeCell ref="B16:C16"/>
    <mergeCell ref="D16:E16"/>
    <mergeCell ref="F16:K16"/>
    <mergeCell ref="F11:K11"/>
    <mergeCell ref="B12:C12"/>
    <mergeCell ref="D12:E12"/>
    <mergeCell ref="F12:K12"/>
    <mergeCell ref="B14:C14"/>
    <mergeCell ref="D14:E14"/>
    <mergeCell ref="F14:K14"/>
    <mergeCell ref="D13:E13"/>
    <mergeCell ref="F13:K13"/>
    <mergeCell ref="B11:C11"/>
    <mergeCell ref="D11:E11"/>
    <mergeCell ref="B26:L26"/>
    <mergeCell ref="B20:E20"/>
    <mergeCell ref="F20:H20"/>
    <mergeCell ref="I20:K20"/>
    <mergeCell ref="B21:E21"/>
    <mergeCell ref="F21:H21"/>
    <mergeCell ref="I21:K21"/>
    <mergeCell ref="B22:K22"/>
    <mergeCell ref="B23:D23"/>
    <mergeCell ref="F23:G23"/>
    <mergeCell ref="I23:J23"/>
    <mergeCell ref="B25:L25"/>
    <mergeCell ref="B17:K17"/>
    <mergeCell ref="B18:E18"/>
    <mergeCell ref="F18:H18"/>
    <mergeCell ref="I18:K18"/>
    <mergeCell ref="B19:E19"/>
    <mergeCell ref="F19:H19"/>
    <mergeCell ref="I19:K19"/>
    <mergeCell ref="B7:C7"/>
    <mergeCell ref="D7:E7"/>
    <mergeCell ref="F7:K7"/>
    <mergeCell ref="B15:C15"/>
    <mergeCell ref="D15:E15"/>
    <mergeCell ref="F15:K15"/>
    <mergeCell ref="B8:C8"/>
    <mergeCell ref="D8:E8"/>
    <mergeCell ref="F8:K8"/>
    <mergeCell ref="B13:C13"/>
    <mergeCell ref="B9:C9"/>
    <mergeCell ref="D9:E9"/>
    <mergeCell ref="F9:K9"/>
    <mergeCell ref="B10:C10"/>
    <mergeCell ref="D10:E10"/>
    <mergeCell ref="F10:K10"/>
    <mergeCell ref="B2:B5"/>
    <mergeCell ref="C2:I5"/>
    <mergeCell ref="J2:K2"/>
    <mergeCell ref="J3:K3"/>
    <mergeCell ref="J4:K4"/>
    <mergeCell ref="J5:K5"/>
  </mergeCells>
  <pageMargins left="0.7" right="0.7" top="0.75" bottom="0.75" header="0.3" footer="0.3"/>
  <pageSetup paperSize="9" scale="60" orientation="portrait" horizontalDpi="1200"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tabColor rgb="FF00B0F0"/>
  </sheetPr>
  <dimension ref="A1:AK55"/>
  <sheetViews>
    <sheetView zoomScale="90" zoomScaleNormal="90" workbookViewId="0">
      <selection activeCell="B4" sqref="B4:B8"/>
    </sheetView>
  </sheetViews>
  <sheetFormatPr baseColWidth="10" defaultColWidth="11.42578125" defaultRowHeight="15"/>
  <cols>
    <col min="2" max="2" width="24.28515625" customWidth="1"/>
    <col min="3" max="3" width="70.28515625" customWidth="1"/>
    <col min="4" max="4" width="29.7109375" customWidth="1"/>
  </cols>
  <sheetData>
    <row r="1" spans="1:37" ht="23.25">
      <c r="A1" s="68"/>
      <c r="B1" s="643" t="s">
        <v>356</v>
      </c>
      <c r="C1" s="643"/>
      <c r="D1" s="643"/>
      <c r="E1" s="68"/>
      <c r="F1" s="68"/>
      <c r="G1" s="68"/>
      <c r="H1" s="68"/>
      <c r="I1" s="68"/>
      <c r="J1" s="68"/>
      <c r="K1" s="68"/>
      <c r="L1" s="68"/>
      <c r="M1" s="68"/>
      <c r="N1" s="68"/>
      <c r="O1" s="68"/>
      <c r="P1" s="68"/>
      <c r="Q1" s="68"/>
      <c r="R1" s="68"/>
      <c r="S1" s="68"/>
      <c r="T1" s="68"/>
      <c r="U1" s="68"/>
      <c r="V1" s="68"/>
      <c r="W1" s="68"/>
      <c r="X1" s="68"/>
      <c r="Y1" s="68"/>
      <c r="Z1" s="68"/>
      <c r="AA1" s="68"/>
      <c r="AB1" s="68"/>
      <c r="AC1" s="68"/>
      <c r="AD1" s="68"/>
      <c r="AE1" s="68"/>
    </row>
    <row r="2" spans="1:37">
      <c r="A2" s="68"/>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row>
    <row r="3" spans="1:37" ht="25.5">
      <c r="A3" s="68"/>
      <c r="B3" s="3"/>
      <c r="C3" s="4" t="s">
        <v>357</v>
      </c>
      <c r="D3" s="4" t="s">
        <v>252</v>
      </c>
      <c r="E3" s="68"/>
      <c r="F3" s="68"/>
      <c r="G3" s="68"/>
      <c r="H3" s="68"/>
      <c r="I3" s="68"/>
      <c r="J3" s="68"/>
      <c r="K3" s="68"/>
      <c r="L3" s="68"/>
      <c r="M3" s="68"/>
      <c r="N3" s="68"/>
      <c r="O3" s="68"/>
      <c r="P3" s="68"/>
      <c r="Q3" s="68"/>
      <c r="R3" s="68"/>
      <c r="S3" s="68"/>
      <c r="T3" s="68"/>
      <c r="U3" s="68"/>
      <c r="V3" s="68"/>
      <c r="W3" s="68"/>
      <c r="X3" s="68"/>
      <c r="Y3" s="68"/>
      <c r="Z3" s="68"/>
      <c r="AA3" s="68"/>
      <c r="AB3" s="68"/>
      <c r="AC3" s="68"/>
      <c r="AD3" s="68"/>
      <c r="AE3" s="68"/>
    </row>
    <row r="4" spans="1:37" ht="51">
      <c r="A4" s="68"/>
      <c r="B4" s="5" t="s">
        <v>358</v>
      </c>
      <c r="C4" s="6" t="s">
        <v>359</v>
      </c>
      <c r="D4" s="7">
        <v>0.2</v>
      </c>
      <c r="E4" s="68"/>
      <c r="F4" s="68"/>
      <c r="G4" s="68"/>
      <c r="H4" s="68"/>
      <c r="I4" s="68"/>
      <c r="J4" s="68"/>
      <c r="K4" s="68"/>
      <c r="L4" s="68"/>
      <c r="M4" s="68"/>
      <c r="N4" s="68"/>
      <c r="O4" s="68"/>
      <c r="P4" s="68"/>
      <c r="Q4" s="68"/>
      <c r="R4" s="68"/>
      <c r="S4" s="68"/>
      <c r="T4" s="68"/>
      <c r="U4" s="68"/>
      <c r="V4" s="68"/>
      <c r="W4" s="68"/>
      <c r="X4" s="68"/>
      <c r="Y4" s="68"/>
      <c r="Z4" s="68"/>
      <c r="AA4" s="68"/>
      <c r="AB4" s="68"/>
      <c r="AC4" s="68"/>
      <c r="AD4" s="68"/>
      <c r="AE4" s="68"/>
    </row>
    <row r="5" spans="1:37" ht="51">
      <c r="A5" s="68"/>
      <c r="B5" s="8" t="s">
        <v>360</v>
      </c>
      <c r="C5" s="9" t="s">
        <v>361</v>
      </c>
      <c r="D5" s="10">
        <v>0.4</v>
      </c>
      <c r="E5" s="68"/>
      <c r="F5" s="68"/>
      <c r="G5" s="68"/>
      <c r="H5" s="68"/>
      <c r="I5" s="68"/>
      <c r="J5" s="68"/>
      <c r="K5" s="68"/>
      <c r="L5" s="68"/>
      <c r="M5" s="68"/>
      <c r="N5" s="68"/>
      <c r="O5" s="68"/>
      <c r="P5" s="68"/>
      <c r="Q5" s="68"/>
      <c r="R5" s="68"/>
      <c r="S5" s="68"/>
      <c r="T5" s="68"/>
      <c r="U5" s="68"/>
      <c r="V5" s="68"/>
      <c r="W5" s="68"/>
      <c r="X5" s="68"/>
      <c r="Y5" s="68"/>
      <c r="Z5" s="68"/>
      <c r="AA5" s="68"/>
      <c r="AB5" s="68"/>
      <c r="AC5" s="68"/>
      <c r="AD5" s="68"/>
      <c r="AE5" s="68"/>
    </row>
    <row r="6" spans="1:37" ht="51">
      <c r="A6" s="68"/>
      <c r="B6" s="11" t="s">
        <v>362</v>
      </c>
      <c r="C6" s="9" t="s">
        <v>363</v>
      </c>
      <c r="D6" s="10">
        <v>0.6</v>
      </c>
      <c r="E6" s="68"/>
      <c r="F6" s="68"/>
      <c r="G6" s="68"/>
      <c r="H6" s="68"/>
      <c r="I6" s="68"/>
      <c r="J6" s="68"/>
      <c r="K6" s="68"/>
      <c r="L6" s="68"/>
      <c r="M6" s="68"/>
      <c r="N6" s="68"/>
      <c r="O6" s="68"/>
      <c r="P6" s="68"/>
      <c r="Q6" s="68"/>
      <c r="R6" s="68"/>
      <c r="S6" s="68"/>
      <c r="T6" s="68"/>
      <c r="U6" s="68"/>
      <c r="V6" s="68"/>
      <c r="W6" s="68"/>
      <c r="X6" s="68"/>
      <c r="Y6" s="68"/>
      <c r="Z6" s="68"/>
      <c r="AA6" s="68"/>
      <c r="AB6" s="68"/>
      <c r="AC6" s="68"/>
      <c r="AD6" s="68"/>
      <c r="AE6" s="68"/>
    </row>
    <row r="7" spans="1:37" ht="76.5">
      <c r="A7" s="68"/>
      <c r="B7" s="12" t="s">
        <v>364</v>
      </c>
      <c r="C7" s="9" t="s">
        <v>365</v>
      </c>
      <c r="D7" s="10">
        <v>0.8</v>
      </c>
      <c r="E7" s="68"/>
      <c r="F7" s="68"/>
      <c r="G7" s="68"/>
      <c r="H7" s="68"/>
      <c r="I7" s="68"/>
      <c r="J7" s="68"/>
      <c r="K7" s="68"/>
      <c r="L7" s="68"/>
      <c r="M7" s="68"/>
      <c r="N7" s="68"/>
      <c r="O7" s="68"/>
      <c r="P7" s="68"/>
      <c r="Q7" s="68"/>
      <c r="R7" s="68"/>
      <c r="S7" s="68"/>
      <c r="T7" s="68"/>
      <c r="U7" s="68"/>
      <c r="V7" s="68"/>
      <c r="W7" s="68"/>
      <c r="X7" s="68"/>
      <c r="Y7" s="68"/>
      <c r="Z7" s="68"/>
      <c r="AA7" s="68"/>
      <c r="AB7" s="68"/>
      <c r="AC7" s="68"/>
      <c r="AD7" s="68"/>
      <c r="AE7" s="68"/>
    </row>
    <row r="8" spans="1:37" ht="51">
      <c r="A8" s="68"/>
      <c r="B8" s="13" t="s">
        <v>366</v>
      </c>
      <c r="C8" s="9" t="s">
        <v>367</v>
      </c>
      <c r="D8" s="10">
        <v>1</v>
      </c>
      <c r="E8" s="68"/>
      <c r="F8" s="68"/>
      <c r="G8" s="68"/>
      <c r="H8" s="68"/>
      <c r="I8" s="68"/>
      <c r="J8" s="68"/>
      <c r="K8" s="68"/>
      <c r="L8" s="68"/>
      <c r="M8" s="68"/>
      <c r="N8" s="68"/>
      <c r="O8" s="68"/>
      <c r="P8" s="68"/>
      <c r="Q8" s="68"/>
      <c r="R8" s="68"/>
      <c r="S8" s="68"/>
      <c r="T8" s="68"/>
      <c r="U8" s="68"/>
      <c r="V8" s="68"/>
      <c r="W8" s="68"/>
      <c r="X8" s="68"/>
      <c r="Y8" s="68"/>
      <c r="Z8" s="68"/>
      <c r="AA8" s="68"/>
      <c r="AB8" s="68"/>
      <c r="AC8" s="68"/>
      <c r="AD8" s="68"/>
      <c r="AE8" s="68"/>
    </row>
    <row r="9" spans="1:37">
      <c r="A9" s="68"/>
      <c r="B9" s="88"/>
      <c r="C9" s="88"/>
      <c r="D9" s="8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row>
    <row r="10" spans="1:37" ht="16.5">
      <c r="A10" s="68"/>
      <c r="B10" s="89"/>
      <c r="C10" s="88"/>
      <c r="D10" s="8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row>
    <row r="11" spans="1:37">
      <c r="A11" s="68"/>
      <c r="B11" s="88"/>
      <c r="C11" s="88"/>
      <c r="D11" s="8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row>
    <row r="12" spans="1:37">
      <c r="A12" s="68"/>
      <c r="B12" s="88"/>
      <c r="C12" s="88"/>
      <c r="D12" s="8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row>
    <row r="13" spans="1:37">
      <c r="A13" s="68"/>
      <c r="B13" s="88"/>
      <c r="C13" s="88"/>
      <c r="D13" s="88"/>
      <c r="E13" s="68"/>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row>
    <row r="14" spans="1:37">
      <c r="A14" s="68"/>
      <c r="B14" s="88"/>
      <c r="C14" s="88"/>
      <c r="D14" s="8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row>
    <row r="15" spans="1:37">
      <c r="A15" s="68"/>
      <c r="B15" s="88"/>
      <c r="C15" s="88"/>
      <c r="D15" s="88"/>
      <c r="E15" s="68"/>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row>
    <row r="16" spans="1:37">
      <c r="A16" s="68"/>
      <c r="B16" s="88"/>
      <c r="C16" s="88"/>
      <c r="D16" s="8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8"/>
    </row>
    <row r="17" spans="1:37">
      <c r="A17" s="68"/>
      <c r="B17" s="88"/>
      <c r="C17" s="88"/>
      <c r="D17" s="8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row>
    <row r="18" spans="1:37">
      <c r="A18" s="68"/>
      <c r="B18" s="88"/>
      <c r="C18" s="88"/>
      <c r="D18" s="8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row>
    <row r="19" spans="1:37">
      <c r="A19" s="68"/>
      <c r="B19" s="68"/>
      <c r="C19" s="68"/>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8"/>
    </row>
    <row r="20" spans="1:37">
      <c r="A20" s="68"/>
      <c r="B20" s="68"/>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row>
    <row r="21" spans="1:37">
      <c r="A21" s="68"/>
      <c r="B21" s="68"/>
      <c r="C21" s="68"/>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row>
    <row r="22" spans="1:37">
      <c r="A22" s="68"/>
      <c r="B22" s="68"/>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row>
    <row r="23" spans="1:37">
      <c r="A23" s="68"/>
      <c r="B23" s="68"/>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row>
    <row r="24" spans="1:37">
      <c r="A24" s="68"/>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row>
    <row r="25" spans="1:37">
      <c r="A25" s="68"/>
      <c r="B25" s="68"/>
      <c r="C25" s="68"/>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row>
    <row r="26" spans="1:37">
      <c r="A26" s="68"/>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row>
    <row r="27" spans="1:37">
      <c r="A27" s="68"/>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row>
    <row r="28" spans="1:37">
      <c r="A28" s="68"/>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row>
    <row r="29" spans="1:37">
      <c r="A29" s="68"/>
      <c r="B29" s="68"/>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row>
    <row r="30" spans="1:37">
      <c r="A30" s="68"/>
      <c r="B30" s="68"/>
      <c r="C30" s="68"/>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row>
    <row r="31" spans="1:37">
      <c r="A31" s="68"/>
      <c r="B31" s="68"/>
      <c r="C31" s="68"/>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row>
    <row r="32" spans="1:37">
      <c r="A32" s="68"/>
      <c r="B32" s="68"/>
      <c r="C32" s="68"/>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row>
    <row r="33" spans="1:31">
      <c r="A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row>
    <row r="34" spans="1:31">
      <c r="A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row>
    <row r="35" spans="1:31">
      <c r="A35" s="68"/>
    </row>
    <row r="36" spans="1:31">
      <c r="A36" s="68"/>
    </row>
    <row r="37" spans="1:31">
      <c r="A37" s="68"/>
    </row>
    <row r="38" spans="1:31">
      <c r="A38" s="68"/>
    </row>
    <row r="39" spans="1:31">
      <c r="A39" s="68"/>
    </row>
    <row r="40" spans="1:31">
      <c r="A40" s="68"/>
    </row>
    <row r="41" spans="1:31">
      <c r="A41" s="68"/>
    </row>
    <row r="42" spans="1:31">
      <c r="A42" s="68"/>
    </row>
    <row r="43" spans="1:31">
      <c r="A43" s="68"/>
    </row>
    <row r="44" spans="1:31">
      <c r="A44" s="68"/>
    </row>
    <row r="45" spans="1:31">
      <c r="A45" s="68"/>
    </row>
    <row r="46" spans="1:31">
      <c r="A46" s="68"/>
    </row>
    <row r="47" spans="1:31">
      <c r="A47" s="68"/>
    </row>
    <row r="48" spans="1:31">
      <c r="A48" s="68"/>
    </row>
    <row r="49" spans="1:1">
      <c r="A49" s="68"/>
    </row>
    <row r="50" spans="1:1">
      <c r="A50" s="68"/>
    </row>
    <row r="51" spans="1:1">
      <c r="A51" s="68"/>
    </row>
    <row r="52" spans="1:1">
      <c r="A52" s="68"/>
    </row>
    <row r="53" spans="1:1">
      <c r="A53" s="68"/>
    </row>
    <row r="54" spans="1:1">
      <c r="A54" s="68"/>
    </row>
    <row r="55" spans="1:1">
      <c r="A55" s="68"/>
    </row>
  </sheetData>
  <mergeCells count="1">
    <mergeCell ref="B1:D1"/>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tabColor theme="6" tint="-0.249977111117893"/>
  </sheetPr>
  <dimension ref="A1:U232"/>
  <sheetViews>
    <sheetView zoomScale="55" zoomScaleNormal="55" workbookViewId="0">
      <selection activeCell="C27" sqref="C27"/>
    </sheetView>
  </sheetViews>
  <sheetFormatPr baseColWidth="10" defaultColWidth="11.42578125" defaultRowHeight="15"/>
  <cols>
    <col min="2" max="2" width="40.42578125" customWidth="1"/>
    <col min="3" max="3" width="74.7109375" customWidth="1"/>
    <col min="4" max="4" width="135" bestFit="1" customWidth="1"/>
    <col min="5" max="5" width="144.7109375" bestFit="1" customWidth="1"/>
    <col min="6" max="6" width="136.42578125" bestFit="1" customWidth="1"/>
  </cols>
  <sheetData>
    <row r="1" spans="1:21" ht="33.75">
      <c r="A1" s="68"/>
      <c r="B1" s="644" t="s">
        <v>368</v>
      </c>
      <c r="C1" s="644"/>
      <c r="D1" s="644"/>
      <c r="E1" s="68"/>
      <c r="F1" s="68"/>
      <c r="G1" s="68"/>
      <c r="H1" s="68"/>
      <c r="I1" s="68"/>
      <c r="J1" s="68"/>
      <c r="K1" s="68"/>
      <c r="L1" s="68"/>
      <c r="M1" s="68"/>
      <c r="N1" s="68"/>
      <c r="O1" s="68"/>
      <c r="P1" s="68"/>
      <c r="Q1" s="68"/>
      <c r="R1" s="68"/>
      <c r="S1" s="68"/>
      <c r="T1" s="68"/>
      <c r="U1" s="68"/>
    </row>
    <row r="2" spans="1:21">
      <c r="A2" s="68"/>
      <c r="B2" s="68"/>
      <c r="C2" s="68"/>
      <c r="D2" s="68"/>
      <c r="E2" s="68"/>
      <c r="F2" s="68"/>
      <c r="G2" s="68"/>
      <c r="H2" s="68"/>
      <c r="I2" s="68"/>
      <c r="J2" s="68"/>
      <c r="K2" s="68"/>
      <c r="L2" s="68"/>
      <c r="M2" s="68"/>
      <c r="N2" s="68"/>
      <c r="O2" s="68"/>
      <c r="P2" s="68"/>
      <c r="Q2" s="68"/>
      <c r="R2" s="68"/>
      <c r="S2" s="68"/>
      <c r="T2" s="68"/>
      <c r="U2" s="68"/>
    </row>
    <row r="3" spans="1:21" ht="60">
      <c r="A3" s="68"/>
      <c r="B3" s="85"/>
      <c r="C3" s="22" t="s">
        <v>369</v>
      </c>
      <c r="D3" s="22" t="s">
        <v>370</v>
      </c>
      <c r="E3" s="68"/>
      <c r="F3" s="68"/>
      <c r="G3" s="68"/>
      <c r="H3" s="68"/>
      <c r="I3" s="68"/>
      <c r="J3" s="68"/>
      <c r="K3" s="68"/>
      <c r="L3" s="68"/>
      <c r="M3" s="68"/>
      <c r="N3" s="68"/>
      <c r="O3" s="68"/>
      <c r="P3" s="68"/>
      <c r="Q3" s="68"/>
      <c r="R3" s="68"/>
      <c r="S3" s="68"/>
      <c r="T3" s="68"/>
      <c r="U3" s="68"/>
    </row>
    <row r="4" spans="1:21" ht="33.75">
      <c r="A4" s="84" t="s">
        <v>371</v>
      </c>
      <c r="B4" s="25" t="s">
        <v>372</v>
      </c>
      <c r="C4" s="30" t="s">
        <v>373</v>
      </c>
      <c r="D4" s="23" t="s">
        <v>374</v>
      </c>
      <c r="E4" s="68"/>
      <c r="F4" s="68"/>
      <c r="G4" s="68"/>
      <c r="H4" s="68"/>
      <c r="I4" s="68"/>
      <c r="J4" s="68"/>
      <c r="K4" s="68"/>
      <c r="L4" s="68"/>
      <c r="M4" s="68"/>
      <c r="N4" s="68"/>
      <c r="O4" s="68"/>
      <c r="P4" s="68"/>
      <c r="Q4" s="68"/>
      <c r="R4" s="68"/>
      <c r="S4" s="68"/>
      <c r="T4" s="68"/>
      <c r="U4" s="68"/>
    </row>
    <row r="5" spans="1:21" ht="101.25">
      <c r="A5" s="84" t="s">
        <v>119</v>
      </c>
      <c r="B5" s="26" t="s">
        <v>375</v>
      </c>
      <c r="C5" s="31" t="s">
        <v>376</v>
      </c>
      <c r="D5" s="24" t="s">
        <v>377</v>
      </c>
      <c r="E5" s="68"/>
      <c r="F5" s="68"/>
      <c r="G5" s="68"/>
      <c r="H5" s="68"/>
      <c r="I5" s="68"/>
      <c r="J5" s="68"/>
      <c r="K5" s="68"/>
      <c r="L5" s="68"/>
      <c r="M5" s="68"/>
      <c r="N5" s="68"/>
      <c r="O5" s="68"/>
      <c r="P5" s="68"/>
      <c r="Q5" s="68"/>
      <c r="R5" s="68"/>
      <c r="S5" s="68"/>
      <c r="T5" s="68"/>
      <c r="U5" s="68"/>
    </row>
    <row r="6" spans="1:21" ht="67.5">
      <c r="A6" s="84" t="s">
        <v>121</v>
      </c>
      <c r="B6" s="27" t="s">
        <v>378</v>
      </c>
      <c r="C6" s="31" t="s">
        <v>379</v>
      </c>
      <c r="D6" s="24" t="s">
        <v>380</v>
      </c>
      <c r="E6" s="68"/>
      <c r="F6" s="68"/>
      <c r="G6" s="68"/>
      <c r="H6" s="68"/>
      <c r="I6" s="68"/>
      <c r="J6" s="68"/>
      <c r="K6" s="68"/>
      <c r="L6" s="68"/>
      <c r="M6" s="68"/>
      <c r="N6" s="68"/>
      <c r="O6" s="68"/>
      <c r="P6" s="68"/>
      <c r="Q6" s="68"/>
      <c r="R6" s="68"/>
      <c r="S6" s="68"/>
      <c r="T6" s="68"/>
      <c r="U6" s="68"/>
    </row>
    <row r="7" spans="1:21" ht="101.25">
      <c r="A7" s="84" t="s">
        <v>123</v>
      </c>
      <c r="B7" s="28" t="s">
        <v>381</v>
      </c>
      <c r="C7" s="31" t="s">
        <v>382</v>
      </c>
      <c r="D7" s="24" t="s">
        <v>383</v>
      </c>
      <c r="E7" s="68"/>
      <c r="F7" s="68"/>
      <c r="G7" s="68"/>
      <c r="H7" s="68"/>
      <c r="I7" s="68"/>
      <c r="J7" s="68"/>
      <c r="K7" s="68"/>
      <c r="L7" s="68"/>
      <c r="M7" s="68"/>
      <c r="N7" s="68"/>
      <c r="O7" s="68"/>
      <c r="P7" s="68"/>
      <c r="Q7" s="68"/>
      <c r="R7" s="68"/>
      <c r="S7" s="68"/>
      <c r="T7" s="68"/>
      <c r="U7" s="68"/>
    </row>
    <row r="8" spans="1:21" ht="67.5">
      <c r="A8" s="84" t="s">
        <v>125</v>
      </c>
      <c r="B8" s="29" t="s">
        <v>384</v>
      </c>
      <c r="C8" s="31" t="s">
        <v>385</v>
      </c>
      <c r="D8" s="24" t="s">
        <v>386</v>
      </c>
      <c r="E8" s="68"/>
      <c r="F8" s="68"/>
      <c r="G8" s="68"/>
      <c r="H8" s="68"/>
      <c r="I8" s="68"/>
      <c r="J8" s="68"/>
      <c r="K8" s="68"/>
      <c r="L8" s="68"/>
      <c r="M8" s="68"/>
      <c r="N8" s="68"/>
      <c r="O8" s="68"/>
      <c r="P8" s="68"/>
      <c r="Q8" s="68"/>
      <c r="R8" s="68"/>
      <c r="S8" s="68"/>
      <c r="T8" s="68"/>
      <c r="U8" s="68"/>
    </row>
    <row r="9" spans="1:21" ht="20.25">
      <c r="A9" s="84"/>
      <c r="B9" s="84"/>
      <c r="C9" s="86"/>
      <c r="D9" s="86"/>
      <c r="E9" s="68"/>
      <c r="F9" s="68"/>
      <c r="G9" s="68"/>
      <c r="H9" s="68"/>
      <c r="I9" s="68"/>
      <c r="J9" s="68"/>
      <c r="K9" s="68"/>
      <c r="L9" s="68"/>
      <c r="M9" s="68"/>
      <c r="N9" s="68"/>
      <c r="O9" s="68"/>
      <c r="P9" s="68"/>
      <c r="Q9" s="68"/>
      <c r="R9" s="68"/>
      <c r="S9" s="68"/>
      <c r="T9" s="68"/>
      <c r="U9" s="68"/>
    </row>
    <row r="10" spans="1:21" ht="16.5">
      <c r="A10" s="84"/>
      <c r="B10" s="87"/>
      <c r="C10" s="87"/>
      <c r="D10" s="87"/>
      <c r="E10" s="68"/>
      <c r="F10" s="68"/>
      <c r="G10" s="68"/>
      <c r="H10" s="68"/>
      <c r="I10" s="68"/>
      <c r="J10" s="68"/>
      <c r="K10" s="68"/>
      <c r="L10" s="68"/>
      <c r="M10" s="68"/>
      <c r="N10" s="68"/>
      <c r="O10" s="68"/>
      <c r="P10" s="68"/>
      <c r="Q10" s="68"/>
      <c r="R10" s="68"/>
      <c r="S10" s="68"/>
      <c r="T10" s="68"/>
      <c r="U10" s="68"/>
    </row>
    <row r="11" spans="1:21">
      <c r="A11" s="84"/>
      <c r="B11" s="84" t="s">
        <v>387</v>
      </c>
      <c r="C11" s="84" t="s">
        <v>116</v>
      </c>
      <c r="D11" s="84" t="s">
        <v>126</v>
      </c>
      <c r="E11" s="68"/>
      <c r="F11" s="68"/>
      <c r="G11" s="68"/>
      <c r="H11" s="68"/>
      <c r="I11" s="68"/>
      <c r="J11" s="68"/>
      <c r="K11" s="68"/>
      <c r="L11" s="68"/>
      <c r="M11" s="68"/>
      <c r="N11" s="68"/>
      <c r="O11" s="68"/>
      <c r="P11" s="68"/>
      <c r="Q11" s="68"/>
      <c r="R11" s="68"/>
      <c r="S11" s="68"/>
      <c r="T11" s="68"/>
      <c r="U11" s="68"/>
    </row>
    <row r="12" spans="1:21">
      <c r="A12" s="84"/>
      <c r="B12" s="84" t="s">
        <v>388</v>
      </c>
      <c r="C12" s="84" t="s">
        <v>118</v>
      </c>
      <c r="D12" s="84" t="s">
        <v>127</v>
      </c>
      <c r="E12" s="68"/>
      <c r="F12" s="68"/>
      <c r="G12" s="68"/>
      <c r="H12" s="68"/>
      <c r="I12" s="68"/>
      <c r="J12" s="68"/>
      <c r="K12" s="68"/>
      <c r="L12" s="68"/>
      <c r="M12" s="68"/>
      <c r="N12" s="68"/>
      <c r="O12" s="68"/>
      <c r="P12" s="68"/>
      <c r="Q12" s="68"/>
      <c r="R12" s="68"/>
      <c r="S12" s="68"/>
      <c r="T12" s="68"/>
      <c r="U12" s="68"/>
    </row>
    <row r="13" spans="1:21" ht="18">
      <c r="A13" s="84"/>
      <c r="B13" s="219"/>
      <c r="C13" s="84" t="s">
        <v>120</v>
      </c>
      <c r="D13" s="84" t="s">
        <v>128</v>
      </c>
      <c r="E13" s="68"/>
      <c r="F13" s="68"/>
      <c r="G13" s="68"/>
      <c r="H13" s="68"/>
      <c r="I13" s="68"/>
      <c r="J13" s="68"/>
      <c r="K13" s="68"/>
      <c r="L13" s="68"/>
      <c r="M13" s="68"/>
      <c r="N13" s="68"/>
      <c r="O13" s="68"/>
      <c r="P13" s="68"/>
      <c r="Q13" s="68"/>
      <c r="R13" s="68"/>
      <c r="S13" s="68"/>
      <c r="T13" s="68"/>
      <c r="U13" s="68"/>
    </row>
    <row r="14" spans="1:21">
      <c r="A14" s="84"/>
      <c r="B14" s="84"/>
      <c r="C14" s="84" t="s">
        <v>122</v>
      </c>
      <c r="D14" s="84" t="s">
        <v>129</v>
      </c>
      <c r="E14" s="68"/>
      <c r="F14" s="68"/>
      <c r="G14" s="68"/>
      <c r="H14" s="68"/>
      <c r="I14" s="68"/>
      <c r="J14" s="68"/>
      <c r="K14" s="68"/>
      <c r="L14" s="68"/>
      <c r="M14" s="68"/>
      <c r="N14" s="68"/>
      <c r="O14" s="68"/>
      <c r="P14" s="68"/>
      <c r="Q14" s="68"/>
      <c r="R14" s="68"/>
      <c r="S14" s="68"/>
      <c r="T14" s="68"/>
      <c r="U14" s="68"/>
    </row>
    <row r="15" spans="1:21">
      <c r="A15" s="84"/>
      <c r="B15" s="84"/>
      <c r="C15" s="84" t="s">
        <v>124</v>
      </c>
      <c r="D15" s="84" t="s">
        <v>130</v>
      </c>
      <c r="E15" s="68"/>
      <c r="F15" s="68"/>
      <c r="G15" s="68"/>
      <c r="H15" s="68"/>
      <c r="I15" s="68"/>
      <c r="J15" s="68"/>
      <c r="K15" s="68"/>
      <c r="L15" s="68"/>
      <c r="M15" s="68"/>
      <c r="N15" s="68"/>
      <c r="O15" s="68"/>
      <c r="P15" s="68"/>
      <c r="Q15" s="68"/>
      <c r="R15" s="68"/>
      <c r="S15" s="68"/>
      <c r="T15" s="68"/>
      <c r="U15" s="68"/>
    </row>
    <row r="16" spans="1:21">
      <c r="A16" s="84"/>
      <c r="B16" s="84"/>
      <c r="C16" s="84"/>
      <c r="D16" s="84"/>
      <c r="E16" s="68"/>
      <c r="F16" s="68"/>
      <c r="G16" s="68"/>
      <c r="H16" s="68"/>
      <c r="I16" s="68"/>
      <c r="J16" s="68"/>
      <c r="K16" s="68"/>
      <c r="L16" s="68"/>
      <c r="M16" s="68"/>
      <c r="N16" s="68"/>
      <c r="O16" s="68"/>
    </row>
    <row r="17" spans="1:15">
      <c r="A17" s="84"/>
      <c r="B17" s="84"/>
      <c r="C17" s="84"/>
      <c r="D17" s="84"/>
      <c r="E17" s="68"/>
      <c r="F17" s="68"/>
      <c r="G17" s="68"/>
      <c r="H17" s="68"/>
      <c r="I17" s="68"/>
      <c r="J17" s="68"/>
      <c r="K17" s="68"/>
      <c r="L17" s="68"/>
      <c r="M17" s="68"/>
      <c r="N17" s="68"/>
      <c r="O17" s="68"/>
    </row>
    <row r="18" spans="1:15">
      <c r="A18" s="84"/>
      <c r="B18" s="88"/>
      <c r="C18" s="88"/>
      <c r="D18" s="88"/>
      <c r="E18" s="68"/>
      <c r="F18" s="68"/>
      <c r="G18" s="68"/>
      <c r="H18" s="68"/>
      <c r="I18" s="68"/>
      <c r="J18" s="68"/>
      <c r="K18" s="68"/>
      <c r="L18" s="68"/>
      <c r="M18" s="68"/>
      <c r="N18" s="68"/>
      <c r="O18" s="68"/>
    </row>
    <row r="19" spans="1:15">
      <c r="A19" s="84"/>
      <c r="B19" s="88"/>
      <c r="C19" s="88"/>
      <c r="D19" s="88"/>
      <c r="E19" s="68"/>
      <c r="F19" s="68"/>
      <c r="G19" s="68"/>
      <c r="H19" s="68"/>
      <c r="I19" s="68"/>
      <c r="J19" s="68"/>
      <c r="K19" s="68"/>
      <c r="L19" s="68"/>
      <c r="M19" s="68"/>
      <c r="N19" s="68"/>
      <c r="O19" s="68"/>
    </row>
    <row r="20" spans="1:15">
      <c r="A20" s="84"/>
      <c r="B20" s="88"/>
      <c r="C20" s="88"/>
      <c r="D20" s="88"/>
      <c r="E20" s="68"/>
      <c r="F20" s="68"/>
      <c r="G20" s="68"/>
      <c r="H20" s="68"/>
      <c r="I20" s="68"/>
      <c r="J20" s="68"/>
      <c r="K20" s="68"/>
      <c r="L20" s="68"/>
      <c r="M20" s="68"/>
      <c r="N20" s="68"/>
      <c r="O20" s="68"/>
    </row>
    <row r="21" spans="1:15">
      <c r="A21" s="84"/>
      <c r="B21" s="88"/>
      <c r="C21" s="88"/>
      <c r="D21" s="88"/>
      <c r="E21" s="68"/>
      <c r="F21" s="68"/>
      <c r="G21" s="68"/>
      <c r="H21" s="68"/>
      <c r="I21" s="68"/>
      <c r="J21" s="68"/>
      <c r="K21" s="68"/>
      <c r="L21" s="68"/>
      <c r="M21" s="68"/>
      <c r="N21" s="68"/>
      <c r="O21" s="68"/>
    </row>
    <row r="22" spans="1:15" ht="20.25">
      <c r="A22" s="84"/>
      <c r="B22" s="84"/>
      <c r="C22" s="86"/>
      <c r="D22" s="86"/>
      <c r="E22" s="68"/>
      <c r="F22" s="68"/>
      <c r="G22" s="68"/>
      <c r="H22" s="68"/>
      <c r="I22" s="68"/>
      <c r="J22" s="68"/>
      <c r="K22" s="68"/>
      <c r="L22" s="68"/>
      <c r="M22" s="68"/>
      <c r="N22" s="68"/>
      <c r="O22" s="68"/>
    </row>
    <row r="23" spans="1:15" ht="20.25">
      <c r="A23" s="84"/>
      <c r="B23" s="84"/>
      <c r="C23" s="86"/>
      <c r="D23" s="86"/>
      <c r="E23" s="68"/>
      <c r="F23" s="68"/>
      <c r="G23" s="68"/>
      <c r="H23" s="68"/>
      <c r="I23" s="68"/>
      <c r="J23" s="68"/>
      <c r="K23" s="68"/>
      <c r="L23" s="68"/>
      <c r="M23" s="68"/>
      <c r="N23" s="68"/>
      <c r="O23" s="68"/>
    </row>
    <row r="24" spans="1:15" ht="20.25">
      <c r="A24" s="84"/>
      <c r="B24" s="84"/>
      <c r="C24" s="86"/>
      <c r="D24" s="86"/>
      <c r="E24" s="68"/>
      <c r="F24" s="68"/>
      <c r="G24" s="68"/>
      <c r="H24" s="68"/>
      <c r="I24" s="68"/>
      <c r="J24" s="68"/>
      <c r="K24" s="68"/>
      <c r="L24" s="68"/>
      <c r="M24" s="68"/>
      <c r="N24" s="68"/>
      <c r="O24" s="68"/>
    </row>
    <row r="25" spans="1:15" ht="20.25">
      <c r="A25" s="84"/>
      <c r="B25" s="84"/>
      <c r="C25" s="86"/>
      <c r="D25" s="86"/>
      <c r="E25" s="68"/>
      <c r="F25" s="68"/>
      <c r="G25" s="68"/>
      <c r="H25" s="68"/>
      <c r="I25" s="68"/>
      <c r="J25" s="68"/>
      <c r="K25" s="68"/>
      <c r="L25" s="68"/>
      <c r="M25" s="68"/>
      <c r="N25" s="68"/>
      <c r="O25" s="68"/>
    </row>
    <row r="26" spans="1:15" ht="20.25">
      <c r="A26" s="84"/>
      <c r="B26" s="84"/>
      <c r="C26" s="86"/>
      <c r="D26" s="86"/>
      <c r="E26" s="68"/>
      <c r="F26" s="68"/>
      <c r="G26" s="68"/>
      <c r="H26" s="68"/>
      <c r="I26" s="68"/>
      <c r="J26" s="68"/>
      <c r="K26" s="68"/>
      <c r="L26" s="68"/>
      <c r="M26" s="68"/>
      <c r="N26" s="68"/>
      <c r="O26" s="68"/>
    </row>
    <row r="27" spans="1:15" ht="20.25">
      <c r="A27" s="84"/>
      <c r="B27" s="84"/>
      <c r="C27" s="86"/>
      <c r="D27" s="86"/>
      <c r="E27" s="68"/>
      <c r="F27" s="68"/>
      <c r="G27" s="68"/>
      <c r="H27" s="68"/>
      <c r="I27" s="68"/>
      <c r="J27" s="68"/>
      <c r="K27" s="68"/>
      <c r="L27" s="68"/>
      <c r="M27" s="68"/>
      <c r="N27" s="68"/>
      <c r="O27" s="68"/>
    </row>
    <row r="28" spans="1:15" ht="20.25">
      <c r="A28" s="84"/>
      <c r="B28" s="84"/>
      <c r="C28" s="86"/>
      <c r="D28" s="86"/>
      <c r="E28" s="68"/>
      <c r="F28" s="68"/>
      <c r="G28" s="68"/>
      <c r="H28" s="68"/>
      <c r="I28" s="68"/>
      <c r="J28" s="68"/>
      <c r="K28" s="68"/>
      <c r="L28" s="68"/>
      <c r="M28" s="68"/>
      <c r="N28" s="68"/>
      <c r="O28" s="68"/>
    </row>
    <row r="29" spans="1:15" ht="20.25">
      <c r="A29" s="84"/>
      <c r="B29" s="84"/>
      <c r="C29" s="86"/>
      <c r="D29" s="86"/>
      <c r="E29" s="68"/>
      <c r="F29" s="68"/>
      <c r="G29" s="68"/>
      <c r="H29" s="68"/>
      <c r="I29" s="68"/>
      <c r="J29" s="68"/>
      <c r="K29" s="68"/>
      <c r="L29" s="68"/>
      <c r="M29" s="68"/>
      <c r="N29" s="68"/>
      <c r="O29" s="68"/>
    </row>
    <row r="30" spans="1:15" ht="20.25">
      <c r="A30" s="84"/>
      <c r="B30" s="84"/>
      <c r="C30" s="86"/>
      <c r="D30" s="86"/>
      <c r="E30" s="68"/>
      <c r="F30" s="68"/>
      <c r="G30" s="68"/>
      <c r="H30" s="68"/>
      <c r="I30" s="68"/>
      <c r="J30" s="68"/>
      <c r="K30" s="68"/>
      <c r="L30" s="68"/>
      <c r="M30" s="68"/>
      <c r="N30" s="68"/>
      <c r="O30" s="68"/>
    </row>
    <row r="31" spans="1:15" ht="20.25">
      <c r="A31" s="84"/>
      <c r="B31" s="84"/>
      <c r="C31" s="86"/>
      <c r="D31" s="86"/>
      <c r="E31" s="68"/>
      <c r="F31" s="68"/>
      <c r="G31" s="68"/>
      <c r="H31" s="68"/>
      <c r="I31" s="68"/>
      <c r="J31" s="68"/>
      <c r="K31" s="68"/>
      <c r="L31" s="68"/>
      <c r="M31" s="68"/>
      <c r="N31" s="68"/>
      <c r="O31" s="68"/>
    </row>
    <row r="32" spans="1:15" ht="20.25">
      <c r="A32" s="84"/>
      <c r="B32" s="84"/>
      <c r="C32" s="86"/>
      <c r="D32" s="86"/>
      <c r="E32" s="68"/>
      <c r="F32" s="68"/>
      <c r="G32" s="68"/>
      <c r="H32" s="68"/>
      <c r="I32" s="68"/>
      <c r="J32" s="68"/>
      <c r="K32" s="68"/>
      <c r="L32" s="68"/>
      <c r="M32" s="68"/>
      <c r="N32" s="68"/>
      <c r="O32" s="68"/>
    </row>
    <row r="33" spans="1:15" ht="20.25">
      <c r="A33" s="84"/>
      <c r="B33" s="84"/>
      <c r="C33" s="86"/>
      <c r="D33" s="86"/>
      <c r="E33" s="68"/>
      <c r="F33" s="68"/>
      <c r="G33" s="68"/>
      <c r="H33" s="68"/>
      <c r="I33" s="68"/>
      <c r="J33" s="68"/>
      <c r="K33" s="68"/>
      <c r="L33" s="68"/>
      <c r="M33" s="68"/>
      <c r="N33" s="68"/>
      <c r="O33" s="68"/>
    </row>
    <row r="34" spans="1:15" ht="20.25">
      <c r="A34" s="84"/>
      <c r="B34" s="84"/>
      <c r="C34" s="86"/>
      <c r="D34" s="86"/>
      <c r="E34" s="68"/>
      <c r="F34" s="68"/>
      <c r="G34" s="68"/>
      <c r="H34" s="68"/>
      <c r="I34" s="68"/>
      <c r="J34" s="68"/>
      <c r="K34" s="68"/>
      <c r="L34" s="68"/>
      <c r="M34" s="68"/>
      <c r="N34" s="68"/>
      <c r="O34" s="68"/>
    </row>
    <row r="35" spans="1:15" ht="20.25">
      <c r="A35" s="84"/>
      <c r="B35" s="84"/>
      <c r="C35" s="86"/>
      <c r="D35" s="86"/>
      <c r="E35" s="68"/>
      <c r="F35" s="68"/>
      <c r="G35" s="68"/>
      <c r="H35" s="68"/>
      <c r="I35" s="68"/>
      <c r="J35" s="68"/>
      <c r="K35" s="68"/>
      <c r="L35" s="68"/>
      <c r="M35" s="68"/>
      <c r="N35" s="68"/>
      <c r="O35" s="68"/>
    </row>
    <row r="36" spans="1:15" ht="20.25">
      <c r="A36" s="84"/>
      <c r="B36" s="84"/>
      <c r="C36" s="86"/>
      <c r="D36" s="86"/>
      <c r="E36" s="68"/>
      <c r="F36" s="68"/>
      <c r="G36" s="68"/>
      <c r="H36" s="68"/>
      <c r="I36" s="68"/>
      <c r="J36" s="68"/>
      <c r="K36" s="68"/>
      <c r="L36" s="68"/>
      <c r="M36" s="68"/>
      <c r="N36" s="68"/>
      <c r="O36" s="68"/>
    </row>
    <row r="37" spans="1:15" ht="20.25">
      <c r="A37" s="84"/>
      <c r="B37" s="84"/>
      <c r="C37" s="86"/>
      <c r="D37" s="86"/>
      <c r="E37" s="68"/>
      <c r="F37" s="68"/>
      <c r="G37" s="68"/>
      <c r="H37" s="68"/>
      <c r="I37" s="68"/>
      <c r="J37" s="68"/>
      <c r="K37" s="68"/>
      <c r="L37" s="68"/>
      <c r="M37" s="68"/>
      <c r="N37" s="68"/>
      <c r="O37" s="68"/>
    </row>
    <row r="38" spans="1:15" ht="20.25">
      <c r="A38" s="84"/>
      <c r="B38" s="84"/>
      <c r="C38" s="86"/>
      <c r="D38" s="86"/>
      <c r="E38" s="68"/>
      <c r="F38" s="68"/>
      <c r="G38" s="68"/>
      <c r="H38" s="68"/>
      <c r="I38" s="68"/>
      <c r="J38" s="68"/>
      <c r="K38" s="68"/>
      <c r="L38" s="68"/>
      <c r="M38" s="68"/>
      <c r="N38" s="68"/>
      <c r="O38" s="68"/>
    </row>
    <row r="39" spans="1:15" ht="20.25">
      <c r="A39" s="84"/>
      <c r="B39" s="84"/>
      <c r="C39" s="86"/>
      <c r="D39" s="86"/>
      <c r="E39" s="68"/>
      <c r="F39" s="68"/>
      <c r="G39" s="68"/>
      <c r="H39" s="68"/>
      <c r="I39" s="68"/>
      <c r="J39" s="68"/>
      <c r="K39" s="68"/>
      <c r="L39" s="68"/>
      <c r="M39" s="68"/>
      <c r="N39" s="68"/>
      <c r="O39" s="68"/>
    </row>
    <row r="40" spans="1:15" ht="20.25">
      <c r="A40" s="84"/>
      <c r="B40" s="84"/>
      <c r="C40" s="86"/>
      <c r="D40" s="86"/>
      <c r="E40" s="68"/>
      <c r="F40" s="68"/>
      <c r="G40" s="68"/>
      <c r="H40" s="68"/>
      <c r="I40" s="68"/>
      <c r="J40" s="68"/>
      <c r="K40" s="68"/>
      <c r="L40" s="68"/>
      <c r="M40" s="68"/>
      <c r="N40" s="68"/>
      <c r="O40" s="68"/>
    </row>
    <row r="41" spans="1:15" ht="20.25">
      <c r="A41" s="84"/>
      <c r="B41" s="84"/>
      <c r="C41" s="86"/>
      <c r="D41" s="86"/>
      <c r="E41" s="68"/>
      <c r="F41" s="68"/>
      <c r="G41" s="68"/>
      <c r="H41" s="68"/>
      <c r="I41" s="68"/>
      <c r="J41" s="68"/>
      <c r="K41" s="68"/>
      <c r="L41" s="68"/>
      <c r="M41" s="68"/>
      <c r="N41" s="68"/>
      <c r="O41" s="68"/>
    </row>
    <row r="42" spans="1:15" ht="20.25">
      <c r="A42" s="84"/>
      <c r="B42" s="84"/>
      <c r="C42" s="86"/>
      <c r="D42" s="86"/>
      <c r="E42" s="68"/>
      <c r="F42" s="68"/>
      <c r="G42" s="68"/>
      <c r="H42" s="68"/>
      <c r="I42" s="68"/>
      <c r="J42" s="68"/>
      <c r="K42" s="68"/>
      <c r="L42" s="68"/>
      <c r="M42" s="68"/>
      <c r="N42" s="68"/>
      <c r="O42" s="68"/>
    </row>
    <row r="43" spans="1:15" ht="20.25">
      <c r="A43" s="84"/>
      <c r="B43" s="84"/>
      <c r="C43" s="86"/>
      <c r="D43" s="86"/>
      <c r="E43" s="68"/>
      <c r="F43" s="68"/>
      <c r="G43" s="68"/>
      <c r="H43" s="68"/>
      <c r="I43" s="68"/>
      <c r="J43" s="68"/>
      <c r="K43" s="68"/>
      <c r="L43" s="68"/>
      <c r="M43" s="68"/>
      <c r="N43" s="68"/>
      <c r="O43" s="68"/>
    </row>
    <row r="44" spans="1:15" ht="20.25">
      <c r="A44" s="84"/>
      <c r="B44" s="84"/>
      <c r="C44" s="86"/>
      <c r="D44" s="86"/>
      <c r="E44" s="68"/>
      <c r="F44" s="68"/>
      <c r="G44" s="68"/>
      <c r="H44" s="68"/>
      <c r="I44" s="68"/>
      <c r="J44" s="68"/>
      <c r="K44" s="68"/>
      <c r="L44" s="68"/>
      <c r="M44" s="68"/>
      <c r="N44" s="68"/>
      <c r="O44" s="68"/>
    </row>
    <row r="45" spans="1:15" ht="20.25">
      <c r="A45" s="84"/>
      <c r="B45" s="84"/>
      <c r="C45" s="86"/>
      <c r="D45" s="86"/>
      <c r="E45" s="68"/>
      <c r="F45" s="68"/>
      <c r="G45" s="68"/>
      <c r="H45" s="68"/>
      <c r="I45" s="68"/>
      <c r="J45" s="68"/>
      <c r="K45" s="68"/>
      <c r="L45" s="68"/>
      <c r="M45" s="68"/>
      <c r="N45" s="68"/>
      <c r="O45" s="68"/>
    </row>
    <row r="46" spans="1:15" ht="20.25">
      <c r="A46" s="84"/>
      <c r="B46" s="84"/>
      <c r="C46" s="86"/>
      <c r="D46" s="86"/>
      <c r="E46" s="68"/>
      <c r="F46" s="68"/>
      <c r="G46" s="68"/>
      <c r="H46" s="68"/>
      <c r="I46" s="68"/>
      <c r="J46" s="68"/>
      <c r="K46" s="68"/>
      <c r="L46" s="68"/>
      <c r="M46" s="68"/>
      <c r="N46" s="68"/>
      <c r="O46" s="68"/>
    </row>
    <row r="47" spans="1:15" ht="20.25">
      <c r="A47" s="84"/>
      <c r="B47" s="84"/>
      <c r="C47" s="86"/>
      <c r="D47" s="86"/>
      <c r="E47" s="68"/>
      <c r="F47" s="68"/>
      <c r="G47" s="68"/>
      <c r="H47" s="68"/>
      <c r="I47" s="68"/>
      <c r="J47" s="68"/>
      <c r="K47" s="68"/>
      <c r="L47" s="68"/>
      <c r="M47" s="68"/>
      <c r="N47" s="68"/>
      <c r="O47" s="68"/>
    </row>
    <row r="48" spans="1:15" ht="20.25">
      <c r="A48" s="84"/>
      <c r="B48" s="84"/>
      <c r="C48" s="86"/>
      <c r="D48" s="86"/>
      <c r="E48" s="68"/>
      <c r="F48" s="68"/>
      <c r="G48" s="68"/>
      <c r="H48" s="68"/>
      <c r="I48" s="68"/>
      <c r="J48" s="68"/>
      <c r="K48" s="68"/>
      <c r="L48" s="68"/>
      <c r="M48" s="68"/>
      <c r="N48" s="68"/>
      <c r="O48" s="68"/>
    </row>
    <row r="49" spans="1:15" ht="20.25">
      <c r="A49" s="84"/>
      <c r="B49" s="84"/>
      <c r="C49" s="86"/>
      <c r="D49" s="86"/>
      <c r="E49" s="68"/>
      <c r="F49" s="68"/>
      <c r="G49" s="68"/>
      <c r="H49" s="68"/>
      <c r="I49" s="68"/>
      <c r="J49" s="68"/>
      <c r="K49" s="68"/>
      <c r="L49" s="68"/>
      <c r="M49" s="68"/>
      <c r="N49" s="68"/>
      <c r="O49" s="68"/>
    </row>
    <row r="50" spans="1:15" ht="20.25">
      <c r="A50" s="84"/>
      <c r="B50" s="84"/>
      <c r="C50" s="86"/>
      <c r="D50" s="86"/>
      <c r="E50" s="68"/>
      <c r="F50" s="68"/>
      <c r="G50" s="68"/>
      <c r="H50" s="68"/>
      <c r="I50" s="68"/>
      <c r="J50" s="68"/>
      <c r="K50" s="68"/>
      <c r="L50" s="68"/>
      <c r="M50" s="68"/>
      <c r="N50" s="68"/>
      <c r="O50" s="68"/>
    </row>
    <row r="51" spans="1:15" ht="20.25">
      <c r="A51" s="84"/>
      <c r="B51" s="84"/>
      <c r="C51" s="86"/>
      <c r="D51" s="86"/>
      <c r="E51" s="68"/>
      <c r="F51" s="68"/>
      <c r="G51" s="68"/>
      <c r="H51" s="68"/>
      <c r="I51" s="68"/>
      <c r="J51" s="68"/>
      <c r="K51" s="68"/>
      <c r="L51" s="68"/>
      <c r="M51" s="68"/>
      <c r="N51" s="68"/>
      <c r="O51" s="68"/>
    </row>
    <row r="52" spans="1:15" ht="20.25">
      <c r="A52" s="84"/>
      <c r="B52" s="15"/>
      <c r="C52" s="20"/>
      <c r="D52" s="20"/>
    </row>
    <row r="53" spans="1:15" ht="20.25">
      <c r="A53" s="84"/>
      <c r="B53" s="15"/>
      <c r="C53" s="20"/>
      <c r="D53" s="20"/>
    </row>
    <row r="54" spans="1:15" ht="20.25">
      <c r="A54" s="84"/>
      <c r="B54" s="15"/>
      <c r="C54" s="20"/>
      <c r="D54" s="20"/>
    </row>
    <row r="55" spans="1:15" ht="20.25">
      <c r="A55" s="84"/>
      <c r="B55" s="15"/>
      <c r="C55" s="20"/>
      <c r="D55" s="20"/>
    </row>
    <row r="56" spans="1:15" ht="20.25">
      <c r="A56" s="84"/>
      <c r="B56" s="15"/>
      <c r="C56" s="20"/>
      <c r="D56" s="20"/>
    </row>
    <row r="57" spans="1:15" ht="20.25">
      <c r="A57" s="84"/>
      <c r="B57" s="15"/>
      <c r="C57" s="20"/>
      <c r="D57" s="20"/>
    </row>
    <row r="58" spans="1:15" ht="20.25">
      <c r="A58" s="84"/>
      <c r="B58" s="15"/>
      <c r="C58" s="20"/>
      <c r="D58" s="20"/>
    </row>
    <row r="59" spans="1:15" ht="20.25">
      <c r="A59" s="84"/>
      <c r="B59" s="15"/>
      <c r="C59" s="20"/>
      <c r="D59" s="20"/>
    </row>
    <row r="60" spans="1:15" ht="20.25">
      <c r="A60" s="84"/>
      <c r="B60" s="15"/>
      <c r="C60" s="20"/>
      <c r="D60" s="20"/>
    </row>
    <row r="61" spans="1:15" ht="20.25">
      <c r="A61" s="84"/>
      <c r="B61" s="15"/>
      <c r="C61" s="20"/>
      <c r="D61" s="20"/>
    </row>
    <row r="62" spans="1:15" ht="20.25">
      <c r="A62" s="84"/>
      <c r="B62" s="15"/>
      <c r="C62" s="20"/>
      <c r="D62" s="20"/>
    </row>
    <row r="63" spans="1:15" ht="20.25">
      <c r="A63" s="84"/>
      <c r="B63" s="15"/>
      <c r="C63" s="20"/>
      <c r="D63" s="20"/>
    </row>
    <row r="64" spans="1:15" ht="20.25">
      <c r="A64" s="84"/>
      <c r="B64" s="15"/>
      <c r="C64" s="20"/>
      <c r="D64" s="20"/>
    </row>
    <row r="65" spans="1:4" ht="20.25">
      <c r="A65" s="84"/>
      <c r="B65" s="15"/>
      <c r="C65" s="20"/>
      <c r="D65" s="20"/>
    </row>
    <row r="66" spans="1:4" ht="20.25">
      <c r="A66" s="84"/>
      <c r="B66" s="15"/>
      <c r="C66" s="20"/>
      <c r="D66" s="20"/>
    </row>
    <row r="67" spans="1:4" ht="20.25">
      <c r="A67" s="84"/>
      <c r="B67" s="15"/>
      <c r="C67" s="20"/>
      <c r="D67" s="20"/>
    </row>
    <row r="68" spans="1:4" ht="20.25">
      <c r="A68" s="84"/>
      <c r="B68" s="15"/>
      <c r="C68" s="20"/>
      <c r="D68" s="20"/>
    </row>
    <row r="69" spans="1:4" ht="20.25">
      <c r="A69" s="84"/>
      <c r="B69" s="15"/>
      <c r="C69" s="20"/>
      <c r="D69" s="20"/>
    </row>
    <row r="70" spans="1:4" ht="20.25">
      <c r="A70" s="84"/>
      <c r="B70" s="15"/>
      <c r="C70" s="20"/>
      <c r="D70" s="20"/>
    </row>
    <row r="71" spans="1:4" ht="20.25">
      <c r="A71" s="84"/>
      <c r="B71" s="15"/>
      <c r="C71" s="20"/>
      <c r="D71" s="20"/>
    </row>
    <row r="72" spans="1:4" ht="20.25">
      <c r="A72" s="84"/>
      <c r="B72" s="15"/>
      <c r="C72" s="20"/>
      <c r="D72" s="20"/>
    </row>
    <row r="73" spans="1:4" ht="20.25">
      <c r="A73" s="84"/>
      <c r="B73" s="15"/>
      <c r="C73" s="20"/>
      <c r="D73" s="20"/>
    </row>
    <row r="74" spans="1:4" ht="20.25">
      <c r="A74" s="84"/>
      <c r="B74" s="15"/>
      <c r="C74" s="20"/>
      <c r="D74" s="20"/>
    </row>
    <row r="75" spans="1:4" ht="20.25">
      <c r="A75" s="84"/>
      <c r="B75" s="15"/>
      <c r="C75" s="20"/>
      <c r="D75" s="20"/>
    </row>
    <row r="76" spans="1:4" ht="20.25">
      <c r="A76" s="84"/>
      <c r="B76" s="15"/>
      <c r="C76" s="20"/>
      <c r="D76" s="20"/>
    </row>
    <row r="77" spans="1:4" ht="20.25">
      <c r="A77" s="84"/>
      <c r="B77" s="15"/>
      <c r="C77" s="20"/>
      <c r="D77" s="20"/>
    </row>
    <row r="78" spans="1:4" ht="20.25">
      <c r="A78" s="84"/>
      <c r="B78" s="15"/>
      <c r="C78" s="20"/>
      <c r="D78" s="20"/>
    </row>
    <row r="79" spans="1:4" ht="20.25">
      <c r="A79" s="84"/>
      <c r="B79" s="15"/>
      <c r="C79" s="20"/>
      <c r="D79" s="20"/>
    </row>
    <row r="80" spans="1:4" ht="20.25">
      <c r="A80" s="84"/>
      <c r="B80" s="15"/>
      <c r="C80" s="20"/>
      <c r="D80" s="20"/>
    </row>
    <row r="81" spans="1:4" ht="20.25">
      <c r="A81" s="84"/>
      <c r="B81" s="15"/>
      <c r="C81" s="20"/>
      <c r="D81" s="20"/>
    </row>
    <row r="82" spans="1:4" ht="20.25">
      <c r="A82" s="84"/>
      <c r="B82" s="15"/>
      <c r="C82" s="20"/>
      <c r="D82" s="20"/>
    </row>
    <row r="83" spans="1:4" ht="20.25">
      <c r="A83" s="84"/>
      <c r="B83" s="15"/>
      <c r="C83" s="20"/>
      <c r="D83" s="20"/>
    </row>
    <row r="84" spans="1:4" ht="20.25">
      <c r="A84" s="84"/>
      <c r="B84" s="15"/>
      <c r="C84" s="20"/>
      <c r="D84" s="20"/>
    </row>
    <row r="85" spans="1:4" ht="20.25">
      <c r="A85" s="84"/>
      <c r="B85" s="15"/>
      <c r="C85" s="20"/>
      <c r="D85" s="20"/>
    </row>
    <row r="86" spans="1:4" ht="20.25">
      <c r="A86" s="84"/>
      <c r="B86" s="15"/>
      <c r="C86" s="20"/>
      <c r="D86" s="20"/>
    </row>
    <row r="87" spans="1:4" ht="20.25">
      <c r="A87" s="84"/>
      <c r="B87" s="15"/>
      <c r="C87" s="20"/>
      <c r="D87" s="20"/>
    </row>
    <row r="88" spans="1:4" ht="20.25">
      <c r="A88" s="84"/>
      <c r="B88" s="15"/>
      <c r="C88" s="20"/>
      <c r="D88" s="20"/>
    </row>
    <row r="89" spans="1:4" ht="20.25">
      <c r="A89" s="84"/>
      <c r="B89" s="15"/>
      <c r="C89" s="20"/>
      <c r="D89" s="20"/>
    </row>
    <row r="90" spans="1:4" ht="20.25">
      <c r="A90" s="84"/>
      <c r="B90" s="15"/>
      <c r="C90" s="20"/>
      <c r="D90" s="20"/>
    </row>
    <row r="91" spans="1:4" ht="20.25">
      <c r="A91" s="84"/>
      <c r="B91" s="15"/>
      <c r="C91" s="20"/>
      <c r="D91" s="20"/>
    </row>
    <row r="92" spans="1:4" ht="20.25">
      <c r="A92" s="84"/>
      <c r="B92" s="15"/>
      <c r="C92" s="20"/>
      <c r="D92" s="20"/>
    </row>
    <row r="93" spans="1:4" ht="20.25">
      <c r="A93" s="84"/>
      <c r="B93" s="15"/>
      <c r="C93" s="20"/>
      <c r="D93" s="20"/>
    </row>
    <row r="94" spans="1:4" ht="20.25">
      <c r="A94" s="84"/>
      <c r="B94" s="15"/>
      <c r="C94" s="20"/>
      <c r="D94" s="20"/>
    </row>
    <row r="95" spans="1:4" ht="20.25">
      <c r="A95" s="84"/>
      <c r="B95" s="15"/>
      <c r="C95" s="20"/>
      <c r="D95" s="20"/>
    </row>
    <row r="96" spans="1:4" ht="20.25">
      <c r="A96" s="84"/>
      <c r="B96" s="15"/>
      <c r="C96" s="20"/>
      <c r="D96" s="20"/>
    </row>
    <row r="97" spans="1:4" ht="20.25">
      <c r="A97" s="84"/>
      <c r="B97" s="15"/>
      <c r="C97" s="20"/>
      <c r="D97" s="20"/>
    </row>
    <row r="98" spans="1:4" ht="20.25">
      <c r="A98" s="84"/>
      <c r="B98" s="15"/>
      <c r="C98" s="20"/>
      <c r="D98" s="20"/>
    </row>
    <row r="99" spans="1:4" ht="20.25">
      <c r="A99" s="84"/>
      <c r="B99" s="15"/>
      <c r="C99" s="20"/>
      <c r="D99" s="20"/>
    </row>
    <row r="100" spans="1:4" ht="20.25">
      <c r="A100" s="84"/>
      <c r="B100" s="15"/>
      <c r="C100" s="20"/>
      <c r="D100" s="20"/>
    </row>
    <row r="101" spans="1:4" ht="20.25">
      <c r="A101" s="84"/>
      <c r="B101" s="15"/>
      <c r="C101" s="20"/>
      <c r="D101" s="20"/>
    </row>
    <row r="102" spans="1:4" ht="20.25">
      <c r="A102" s="84"/>
      <c r="B102" s="15"/>
      <c r="C102" s="20"/>
      <c r="D102" s="20"/>
    </row>
    <row r="103" spans="1:4" ht="20.25">
      <c r="A103" s="84"/>
      <c r="B103" s="15"/>
      <c r="C103" s="20"/>
      <c r="D103" s="20"/>
    </row>
    <row r="104" spans="1:4" ht="20.25">
      <c r="A104" s="84"/>
      <c r="B104" s="15"/>
      <c r="C104" s="20"/>
      <c r="D104" s="20"/>
    </row>
    <row r="105" spans="1:4" ht="20.25">
      <c r="A105" s="84"/>
      <c r="B105" s="15"/>
      <c r="C105" s="20"/>
      <c r="D105" s="20"/>
    </row>
    <row r="106" spans="1:4" ht="20.25">
      <c r="A106" s="84"/>
      <c r="B106" s="15"/>
      <c r="C106" s="20"/>
      <c r="D106" s="20"/>
    </row>
    <row r="107" spans="1:4" ht="20.25">
      <c r="A107" s="84"/>
      <c r="B107" s="15"/>
      <c r="C107" s="20"/>
      <c r="D107" s="20"/>
    </row>
    <row r="108" spans="1:4" ht="20.25">
      <c r="A108" s="84"/>
      <c r="B108" s="15"/>
      <c r="C108" s="20"/>
      <c r="D108" s="20"/>
    </row>
    <row r="109" spans="1:4" ht="20.25">
      <c r="A109" s="84"/>
      <c r="B109" s="15"/>
      <c r="C109" s="20"/>
      <c r="D109" s="20"/>
    </row>
    <row r="110" spans="1:4" ht="20.25">
      <c r="A110" s="84"/>
      <c r="B110" s="15"/>
      <c r="C110" s="20"/>
      <c r="D110" s="20"/>
    </row>
    <row r="111" spans="1:4" ht="20.25">
      <c r="A111" s="84"/>
      <c r="B111" s="15"/>
      <c r="C111" s="20"/>
      <c r="D111" s="20"/>
    </row>
    <row r="112" spans="1:4" ht="20.25">
      <c r="A112" s="84"/>
      <c r="B112" s="15"/>
      <c r="C112" s="20"/>
      <c r="D112" s="20"/>
    </row>
    <row r="113" spans="1:4" ht="20.25">
      <c r="A113" s="84"/>
      <c r="B113" s="15"/>
      <c r="C113" s="20"/>
      <c r="D113" s="20"/>
    </row>
    <row r="114" spans="1:4" ht="20.25">
      <c r="A114" s="84"/>
      <c r="B114" s="15"/>
      <c r="C114" s="20"/>
      <c r="D114" s="20"/>
    </row>
    <row r="115" spans="1:4" ht="20.25">
      <c r="A115" s="84"/>
      <c r="B115" s="15"/>
      <c r="C115" s="20"/>
      <c r="D115" s="20"/>
    </row>
    <row r="116" spans="1:4" ht="20.25">
      <c r="A116" s="84"/>
      <c r="B116" s="15"/>
      <c r="C116" s="20"/>
      <c r="D116" s="20"/>
    </row>
    <row r="117" spans="1:4" ht="20.25">
      <c r="A117" s="84"/>
      <c r="B117" s="15"/>
      <c r="C117" s="20"/>
      <c r="D117" s="20"/>
    </row>
    <row r="118" spans="1:4" ht="20.25">
      <c r="A118" s="84"/>
      <c r="B118" s="15"/>
      <c r="C118" s="20"/>
      <c r="D118" s="20"/>
    </row>
    <row r="119" spans="1:4" ht="20.25">
      <c r="A119" s="84"/>
      <c r="B119" s="15"/>
      <c r="C119" s="20"/>
      <c r="D119" s="20"/>
    </row>
    <row r="120" spans="1:4" ht="20.25">
      <c r="A120" s="84"/>
      <c r="B120" s="15"/>
      <c r="C120" s="20"/>
      <c r="D120" s="20"/>
    </row>
    <row r="121" spans="1:4" ht="20.25">
      <c r="A121" s="84"/>
      <c r="B121" s="15"/>
      <c r="C121" s="20"/>
      <c r="D121" s="20"/>
    </row>
    <row r="122" spans="1:4" ht="20.25">
      <c r="A122" s="84"/>
      <c r="B122" s="15"/>
      <c r="C122" s="20"/>
      <c r="D122" s="20"/>
    </row>
    <row r="123" spans="1:4" ht="20.25">
      <c r="A123" s="84"/>
      <c r="B123" s="15"/>
      <c r="C123" s="20"/>
      <c r="D123" s="20"/>
    </row>
    <row r="124" spans="1:4" ht="20.25">
      <c r="A124" s="84"/>
      <c r="B124" s="15"/>
      <c r="C124" s="20"/>
      <c r="D124" s="20"/>
    </row>
    <row r="125" spans="1:4" ht="20.25">
      <c r="A125" s="84"/>
      <c r="B125" s="15"/>
      <c r="C125" s="20"/>
      <c r="D125" s="20"/>
    </row>
    <row r="126" spans="1:4" ht="20.25">
      <c r="A126" s="84"/>
      <c r="B126" s="15"/>
      <c r="C126" s="20"/>
      <c r="D126" s="20"/>
    </row>
    <row r="127" spans="1:4" ht="20.25">
      <c r="A127" s="84"/>
      <c r="B127" s="15"/>
      <c r="C127" s="20"/>
      <c r="D127" s="20"/>
    </row>
    <row r="128" spans="1:4" ht="20.25">
      <c r="A128" s="84"/>
      <c r="B128" s="15"/>
      <c r="C128" s="20"/>
      <c r="D128" s="20"/>
    </row>
    <row r="129" spans="1:4" ht="20.25">
      <c r="A129" s="84"/>
      <c r="B129" s="15"/>
      <c r="C129" s="20"/>
      <c r="D129" s="20"/>
    </row>
    <row r="130" spans="1:4" ht="20.25">
      <c r="A130" s="84"/>
      <c r="B130" s="15"/>
      <c r="C130" s="20"/>
      <c r="D130" s="20"/>
    </row>
    <row r="131" spans="1:4" ht="20.25">
      <c r="A131" s="84"/>
      <c r="B131" s="15"/>
      <c r="C131" s="20"/>
      <c r="D131" s="20"/>
    </row>
    <row r="132" spans="1:4" ht="20.25">
      <c r="A132" s="84"/>
      <c r="B132" s="15"/>
      <c r="C132" s="20"/>
      <c r="D132" s="20"/>
    </row>
    <row r="133" spans="1:4" ht="20.25">
      <c r="A133" s="84"/>
      <c r="B133" s="15"/>
      <c r="C133" s="20"/>
      <c r="D133" s="20"/>
    </row>
    <row r="134" spans="1:4" ht="20.25">
      <c r="A134" s="84"/>
      <c r="B134" s="15"/>
      <c r="C134" s="20"/>
      <c r="D134" s="20"/>
    </row>
    <row r="135" spans="1:4" ht="20.25">
      <c r="A135" s="84"/>
      <c r="B135" s="15"/>
      <c r="C135" s="20"/>
      <c r="D135" s="20"/>
    </row>
    <row r="136" spans="1:4" ht="20.25">
      <c r="A136" s="84"/>
      <c r="B136" s="15"/>
      <c r="C136" s="20"/>
      <c r="D136" s="20"/>
    </row>
    <row r="137" spans="1:4" ht="20.25">
      <c r="A137" s="84"/>
      <c r="B137" s="15"/>
      <c r="C137" s="20"/>
      <c r="D137" s="20"/>
    </row>
    <row r="138" spans="1:4" ht="20.25">
      <c r="A138" s="84"/>
      <c r="B138" s="15"/>
      <c r="C138" s="20"/>
      <c r="D138" s="20"/>
    </row>
    <row r="139" spans="1:4" ht="20.25">
      <c r="A139" s="84"/>
      <c r="B139" s="15"/>
      <c r="C139" s="20"/>
      <c r="D139" s="20"/>
    </row>
    <row r="140" spans="1:4" ht="20.25">
      <c r="A140" s="84"/>
      <c r="B140" s="15"/>
      <c r="C140" s="20"/>
      <c r="D140" s="20"/>
    </row>
    <row r="141" spans="1:4" ht="20.25">
      <c r="A141" s="84"/>
      <c r="B141" s="15"/>
      <c r="C141" s="20"/>
      <c r="D141" s="20"/>
    </row>
    <row r="142" spans="1:4" ht="20.25">
      <c r="A142" s="84"/>
      <c r="B142" s="15"/>
      <c r="C142" s="20"/>
      <c r="D142" s="20"/>
    </row>
    <row r="143" spans="1:4" ht="20.25">
      <c r="A143" s="84"/>
      <c r="B143" s="15"/>
      <c r="C143" s="20"/>
      <c r="D143" s="20"/>
    </row>
    <row r="144" spans="1:4" ht="20.25">
      <c r="A144" s="84"/>
      <c r="B144" s="15"/>
      <c r="C144" s="20"/>
      <c r="D144" s="20"/>
    </row>
    <row r="145" spans="1:4" ht="20.25">
      <c r="A145" s="84"/>
      <c r="B145" s="15"/>
      <c r="C145" s="20"/>
      <c r="D145" s="20"/>
    </row>
    <row r="146" spans="1:4" ht="20.25">
      <c r="A146" s="84"/>
      <c r="B146" s="15"/>
      <c r="C146" s="20"/>
      <c r="D146" s="20"/>
    </row>
    <row r="147" spans="1:4" ht="20.25">
      <c r="A147" s="84"/>
      <c r="B147" s="15"/>
      <c r="C147" s="20"/>
      <c r="D147" s="20"/>
    </row>
    <row r="148" spans="1:4" ht="20.25">
      <c r="A148" s="84"/>
      <c r="B148" s="15"/>
      <c r="C148" s="20"/>
      <c r="D148" s="20"/>
    </row>
    <row r="149" spans="1:4" ht="20.25">
      <c r="A149" s="84"/>
      <c r="B149" s="15"/>
      <c r="C149" s="20"/>
      <c r="D149" s="20"/>
    </row>
    <row r="150" spans="1:4" ht="20.25">
      <c r="A150" s="84"/>
      <c r="B150" s="15"/>
      <c r="C150" s="20"/>
      <c r="D150" s="20"/>
    </row>
    <row r="151" spans="1:4" ht="20.25">
      <c r="A151" s="84"/>
      <c r="B151" s="15"/>
      <c r="C151" s="20"/>
      <c r="D151" s="20"/>
    </row>
    <row r="152" spans="1:4" ht="20.25">
      <c r="A152" s="84"/>
      <c r="B152" s="15"/>
      <c r="C152" s="20"/>
      <c r="D152" s="20"/>
    </row>
    <row r="153" spans="1:4" ht="20.25">
      <c r="A153" s="84"/>
      <c r="B153" s="15"/>
      <c r="C153" s="20"/>
      <c r="D153" s="20"/>
    </row>
    <row r="154" spans="1:4" ht="20.25">
      <c r="A154" s="84"/>
      <c r="B154" s="15"/>
      <c r="C154" s="20"/>
      <c r="D154" s="20"/>
    </row>
    <row r="155" spans="1:4" ht="20.25">
      <c r="A155" s="84"/>
      <c r="B155" s="15"/>
      <c r="C155" s="20"/>
      <c r="D155" s="20"/>
    </row>
    <row r="156" spans="1:4" ht="20.25">
      <c r="A156" s="84"/>
      <c r="B156" s="15"/>
      <c r="C156" s="20"/>
      <c r="D156" s="20"/>
    </row>
    <row r="157" spans="1:4" ht="20.25">
      <c r="A157" s="84"/>
      <c r="B157" s="15"/>
      <c r="C157" s="20"/>
      <c r="D157" s="20"/>
    </row>
    <row r="158" spans="1:4" ht="20.25">
      <c r="A158" s="84"/>
      <c r="B158" s="15"/>
      <c r="C158" s="20"/>
      <c r="D158" s="20"/>
    </row>
    <row r="159" spans="1:4" ht="20.25">
      <c r="A159" s="84"/>
      <c r="B159" s="15"/>
      <c r="C159" s="20"/>
      <c r="D159" s="20"/>
    </row>
    <row r="160" spans="1:4" ht="20.25">
      <c r="A160" s="84"/>
      <c r="B160" s="15"/>
      <c r="C160" s="20"/>
      <c r="D160" s="20"/>
    </row>
    <row r="161" spans="1:4" ht="20.25">
      <c r="A161" s="84"/>
      <c r="B161" s="15"/>
      <c r="C161" s="20"/>
      <c r="D161" s="20"/>
    </row>
    <row r="162" spans="1:4" ht="20.25">
      <c r="A162" s="84"/>
      <c r="B162" s="15"/>
      <c r="C162" s="20"/>
      <c r="D162" s="20"/>
    </row>
    <row r="163" spans="1:4" ht="20.25">
      <c r="A163" s="84"/>
      <c r="B163" s="15"/>
      <c r="C163" s="20"/>
      <c r="D163" s="20"/>
    </row>
    <row r="164" spans="1:4" ht="20.25">
      <c r="A164" s="84"/>
      <c r="B164" s="15"/>
      <c r="C164" s="20"/>
      <c r="D164" s="20"/>
    </row>
    <row r="165" spans="1:4" ht="20.25">
      <c r="A165" s="84"/>
      <c r="B165" s="15"/>
      <c r="C165" s="20"/>
      <c r="D165" s="20"/>
    </row>
    <row r="166" spans="1:4" ht="20.25">
      <c r="A166" s="84"/>
      <c r="B166" s="15"/>
      <c r="C166" s="20"/>
      <c r="D166" s="20"/>
    </row>
    <row r="167" spans="1:4" ht="20.25">
      <c r="A167" s="84"/>
      <c r="B167" s="15"/>
      <c r="C167" s="20"/>
      <c r="D167" s="20"/>
    </row>
    <row r="168" spans="1:4" ht="20.25">
      <c r="A168" s="84"/>
      <c r="B168" s="15"/>
      <c r="C168" s="20"/>
      <c r="D168" s="20"/>
    </row>
    <row r="169" spans="1:4" ht="20.25">
      <c r="A169" s="84"/>
      <c r="B169" s="15"/>
      <c r="C169" s="20"/>
      <c r="D169" s="20"/>
    </row>
    <row r="170" spans="1:4" ht="20.25">
      <c r="A170" s="84"/>
      <c r="B170" s="15"/>
      <c r="C170" s="20"/>
      <c r="D170" s="20"/>
    </row>
    <row r="171" spans="1:4" ht="20.25">
      <c r="A171" s="84"/>
      <c r="B171" s="15"/>
      <c r="C171" s="20"/>
      <c r="D171" s="20"/>
    </row>
    <row r="172" spans="1:4" ht="20.25">
      <c r="A172" s="84"/>
      <c r="B172" s="15"/>
      <c r="C172" s="20"/>
      <c r="D172" s="20"/>
    </row>
    <row r="173" spans="1:4" ht="20.25">
      <c r="A173" s="84"/>
      <c r="B173" s="15"/>
      <c r="C173" s="20"/>
      <c r="D173" s="20"/>
    </row>
    <row r="174" spans="1:4" ht="20.25">
      <c r="A174" s="84"/>
      <c r="B174" s="15"/>
      <c r="C174" s="20"/>
      <c r="D174" s="20"/>
    </row>
    <row r="175" spans="1:4" ht="20.25">
      <c r="A175" s="84"/>
      <c r="B175" s="15"/>
      <c r="C175" s="20"/>
      <c r="D175" s="20"/>
    </row>
    <row r="176" spans="1:4" ht="20.25">
      <c r="A176" s="84"/>
      <c r="B176" s="15"/>
      <c r="C176" s="20"/>
      <c r="D176" s="20"/>
    </row>
    <row r="177" spans="1:4" ht="20.25">
      <c r="A177" s="84"/>
      <c r="B177" s="15"/>
      <c r="C177" s="20"/>
      <c r="D177" s="20"/>
    </row>
    <row r="178" spans="1:4" ht="20.25">
      <c r="A178" s="84"/>
      <c r="B178" s="15"/>
      <c r="C178" s="20"/>
      <c r="D178" s="20"/>
    </row>
    <row r="179" spans="1:4" ht="20.25">
      <c r="A179" s="84"/>
      <c r="B179" s="15"/>
      <c r="C179" s="20"/>
      <c r="D179" s="20"/>
    </row>
    <row r="180" spans="1:4" ht="20.25">
      <c r="A180" s="84"/>
      <c r="B180" s="15"/>
      <c r="C180" s="20"/>
      <c r="D180" s="20"/>
    </row>
    <row r="181" spans="1:4" ht="20.25">
      <c r="A181" s="84"/>
      <c r="B181" s="15"/>
      <c r="C181" s="20"/>
      <c r="D181" s="20"/>
    </row>
    <row r="182" spans="1:4" ht="20.25">
      <c r="A182" s="84"/>
      <c r="B182" s="15"/>
      <c r="C182" s="20"/>
      <c r="D182" s="20"/>
    </row>
    <row r="183" spans="1:4" ht="20.25">
      <c r="A183" s="84"/>
      <c r="B183" s="15"/>
      <c r="C183" s="20"/>
      <c r="D183" s="20"/>
    </row>
    <row r="184" spans="1:4" ht="20.25">
      <c r="A184" s="84"/>
      <c r="B184" s="15"/>
      <c r="C184" s="20"/>
      <c r="D184" s="20"/>
    </row>
    <row r="185" spans="1:4" ht="20.25">
      <c r="A185" s="84"/>
      <c r="B185" s="15"/>
      <c r="C185" s="20"/>
      <c r="D185" s="20"/>
    </row>
    <row r="186" spans="1:4" ht="20.25">
      <c r="A186" s="84"/>
      <c r="B186" s="15"/>
      <c r="C186" s="20"/>
      <c r="D186" s="20"/>
    </row>
    <row r="187" spans="1:4" ht="20.25">
      <c r="A187" s="84"/>
      <c r="B187" s="15"/>
      <c r="C187" s="20"/>
      <c r="D187" s="20"/>
    </row>
    <row r="188" spans="1:4" ht="20.25">
      <c r="A188" s="84"/>
      <c r="B188" s="15"/>
      <c r="C188" s="20"/>
      <c r="D188" s="20"/>
    </row>
    <row r="189" spans="1:4" ht="20.25">
      <c r="A189" s="84"/>
      <c r="B189" s="15"/>
      <c r="C189" s="20"/>
      <c r="D189" s="20"/>
    </row>
    <row r="190" spans="1:4" ht="20.25">
      <c r="A190" s="84"/>
      <c r="B190" s="15"/>
      <c r="C190" s="20"/>
      <c r="D190" s="20"/>
    </row>
    <row r="191" spans="1:4" ht="20.25">
      <c r="A191" s="84"/>
      <c r="B191" s="15"/>
      <c r="C191" s="20"/>
      <c r="D191" s="20"/>
    </row>
    <row r="192" spans="1:4" ht="20.25">
      <c r="A192" s="84"/>
      <c r="B192" s="15"/>
      <c r="C192" s="20"/>
      <c r="D192" s="20"/>
    </row>
    <row r="193" spans="1:4" ht="20.25">
      <c r="A193" s="84"/>
      <c r="B193" s="15"/>
      <c r="C193" s="20"/>
      <c r="D193" s="20"/>
    </row>
    <row r="194" spans="1:4" ht="20.25">
      <c r="A194" s="84"/>
      <c r="B194" s="15"/>
      <c r="C194" s="20"/>
      <c r="D194" s="20"/>
    </row>
    <row r="195" spans="1:4" ht="20.25">
      <c r="A195" s="84"/>
      <c r="B195" s="15"/>
      <c r="C195" s="20"/>
      <c r="D195" s="20"/>
    </row>
    <row r="196" spans="1:4" ht="20.25">
      <c r="A196" s="84"/>
      <c r="B196" s="15"/>
      <c r="C196" s="20"/>
      <c r="D196" s="20"/>
    </row>
    <row r="197" spans="1:4" ht="20.25">
      <c r="A197" s="84"/>
      <c r="B197" s="15"/>
      <c r="C197" s="20"/>
      <c r="D197" s="20"/>
    </row>
    <row r="198" spans="1:4" ht="20.25">
      <c r="A198" s="84"/>
      <c r="B198" s="15"/>
      <c r="C198" s="20"/>
      <c r="D198" s="20"/>
    </row>
    <row r="199" spans="1:4" ht="20.25">
      <c r="A199" s="84"/>
      <c r="B199" s="15"/>
      <c r="C199" s="20"/>
      <c r="D199" s="20"/>
    </row>
    <row r="200" spans="1:4" ht="20.25">
      <c r="A200" s="84"/>
      <c r="B200" s="15"/>
      <c r="C200" s="20"/>
      <c r="D200" s="20"/>
    </row>
    <row r="201" spans="1:4" ht="20.25">
      <c r="A201" s="84"/>
      <c r="B201" s="15"/>
      <c r="C201" s="20"/>
      <c r="D201" s="20"/>
    </row>
    <row r="202" spans="1:4" ht="20.25">
      <c r="A202" s="84"/>
      <c r="B202" s="15"/>
      <c r="C202" s="20"/>
      <c r="D202" s="20"/>
    </row>
    <row r="203" spans="1:4" ht="20.25">
      <c r="A203" s="84"/>
      <c r="B203" s="15"/>
      <c r="C203" s="20"/>
      <c r="D203" s="20"/>
    </row>
    <row r="204" spans="1:4" ht="20.25">
      <c r="A204" s="84"/>
      <c r="B204" s="15"/>
      <c r="C204" s="20"/>
      <c r="D204" s="20"/>
    </row>
    <row r="205" spans="1:4" ht="20.25">
      <c r="A205" s="84"/>
      <c r="B205" s="15"/>
      <c r="C205" s="20"/>
      <c r="D205" s="20"/>
    </row>
    <row r="206" spans="1:4" ht="20.25">
      <c r="A206" s="84"/>
      <c r="B206" s="15"/>
      <c r="C206" s="20"/>
      <c r="D206" s="20"/>
    </row>
    <row r="207" spans="1:4" ht="20.25">
      <c r="A207" s="84"/>
      <c r="B207" s="15"/>
      <c r="C207" s="20"/>
      <c r="D207" s="20"/>
    </row>
    <row r="208" spans="1:4">
      <c r="A208" s="68"/>
      <c r="B208" s="15"/>
      <c r="C208" s="15"/>
      <c r="D208" s="15"/>
    </row>
    <row r="209" spans="1:8" ht="20.25">
      <c r="A209" s="68"/>
      <c r="B209" s="16" t="s">
        <v>389</v>
      </c>
      <c r="C209" s="16" t="s">
        <v>390</v>
      </c>
      <c r="D209" s="19" t="s">
        <v>389</v>
      </c>
      <c r="E209" s="19" t="s">
        <v>390</v>
      </c>
    </row>
    <row r="210" spans="1:8" ht="21">
      <c r="A210" s="68"/>
      <c r="B210" s="17" t="s">
        <v>391</v>
      </c>
      <c r="C210" s="17" t="s">
        <v>392</v>
      </c>
      <c r="D210" t="s">
        <v>391</v>
      </c>
      <c r="F210" t="str">
        <f>IF(NOT(ISBLANK(D210)),D210,IF(NOT(ISBLANK(E210)),"     "&amp;E210,FALSE))</f>
        <v>Afectación Económica o presupuestal</v>
      </c>
      <c r="G210" t="s">
        <v>391</v>
      </c>
      <c r="H210" t="str">
        <f>IF(NOT(ISERROR(MATCH(G210,_xlfn.ANCHORARRAY(B221),0))),F223&amp;"Por favor no seleccionar los criterios de impacto",G210)</f>
        <v>❌Por favor no seleccionar los criterios de impacto</v>
      </c>
    </row>
    <row r="211" spans="1:8" ht="21">
      <c r="A211" s="68"/>
      <c r="B211" s="17" t="s">
        <v>391</v>
      </c>
      <c r="C211" s="17" t="s">
        <v>376</v>
      </c>
      <c r="E211" t="s">
        <v>392</v>
      </c>
      <c r="F211" t="str">
        <f t="shared" ref="F211:F221" si="0">IF(NOT(ISBLANK(D211)),D211,IF(NOT(ISBLANK(E211)),"     "&amp;E211,FALSE))</f>
        <v xml:space="preserve">     Afectación menor a 10 SMLMV .</v>
      </c>
    </row>
    <row r="212" spans="1:8" ht="21">
      <c r="A212" s="68"/>
      <c r="B212" s="17" t="s">
        <v>391</v>
      </c>
      <c r="C212" s="17" t="s">
        <v>379</v>
      </c>
      <c r="E212" t="s">
        <v>376</v>
      </c>
      <c r="F212" t="str">
        <f t="shared" si="0"/>
        <v xml:space="preserve">     Entre 10 y 50 SMLMV </v>
      </c>
    </row>
    <row r="213" spans="1:8" ht="21">
      <c r="A213" s="68"/>
      <c r="B213" s="17" t="s">
        <v>391</v>
      </c>
      <c r="C213" s="17" t="s">
        <v>382</v>
      </c>
      <c r="E213" t="s">
        <v>379</v>
      </c>
      <c r="F213" t="str">
        <f t="shared" si="0"/>
        <v xml:space="preserve">     Entre 50 y 100 SMLMV </v>
      </c>
    </row>
    <row r="214" spans="1:8" ht="21">
      <c r="A214" s="68"/>
      <c r="B214" s="17" t="s">
        <v>391</v>
      </c>
      <c r="C214" s="17" t="s">
        <v>385</v>
      </c>
      <c r="E214" t="s">
        <v>382</v>
      </c>
      <c r="F214" t="str">
        <f t="shared" si="0"/>
        <v xml:space="preserve">     Entre 100 y 500 SMLMV </v>
      </c>
    </row>
    <row r="215" spans="1:8" ht="21">
      <c r="A215" s="68"/>
      <c r="B215" s="17" t="s">
        <v>370</v>
      </c>
      <c r="C215" s="17" t="s">
        <v>374</v>
      </c>
      <c r="E215" t="s">
        <v>385</v>
      </c>
      <c r="F215" t="str">
        <f t="shared" si="0"/>
        <v xml:space="preserve">     Mayor a 500 SMLMV </v>
      </c>
    </row>
    <row r="216" spans="1:8" ht="21">
      <c r="A216" s="68"/>
      <c r="B216" s="17" t="s">
        <v>370</v>
      </c>
      <c r="C216" s="17" t="s">
        <v>377</v>
      </c>
      <c r="D216" t="s">
        <v>370</v>
      </c>
      <c r="F216" t="str">
        <f t="shared" si="0"/>
        <v>Pérdida Reputacional</v>
      </c>
    </row>
    <row r="217" spans="1:8" ht="21">
      <c r="A217" s="68"/>
      <c r="B217" s="17" t="s">
        <v>370</v>
      </c>
      <c r="C217" s="17" t="s">
        <v>380</v>
      </c>
      <c r="E217" t="s">
        <v>374</v>
      </c>
      <c r="F217" t="str">
        <f t="shared" si="0"/>
        <v xml:space="preserve">     El riesgo afecta la imagen de alguna área de la organización</v>
      </c>
    </row>
    <row r="218" spans="1:8" ht="21">
      <c r="A218" s="68"/>
      <c r="B218" s="17" t="s">
        <v>370</v>
      </c>
      <c r="C218" s="17" t="s">
        <v>393</v>
      </c>
      <c r="E218" t="s">
        <v>377</v>
      </c>
      <c r="F218" t="str">
        <f t="shared" si="0"/>
        <v xml:space="preserve">     El riesgo afecta la imagen de la entidad internamente, de conocimiento general, nivel interno, de junta dircetiva y accionistas y/o de provedores</v>
      </c>
    </row>
    <row r="219" spans="1:8" ht="21">
      <c r="A219" s="68"/>
      <c r="B219" s="17" t="s">
        <v>370</v>
      </c>
      <c r="C219" s="17" t="s">
        <v>386</v>
      </c>
      <c r="E219" t="s">
        <v>380</v>
      </c>
      <c r="F219" t="str">
        <f t="shared" si="0"/>
        <v xml:space="preserve">     El riesgo afecta la imagen de la entidad con algunos usuarios de relevancia frente al logro de los objetivos</v>
      </c>
    </row>
    <row r="220" spans="1:8">
      <c r="A220" s="68"/>
      <c r="B220" s="18"/>
      <c r="C220" s="18"/>
      <c r="E220" t="s">
        <v>393</v>
      </c>
      <c r="F220" t="str">
        <f t="shared" si="0"/>
        <v xml:space="preserve">     El riesgo afecta la imagen de de la entidad con efecto publicitario sostenido a nivel de sector administrativo, nivel departamental o municipal</v>
      </c>
    </row>
    <row r="221" spans="1:8">
      <c r="A221" s="68"/>
      <c r="B221" s="18" t="str">
        <f t="array" ref="B221:B223">_xlfn.UNIQUE(Tabla1[[#All],[Criterios]])</f>
        <v>Criterios</v>
      </c>
      <c r="C221" s="18"/>
      <c r="E221" t="s">
        <v>386</v>
      </c>
      <c r="F221" t="str">
        <f t="shared" si="0"/>
        <v xml:space="preserve">     El riesgo afecta la imagen de la entidad a nivel nacional, con efecto publicitarios sostenible a nivel país</v>
      </c>
    </row>
    <row r="222" spans="1:8">
      <c r="A222" s="68"/>
      <c r="B222" s="18" t="str">
        <v>Afectación Económica o presupuestal</v>
      </c>
      <c r="C222" s="18"/>
    </row>
    <row r="223" spans="1:8">
      <c r="B223" s="18" t="str">
        <v>Pérdida Reputacional</v>
      </c>
      <c r="C223" s="18"/>
      <c r="F223" s="21" t="s">
        <v>394</v>
      </c>
    </row>
    <row r="224" spans="1:8">
      <c r="B224" s="14"/>
      <c r="C224" s="14"/>
      <c r="F224" s="21" t="s">
        <v>395</v>
      </c>
    </row>
    <row r="225" spans="2:4">
      <c r="B225" s="14"/>
      <c r="C225" s="14"/>
    </row>
    <row r="226" spans="2:4">
      <c r="B226" s="14"/>
      <c r="C226" s="14"/>
    </row>
    <row r="227" spans="2:4">
      <c r="B227" s="14"/>
      <c r="C227" s="14"/>
      <c r="D227" s="14"/>
    </row>
    <row r="228" spans="2:4">
      <c r="B228" s="14"/>
      <c r="C228" s="14"/>
      <c r="D228" s="14"/>
    </row>
    <row r="229" spans="2:4">
      <c r="B229" s="14"/>
      <c r="C229" s="14"/>
      <c r="D229" s="14"/>
    </row>
    <row r="230" spans="2:4">
      <c r="B230" s="14"/>
      <c r="C230" s="14"/>
      <c r="D230" s="14"/>
    </row>
    <row r="231" spans="2:4">
      <c r="B231" s="14"/>
      <c r="C231" s="14"/>
      <c r="D231" s="14"/>
    </row>
    <row r="232" spans="2:4">
      <c r="B232" s="14"/>
      <c r="C232" s="14"/>
      <c r="D232" s="14"/>
    </row>
  </sheetData>
  <mergeCells count="1">
    <mergeCell ref="B1:D1"/>
  </mergeCells>
  <dataValidations count="1">
    <dataValidation type="list" allowBlank="1" showInputMessage="1" showErrorMessage="1" sqref="G210" xr:uid="{00000000-0002-0000-1000-000000000000}">
      <formula1>$F$210:$F$221</formula1>
    </dataValidation>
  </dataValidations>
  <pageMargins left="0.7" right="0.7" top="0.75" bottom="0.75" header="0.3" footer="0.3"/>
  <pageSetup orientation="portrait"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tabColor theme="7" tint="-0.249977111117893"/>
  </sheetPr>
  <dimension ref="B1:F16"/>
  <sheetViews>
    <sheetView workbookViewId="0">
      <selection activeCell="I11" sqref="I11"/>
    </sheetView>
  </sheetViews>
  <sheetFormatPr baseColWidth="10" defaultColWidth="14.28515625" defaultRowHeight="12.75"/>
  <cols>
    <col min="1" max="2" width="14.28515625" style="73"/>
    <col min="3" max="3" width="17" style="73" customWidth="1"/>
    <col min="4" max="4" width="14.28515625" style="73"/>
    <col min="5" max="5" width="46" style="73" customWidth="1"/>
    <col min="6" max="16384" width="14.28515625" style="73"/>
  </cols>
  <sheetData>
    <row r="1" spans="2:6" ht="24" customHeight="1" thickBot="1">
      <c r="B1" s="645" t="s">
        <v>396</v>
      </c>
      <c r="C1" s="646"/>
      <c r="D1" s="646"/>
      <c r="E1" s="646"/>
      <c r="F1" s="647"/>
    </row>
    <row r="2" spans="2:6" ht="16.5" thickBot="1">
      <c r="B2" s="74"/>
      <c r="C2" s="74"/>
      <c r="D2" s="74"/>
      <c r="E2" s="74"/>
      <c r="F2" s="74"/>
    </row>
    <row r="3" spans="2:6" ht="16.5" thickBot="1">
      <c r="B3" s="649" t="s">
        <v>397</v>
      </c>
      <c r="C3" s="650"/>
      <c r="D3" s="650"/>
      <c r="E3" s="199" t="s">
        <v>398</v>
      </c>
      <c r="F3" s="83" t="s">
        <v>399</v>
      </c>
    </row>
    <row r="4" spans="2:6" ht="31.5">
      <c r="B4" s="651" t="s">
        <v>400</v>
      </c>
      <c r="C4" s="653" t="s">
        <v>94</v>
      </c>
      <c r="D4" s="200" t="s">
        <v>151</v>
      </c>
      <c r="E4" s="75" t="s">
        <v>401</v>
      </c>
      <c r="F4" s="76">
        <v>0.25</v>
      </c>
    </row>
    <row r="5" spans="2:6" ht="47.25">
      <c r="B5" s="652"/>
      <c r="C5" s="654"/>
      <c r="D5" s="201" t="s">
        <v>100</v>
      </c>
      <c r="E5" s="77" t="s">
        <v>402</v>
      </c>
      <c r="F5" s="78">
        <v>0.15</v>
      </c>
    </row>
    <row r="6" spans="2:6" ht="47.25">
      <c r="B6" s="652"/>
      <c r="C6" s="654"/>
      <c r="D6" s="201" t="s">
        <v>179</v>
      </c>
      <c r="E6" s="77" t="s">
        <v>403</v>
      </c>
      <c r="F6" s="78">
        <v>0.1</v>
      </c>
    </row>
    <row r="7" spans="2:6" ht="63">
      <c r="B7" s="652"/>
      <c r="C7" s="654" t="s">
        <v>95</v>
      </c>
      <c r="D7" s="201" t="s">
        <v>152</v>
      </c>
      <c r="E7" s="77" t="s">
        <v>404</v>
      </c>
      <c r="F7" s="78">
        <v>0.25</v>
      </c>
    </row>
    <row r="8" spans="2:6" ht="31.5">
      <c r="B8" s="652"/>
      <c r="C8" s="654"/>
      <c r="D8" s="201" t="s">
        <v>165</v>
      </c>
      <c r="E8" s="77" t="s">
        <v>405</v>
      </c>
      <c r="F8" s="78">
        <v>0.15</v>
      </c>
    </row>
    <row r="9" spans="2:6" ht="47.25">
      <c r="B9" s="652" t="s">
        <v>406</v>
      </c>
      <c r="C9" s="654" t="s">
        <v>51</v>
      </c>
      <c r="D9" s="201" t="s">
        <v>153</v>
      </c>
      <c r="E9" s="77" t="s">
        <v>407</v>
      </c>
      <c r="F9" s="79" t="s">
        <v>408</v>
      </c>
    </row>
    <row r="10" spans="2:6" ht="63">
      <c r="B10" s="652"/>
      <c r="C10" s="654"/>
      <c r="D10" s="201" t="s">
        <v>166</v>
      </c>
      <c r="E10" s="77" t="s">
        <v>409</v>
      </c>
      <c r="F10" s="79" t="s">
        <v>408</v>
      </c>
    </row>
    <row r="11" spans="2:6" ht="47.25">
      <c r="B11" s="652"/>
      <c r="C11" s="654" t="s">
        <v>97</v>
      </c>
      <c r="D11" s="201" t="s">
        <v>154</v>
      </c>
      <c r="E11" s="77" t="s">
        <v>410</v>
      </c>
      <c r="F11" s="79" t="s">
        <v>408</v>
      </c>
    </row>
    <row r="12" spans="2:6" ht="47.25">
      <c r="B12" s="652"/>
      <c r="C12" s="654"/>
      <c r="D12" s="201" t="s">
        <v>167</v>
      </c>
      <c r="E12" s="77" t="s">
        <v>411</v>
      </c>
      <c r="F12" s="79" t="s">
        <v>408</v>
      </c>
    </row>
    <row r="13" spans="2:6" ht="31.5">
      <c r="B13" s="652"/>
      <c r="C13" s="654" t="s">
        <v>98</v>
      </c>
      <c r="D13" s="201" t="s">
        <v>412</v>
      </c>
      <c r="E13" s="77" t="s">
        <v>413</v>
      </c>
      <c r="F13" s="79" t="s">
        <v>408</v>
      </c>
    </row>
    <row r="14" spans="2:6" ht="32.25" thickBot="1">
      <c r="B14" s="655"/>
      <c r="C14" s="656"/>
      <c r="D14" s="202" t="s">
        <v>414</v>
      </c>
      <c r="E14" s="80" t="s">
        <v>415</v>
      </c>
      <c r="F14" s="81" t="s">
        <v>408</v>
      </c>
    </row>
    <row r="15" spans="2:6" ht="49.5" customHeight="1">
      <c r="B15" s="648" t="s">
        <v>416</v>
      </c>
      <c r="C15" s="648"/>
      <c r="D15" s="648"/>
      <c r="E15" s="648"/>
      <c r="F15" s="648"/>
    </row>
    <row r="16" spans="2:6" ht="27" customHeight="1">
      <c r="B16" s="82"/>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15E6C-1BAB-42A6-9F77-3D9DA9FB7F99}">
  <dimension ref="A1"/>
  <sheetViews>
    <sheetView workbookViewId="0"/>
  </sheetViews>
  <sheetFormatPr baseColWidth="10" defaultColWidth="8.8554687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A240F-939E-4DF6-BA8B-1D095F22F1E8}">
  <dimension ref="A1"/>
  <sheetViews>
    <sheetView workbookViewId="0"/>
  </sheetViews>
  <sheetFormatPr baseColWidth="10" defaultColWidth="8.85546875" defaultRowHeight="1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B2:E19"/>
  <sheetViews>
    <sheetView workbookViewId="0">
      <selection activeCell="E2" sqref="E2:E4"/>
    </sheetView>
  </sheetViews>
  <sheetFormatPr baseColWidth="10" defaultColWidth="11.42578125" defaultRowHeight="15"/>
  <sheetData>
    <row r="2" spans="2:5">
      <c r="B2" t="s">
        <v>156</v>
      </c>
      <c r="E2" t="s">
        <v>145</v>
      </c>
    </row>
    <row r="3" spans="2:5">
      <c r="B3" t="s">
        <v>169</v>
      </c>
      <c r="E3" t="s">
        <v>159</v>
      </c>
    </row>
    <row r="4" spans="2:5">
      <c r="B4" t="s">
        <v>191</v>
      </c>
      <c r="E4" t="s">
        <v>173</v>
      </c>
    </row>
    <row r="5" spans="2:5">
      <c r="B5" t="s">
        <v>101</v>
      </c>
    </row>
    <row r="8" spans="2:5">
      <c r="B8" t="s">
        <v>142</v>
      </c>
    </row>
    <row r="9" spans="2:5">
      <c r="B9" t="s">
        <v>157</v>
      </c>
    </row>
    <row r="10" spans="2:5">
      <c r="B10" t="s">
        <v>170</v>
      </c>
    </row>
    <row r="13" spans="2:5">
      <c r="B13" t="s">
        <v>148</v>
      </c>
    </row>
    <row r="14" spans="2:5">
      <c r="B14" t="s">
        <v>162</v>
      </c>
    </row>
    <row r="15" spans="2:5">
      <c r="B15" t="s">
        <v>176</v>
      </c>
    </row>
    <row r="16" spans="2:5">
      <c r="B16" t="s">
        <v>184</v>
      </c>
    </row>
    <row r="17" spans="2:2">
      <c r="B17" t="s">
        <v>189</v>
      </c>
    </row>
    <row r="18" spans="2:2">
      <c r="B18" t="s">
        <v>193</v>
      </c>
    </row>
    <row r="19" spans="2:2">
      <c r="B19" t="s">
        <v>195</v>
      </c>
    </row>
  </sheetData>
  <sortState xmlns:xlrd2="http://schemas.microsoft.com/office/spreadsheetml/2017/richdata2" ref="B2:B5">
    <sortCondition ref="B2:B5"/>
  </sortState>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3:A21"/>
  <sheetViews>
    <sheetView workbookViewId="0">
      <selection activeCell="H29" sqref="H29"/>
    </sheetView>
  </sheetViews>
  <sheetFormatPr baseColWidth="10" defaultColWidth="11.42578125" defaultRowHeight="12.75"/>
  <cols>
    <col min="1" max="1" width="32.7109375" style="1" customWidth="1"/>
    <col min="2" max="16384" width="11.42578125" style="1"/>
  </cols>
  <sheetData>
    <row r="3" spans="1:1">
      <c r="A3" s="2" t="s">
        <v>151</v>
      </c>
    </row>
    <row r="4" spans="1:1">
      <c r="A4" s="2" t="s">
        <v>100</v>
      </c>
    </row>
    <row r="5" spans="1:1">
      <c r="A5" s="2" t="s">
        <v>179</v>
      </c>
    </row>
    <row r="6" spans="1:1">
      <c r="A6" s="2" t="s">
        <v>152</v>
      </c>
    </row>
    <row r="7" spans="1:1">
      <c r="A7" s="2" t="s">
        <v>165</v>
      </c>
    </row>
    <row r="8" spans="1:1">
      <c r="A8" s="2" t="s">
        <v>153</v>
      </c>
    </row>
    <row r="9" spans="1:1">
      <c r="A9" s="2" t="s">
        <v>166</v>
      </c>
    </row>
    <row r="10" spans="1:1">
      <c r="A10" s="2" t="s">
        <v>154</v>
      </c>
    </row>
    <row r="11" spans="1:1">
      <c r="A11" s="2" t="s">
        <v>167</v>
      </c>
    </row>
    <row r="12" spans="1:1">
      <c r="A12" s="2" t="s">
        <v>155</v>
      </c>
    </row>
    <row r="13" spans="1:1">
      <c r="A13" s="2" t="s">
        <v>168</v>
      </c>
    </row>
    <row r="14" spans="1:1">
      <c r="A14" s="2" t="s">
        <v>180</v>
      </c>
    </row>
    <row r="16" spans="1:1">
      <c r="A16" s="2" t="s">
        <v>181</v>
      </c>
    </row>
    <row r="17" spans="1:1">
      <c r="A17" s="2" t="s">
        <v>156</v>
      </c>
    </row>
    <row r="18" spans="1:1">
      <c r="A18" s="2" t="s">
        <v>169</v>
      </c>
    </row>
    <row r="20" spans="1:1">
      <c r="A20" s="2" t="s">
        <v>157</v>
      </c>
    </row>
    <row r="21" spans="1:1">
      <c r="A21" s="2" t="s">
        <v>170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4</vt:i4>
      </vt:variant>
    </vt:vector>
  </HeadingPairs>
  <TitlesOfParts>
    <vt:vector size="27" baseType="lpstr">
      <vt:lpstr>PORTADA </vt:lpstr>
      <vt:lpstr>CRITERIOS R CORRUPCION</vt:lpstr>
      <vt:lpstr>Mapa final</vt:lpstr>
      <vt:lpstr>Datos</vt:lpstr>
      <vt:lpstr>Formulas</vt:lpstr>
      <vt:lpstr>Apayo Visual </vt:lpstr>
      <vt:lpstr>eliminar</vt:lpstr>
      <vt:lpstr>Matriz Calor Inherente</vt:lpstr>
      <vt:lpstr>Matriz Calor Residual</vt:lpstr>
      <vt:lpstr>CAMBIOS REGISTRO</vt:lpstr>
      <vt:lpstr>SGI</vt:lpstr>
      <vt:lpstr>Intructivo</vt:lpstr>
      <vt:lpstr>CONTROL DE CAMBIOS REGISTRO </vt:lpstr>
      <vt:lpstr>Listas</vt:lpstr>
      <vt:lpstr>Hoja3</vt:lpstr>
      <vt:lpstr>Control de Cambios FORMATO </vt:lpstr>
      <vt:lpstr>Tabla probabilidad</vt:lpstr>
      <vt:lpstr>Tabla Impacto</vt:lpstr>
      <vt:lpstr>Tabla Valoración controles</vt:lpstr>
      <vt:lpstr>Hoja4</vt:lpstr>
      <vt:lpstr>Hoja2</vt:lpstr>
      <vt:lpstr>Opciones Tratamiento</vt:lpstr>
      <vt:lpstr>Hoja1</vt:lpstr>
      <vt:lpstr>'CAMBIOS REGISTRO'!Área_de_impresión</vt:lpstr>
      <vt:lpstr>'Control de Cambios FORMATO '!Área_de_impresión</vt:lpstr>
      <vt:lpstr>Criterios_Impacto</vt:lpstr>
      <vt:lpstr>'CAMBIOS REGISTRO'!OLE_LINK2</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ANAY PINTO VALENCIA-Analista de procesos</dc:creator>
  <cp:keywords/>
  <dc:description/>
  <cp:lastModifiedBy>MIPG ETITC</cp:lastModifiedBy>
  <cp:revision/>
  <dcterms:created xsi:type="dcterms:W3CDTF">2020-03-24T23:12:47Z</dcterms:created>
  <dcterms:modified xsi:type="dcterms:W3CDTF">2026-09-25T19:59:23Z</dcterms:modified>
  <cp:category/>
  <cp:contentStatus/>
</cp:coreProperties>
</file>