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F712CC7D-3ED3-4D66-844F-CE667E31098C}"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 r:id="rId24"/>
    <externalReference r:id="rId25"/>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3" r:id="rId26"/>
  </pivotCaches>
</workbook>
</file>

<file path=xl/calcChain.xml><?xml version="1.0" encoding="utf-8"?>
<calcChain xmlns="http://schemas.openxmlformats.org/spreadsheetml/2006/main">
  <c r="O52" i="19" l="1"/>
  <c r="K43" i="19"/>
  <c r="L53" i="19"/>
  <c r="P49" i="18"/>
  <c r="N49" i="18"/>
  <c r="P47" i="18"/>
  <c r="N47" i="18"/>
  <c r="P45" i="18"/>
  <c r="N45" i="18"/>
  <c r="P43" i="18"/>
  <c r="N43" i="18"/>
  <c r="P39" i="18"/>
  <c r="P41" i="18"/>
  <c r="N41" i="18"/>
  <c r="N39" i="18"/>
  <c r="P37" i="18"/>
  <c r="N37" i="18"/>
  <c r="P35" i="18"/>
  <c r="N35" i="18"/>
  <c r="AI24" i="1"/>
  <c r="AI23" i="1"/>
  <c r="AI21" i="1"/>
  <c r="AJ21" i="1" s="1"/>
  <c r="AI20" i="1"/>
  <c r="AI18" i="1"/>
  <c r="AI17" i="1"/>
  <c r="AK17" i="1" s="1"/>
  <c r="AI16" i="1"/>
  <c r="AK16" i="1" s="1"/>
  <c r="Q21" i="1"/>
  <c r="R21" i="1" s="1"/>
  <c r="AA21" i="1"/>
  <c r="AD21" i="1"/>
  <c r="AA22" i="1"/>
  <c r="AD22" i="1"/>
  <c r="AK21" i="1" l="1"/>
  <c r="AI22" i="1" s="1"/>
  <c r="AJ22" i="1" s="1"/>
  <c r="AK22" i="1" l="1"/>
  <c r="L41" i="19" l="1"/>
  <c r="AA16" i="1" l="1"/>
  <c r="AD16" i="1"/>
  <c r="AA17" i="1"/>
  <c r="AD17" i="1"/>
  <c r="Q18" i="1"/>
  <c r="R18" i="1" s="1"/>
  <c r="AA18" i="1"/>
  <c r="AD18" i="1"/>
  <c r="AA19" i="1"/>
  <c r="AD19" i="1"/>
  <c r="Q20" i="1"/>
  <c r="R20" i="1" s="1"/>
  <c r="AA20" i="1"/>
  <c r="AD20" i="1"/>
  <c r="Q23" i="1"/>
  <c r="R23" i="1" s="1"/>
  <c r="AA23" i="1"/>
  <c r="AD23" i="1"/>
  <c r="Q24" i="1"/>
  <c r="AA24" i="1"/>
  <c r="AD24" i="1"/>
  <c r="AD15" i="1"/>
  <c r="AA15" i="1"/>
  <c r="Q15" i="1"/>
  <c r="AJ23" i="1" l="1"/>
  <c r="AK23" i="1"/>
  <c r="AM19" i="1"/>
  <c r="AL19" i="1" s="1"/>
  <c r="AJ20" i="1"/>
  <c r="AK20" i="1"/>
  <c r="AM16" i="1"/>
  <c r="AL16" i="1" s="1"/>
  <c r="R24" i="1"/>
  <c r="R15" i="1"/>
  <c r="AI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R49" i="18"/>
  <c r="T49" i="18"/>
  <c r="V49" i="18"/>
  <c r="X49" i="18"/>
  <c r="Z49" i="18"/>
  <c r="AB49" i="18"/>
  <c r="AD49" i="18"/>
  <c r="AF49" i="18"/>
  <c r="AH49" i="18"/>
  <c r="AJ49" i="18"/>
  <c r="AL49" i="18"/>
  <c r="AN49" i="18"/>
  <c r="AN47" i="18"/>
  <c r="AH47" i="18"/>
  <c r="AB47" i="18"/>
  <c r="V47" i="18"/>
  <c r="R41" i="18"/>
  <c r="T41" i="18"/>
  <c r="V41" i="18"/>
  <c r="X41" i="18"/>
  <c r="Z41" i="18"/>
  <c r="AB41" i="18"/>
  <c r="AD41" i="18"/>
  <c r="AF41" i="18"/>
  <c r="AH41" i="18"/>
  <c r="AJ41" i="18"/>
  <c r="AL41" i="18"/>
  <c r="AN41" i="18"/>
  <c r="AN39" i="18"/>
  <c r="AH39" i="18"/>
  <c r="AB39" i="18"/>
  <c r="V39" i="18"/>
  <c r="AN33" i="18"/>
  <c r="AL33" i="18"/>
  <c r="AJ33" i="18"/>
  <c r="AH33" i="18"/>
  <c r="AF33" i="18"/>
  <c r="AD33" i="18"/>
  <c r="AB33" i="18"/>
  <c r="Z33" i="18"/>
  <c r="X33" i="18"/>
  <c r="V33" i="18"/>
  <c r="T33" i="18"/>
  <c r="R33" i="18"/>
  <c r="P33" i="18"/>
  <c r="N33" i="18"/>
  <c r="L33" i="18"/>
  <c r="N31" i="18"/>
  <c r="V31" i="18"/>
  <c r="AB31" i="18"/>
  <c r="AH31" i="18"/>
  <c r="AN31" i="18"/>
  <c r="P29" i="18"/>
  <c r="N29"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J17" i="1" l="1"/>
  <c r="AJ18" i="1"/>
  <c r="AK18" i="1"/>
  <c r="AI19" i="1" s="1"/>
  <c r="AJ24" i="1"/>
  <c r="AK24" i="1"/>
  <c r="AK15" i="1"/>
  <c r="AJ15" i="1"/>
  <c r="AN13" i="18"/>
  <c r="AN29" i="18"/>
  <c r="AN37" i="18"/>
  <c r="AN21" i="18"/>
  <c r="AN45" i="18"/>
  <c r="AJ19" i="1" l="1"/>
  <c r="AN19" i="1" s="1"/>
  <c r="AK19" i="1"/>
  <c r="AJ16" i="1"/>
  <c r="H10" i="27"/>
  <c r="G29" i="27" s="1"/>
  <c r="H9" i="27"/>
  <c r="H8" i="27"/>
  <c r="F29" i="27"/>
  <c r="E29" i="27"/>
  <c r="AN16" i="1" l="1"/>
  <c r="L52" i="19"/>
  <c r="Q29" i="1"/>
  <c r="F221" i="13" l="1"/>
  <c r="F211" i="13"/>
  <c r="F212" i="13"/>
  <c r="F213" i="13"/>
  <c r="F214" i="13"/>
  <c r="F215" i="13"/>
  <c r="F216" i="13"/>
  <c r="F217" i="13"/>
  <c r="F218" i="13"/>
  <c r="F219" i="13"/>
  <c r="F220" i="13"/>
  <c r="F210" i="13"/>
  <c r="B221" i="13" a="1"/>
  <c r="B221" i="13" l="1"/>
  <c r="H210" i="13" l="1"/>
  <c r="B223" i="13" l="1"/>
  <c r="B222" i="13"/>
  <c r="U52" i="19" l="1"/>
  <c r="U22" i="19"/>
  <c r="O12" i="19"/>
  <c r="AG42" i="19"/>
  <c r="AG32" i="19"/>
  <c r="AG52" i="19"/>
  <c r="O32" i="19"/>
  <c r="AG22" i="19"/>
  <c r="U12" i="19"/>
  <c r="AM12" i="19"/>
  <c r="AA22" i="19"/>
  <c r="U32" i="19"/>
  <c r="O22" i="19"/>
  <c r="AA52" i="19"/>
  <c r="AA42" i="19"/>
  <c r="AA32" i="19"/>
  <c r="AG12" i="19"/>
  <c r="U42" i="19"/>
  <c r="AM42" i="19"/>
  <c r="AM32" i="19"/>
  <c r="AA12" i="19"/>
  <c r="AM52" i="19"/>
  <c r="AM22" i="19"/>
  <c r="AD52" i="19"/>
  <c r="AJ52" i="19"/>
  <c r="R52" i="19"/>
  <c r="X52" i="19"/>
  <c r="AJ42" i="19"/>
  <c r="X42" i="19"/>
  <c r="AD42" i="19"/>
  <c r="R42" i="19"/>
  <c r="AD32" i="19"/>
  <c r="AJ32" i="19"/>
  <c r="R32" i="19"/>
  <c r="X32" i="19"/>
  <c r="AJ22" i="19"/>
  <c r="L32" i="19"/>
  <c r="X22" i="19"/>
  <c r="AD22" i="19"/>
  <c r="L22" i="19"/>
  <c r="R22" i="19"/>
  <c r="AD12" i="19"/>
  <c r="AJ12" i="19"/>
  <c r="X12" i="19"/>
  <c r="L12" i="19"/>
  <c r="R12" i="19"/>
  <c r="T24" i="1" l="1"/>
  <c r="T21" i="1" l="1"/>
  <c r="U21" i="1" s="1"/>
  <c r="T15" i="1"/>
  <c r="U15" i="1" s="1"/>
  <c r="L43" i="18" s="1"/>
  <c r="T23" i="1"/>
  <c r="U23" i="1" s="1"/>
  <c r="T18" i="1"/>
  <c r="U18" i="1" s="1"/>
  <c r="L45" i="18" s="1"/>
  <c r="T20" i="1"/>
  <c r="U20" i="1" s="1"/>
  <c r="X31" i="18" l="1"/>
  <c r="X39" i="18"/>
  <c r="AD29" i="18"/>
  <c r="L37" i="18"/>
  <c r="X27" i="18"/>
  <c r="L35" i="18"/>
  <c r="X47" i="18"/>
  <c r="L31" i="18"/>
  <c r="L39" i="18"/>
  <c r="R39" i="18"/>
  <c r="R47" i="18"/>
  <c r="L47" i="18"/>
  <c r="R31" i="18"/>
  <c r="V29" i="18"/>
  <c r="P31" i="18"/>
  <c r="U24" i="1"/>
  <c r="L49" i="18" s="1"/>
  <c r="AM22" i="1"/>
  <c r="AL22" i="1" s="1"/>
  <c r="AN22" i="1" s="1"/>
  <c r="V21" i="1"/>
  <c r="AM21" i="1" s="1"/>
  <c r="AL21" i="1" s="1"/>
  <c r="W21" i="1"/>
  <c r="V19" i="18"/>
  <c r="AH19" i="18"/>
  <c r="AN43" i="18"/>
  <c r="P27" i="18"/>
  <c r="AB43" i="18"/>
  <c r="V11" i="18"/>
  <c r="AH11" i="18"/>
  <c r="AB27" i="18"/>
  <c r="AN19" i="18"/>
  <c r="AB11" i="18"/>
  <c r="V43" i="18"/>
  <c r="AN27" i="18"/>
  <c r="AN35" i="18"/>
  <c r="V27" i="18"/>
  <c r="AH43" i="18"/>
  <c r="AM17" i="1"/>
  <c r="AL17" i="1" s="1"/>
  <c r="AH27" i="18"/>
  <c r="AB19" i="18"/>
  <c r="V35" i="18"/>
  <c r="AH35" i="18"/>
  <c r="AN11" i="18"/>
  <c r="AB35" i="18"/>
  <c r="AM24" i="1"/>
  <c r="AL24" i="1" s="1"/>
  <c r="T37" i="18"/>
  <c r="T29" i="18"/>
  <c r="AF13" i="18"/>
  <c r="Z37" i="18"/>
  <c r="AL29" i="18"/>
  <c r="T21" i="18"/>
  <c r="AL13" i="18"/>
  <c r="AF21" i="18"/>
  <c r="AL45" i="18"/>
  <c r="Z29" i="18"/>
  <c r="Z21" i="18"/>
  <c r="Z45" i="18"/>
  <c r="AF29" i="18"/>
  <c r="AF45" i="18"/>
  <c r="AL37" i="18"/>
  <c r="T13" i="18"/>
  <c r="AL21" i="18"/>
  <c r="AF37" i="18"/>
  <c r="Z13" i="18"/>
  <c r="T45" i="18"/>
  <c r="L13" i="18"/>
  <c r="X21" i="18"/>
  <c r="X37" i="18"/>
  <c r="L29" i="18"/>
  <c r="X45" i="18"/>
  <c r="AJ37" i="18"/>
  <c r="R13" i="18"/>
  <c r="AJ29" i="18"/>
  <c r="AD13" i="18"/>
  <c r="AJ45" i="18"/>
  <c r="AD37" i="18"/>
  <c r="AD45" i="18"/>
  <c r="R45" i="18"/>
  <c r="X13" i="18"/>
  <c r="V18" i="1"/>
  <c r="AM18" i="1" s="1"/>
  <c r="AL18" i="1" s="1"/>
  <c r="AF42" i="19" s="1"/>
  <c r="AJ13" i="18"/>
  <c r="AJ21" i="18"/>
  <c r="R21" i="18"/>
  <c r="AD21" i="18"/>
  <c r="L21" i="18"/>
  <c r="W18" i="1"/>
  <c r="X29" i="18"/>
  <c r="R29" i="18"/>
  <c r="R37" i="18"/>
  <c r="AH45" i="18"/>
  <c r="V45" i="18"/>
  <c r="AH37" i="18"/>
  <c r="V37" i="18"/>
  <c r="W20" i="1"/>
  <c r="AB45" i="18"/>
  <c r="AH13" i="18"/>
  <c r="AB37" i="18"/>
  <c r="AH29" i="18"/>
  <c r="V21" i="18"/>
  <c r="AH21" i="18"/>
  <c r="AB13" i="18"/>
  <c r="V13" i="18"/>
  <c r="AB29" i="18"/>
  <c r="V20" i="1"/>
  <c r="AM20" i="1" s="1"/>
  <c r="AL20" i="1" s="1"/>
  <c r="V42" i="19" s="1"/>
  <c r="AB21" i="18"/>
  <c r="AJ39" i="18"/>
  <c r="X15" i="18"/>
  <c r="AJ15" i="18"/>
  <c r="AD15" i="18"/>
  <c r="AD31" i="18"/>
  <c r="L15" i="18"/>
  <c r="X23" i="18"/>
  <c r="AJ31" i="18"/>
  <c r="AD23" i="18"/>
  <c r="R23" i="18"/>
  <c r="AJ47" i="18"/>
  <c r="W23" i="1"/>
  <c r="R15" i="18"/>
  <c r="AM23" i="1"/>
  <c r="AL23" i="1" s="1"/>
  <c r="L23" i="18"/>
  <c r="AD47" i="18"/>
  <c r="AD39" i="18"/>
  <c r="AJ23" i="18"/>
  <c r="X35" i="18"/>
  <c r="AD35" i="18"/>
  <c r="AD43" i="18"/>
  <c r="AJ35" i="18"/>
  <c r="L11" i="18"/>
  <c r="R19" i="18"/>
  <c r="W15" i="1"/>
  <c r="R35" i="18"/>
  <c r="AD27" i="18"/>
  <c r="R27" i="18"/>
  <c r="X11" i="18"/>
  <c r="X19" i="18"/>
  <c r="L19" i="18"/>
  <c r="R43" i="18"/>
  <c r="V15" i="1"/>
  <c r="AM15" i="1" s="1"/>
  <c r="AL15" i="1" s="1"/>
  <c r="AJ11" i="18"/>
  <c r="R11" i="18"/>
  <c r="AJ19" i="18"/>
  <c r="AJ27" i="18"/>
  <c r="L27" i="18"/>
  <c r="AD19" i="18"/>
  <c r="X43" i="18"/>
  <c r="AD11" i="18"/>
  <c r="AJ43" i="18"/>
  <c r="AF35" i="18"/>
  <c r="Z35" i="18"/>
  <c r="T19" i="18"/>
  <c r="Z43" i="18"/>
  <c r="Z27" i="18"/>
  <c r="Z11" i="18"/>
  <c r="AF19" i="18"/>
  <c r="T11" i="18"/>
  <c r="T43" i="18"/>
  <c r="AL27" i="18"/>
  <c r="T27" i="18"/>
  <c r="T35" i="18"/>
  <c r="AF43" i="18"/>
  <c r="Z19" i="18"/>
  <c r="AL19" i="18"/>
  <c r="AF27" i="18"/>
  <c r="AL11" i="18"/>
  <c r="AF11" i="18"/>
  <c r="AL43" i="18"/>
  <c r="AL35" i="18"/>
  <c r="AN21" i="1" l="1"/>
  <c r="W43" i="19"/>
  <c r="N52" i="19"/>
  <c r="AF22" i="19"/>
  <c r="W42" i="19"/>
  <c r="W24" i="1"/>
  <c r="L41" i="18"/>
  <c r="Z15" i="18"/>
  <c r="AF39" i="18"/>
  <c r="Z39" i="18"/>
  <c r="AF23" i="18"/>
  <c r="T47" i="18"/>
  <c r="T39" i="18"/>
  <c r="AL31" i="18"/>
  <c r="AF47" i="18"/>
  <c r="Z23" i="18"/>
  <c r="AL23" i="18"/>
  <c r="AL47" i="18"/>
  <c r="T23" i="18"/>
  <c r="Z47" i="18"/>
  <c r="T31" i="18"/>
  <c r="AF15" i="18"/>
  <c r="Z31" i="18"/>
  <c r="T15" i="18"/>
  <c r="AL15" i="18"/>
  <c r="AF31" i="18"/>
  <c r="AL39" i="18"/>
  <c r="AN20" i="1"/>
  <c r="P42" i="19"/>
  <c r="AB32" i="19"/>
  <c r="AH52" i="19"/>
  <c r="V52" i="19"/>
  <c r="P32" i="19"/>
  <c r="AB22" i="19"/>
  <c r="V32" i="19"/>
  <c r="AB42" i="19"/>
  <c r="P52" i="19"/>
  <c r="AH22" i="19"/>
  <c r="AH12" i="19"/>
  <c r="AN22" i="19"/>
  <c r="AH42" i="19"/>
  <c r="P22" i="19"/>
  <c r="V12" i="19"/>
  <c r="AH32" i="19"/>
  <c r="AN12" i="19"/>
  <c r="AN42" i="19"/>
  <c r="AB12" i="19"/>
  <c r="V22" i="19"/>
  <c r="AN32" i="19"/>
  <c r="P12" i="19"/>
  <c r="AB52" i="19"/>
  <c r="AN52" i="19"/>
  <c r="AN23" i="1"/>
  <c r="Q33" i="19"/>
  <c r="K23" i="19"/>
  <c r="Q13" i="19"/>
  <c r="AC53" i="19"/>
  <c r="K13" i="19"/>
  <c r="K53" i="19"/>
  <c r="AI53" i="19"/>
  <c r="AC33" i="19"/>
  <c r="Q53" i="19"/>
  <c r="AI33" i="19"/>
  <c r="K33" i="19"/>
  <c r="W33" i="19"/>
  <c r="Q23" i="19"/>
  <c r="AI23" i="19"/>
  <c r="Q43" i="19"/>
  <c r="W23" i="19"/>
  <c r="AC13" i="19"/>
  <c r="AC23" i="19"/>
  <c r="W53" i="19"/>
  <c r="AI43" i="19"/>
  <c r="W13" i="19"/>
  <c r="AI13" i="19"/>
  <c r="AC43" i="19"/>
  <c r="AN24" i="1"/>
  <c r="AD53" i="19"/>
  <c r="AD13" i="19"/>
  <c r="L23" i="19"/>
  <c r="L13" i="19"/>
  <c r="X23" i="19"/>
  <c r="X53" i="19"/>
  <c r="X33" i="19"/>
  <c r="AJ13" i="19"/>
  <c r="AJ43" i="19"/>
  <c r="AD43" i="19"/>
  <c r="X13" i="19"/>
  <c r="L43" i="19"/>
  <c r="AD33" i="19"/>
  <c r="R43" i="19"/>
  <c r="L33" i="19"/>
  <c r="AJ53" i="19"/>
  <c r="R13" i="19"/>
  <c r="R33" i="19"/>
  <c r="AD23" i="19"/>
  <c r="AJ23" i="19"/>
  <c r="R53" i="19"/>
  <c r="AJ33" i="19"/>
  <c r="X43" i="19"/>
  <c r="R23" i="19"/>
  <c r="AN18" i="1"/>
  <c r="M42" i="19"/>
  <c r="N12" i="19"/>
  <c r="AL12" i="19"/>
  <c r="T52" i="19"/>
  <c r="N32" i="19"/>
  <c r="Z12" i="19"/>
  <c r="AL32" i="19"/>
  <c r="T32" i="19"/>
  <c r="AF52" i="19"/>
  <c r="AF32" i="19"/>
  <c r="Z52" i="19"/>
  <c r="N22" i="19"/>
  <c r="AL52" i="19"/>
  <c r="AL42" i="19"/>
  <c r="Z42" i="19"/>
  <c r="T12" i="19"/>
  <c r="T42" i="19"/>
  <c r="N42" i="19"/>
  <c r="Z32" i="19"/>
  <c r="Z22" i="19"/>
  <c r="AL22" i="19"/>
  <c r="AF12" i="19"/>
  <c r="T22" i="19"/>
  <c r="K32" i="19"/>
  <c r="W32" i="19"/>
  <c r="Q32" i="19"/>
  <c r="W52" i="19"/>
  <c r="AC52" i="19"/>
  <c r="K42" i="19"/>
  <c r="W12" i="19"/>
  <c r="AI22" i="19"/>
  <c r="K12" i="19"/>
  <c r="AN15" i="1"/>
  <c r="AC22" i="19"/>
  <c r="K22" i="19"/>
  <c r="Q12" i="19"/>
  <c r="Q22" i="19"/>
  <c r="Q52" i="19"/>
  <c r="AI42" i="19"/>
  <c r="AI52" i="19"/>
  <c r="W22" i="19"/>
  <c r="AC32" i="19"/>
  <c r="AC42" i="19"/>
  <c r="AC12" i="19"/>
  <c r="K52" i="19"/>
  <c r="AI12" i="19"/>
  <c r="AI32" i="19"/>
  <c r="Q42" i="19"/>
  <c r="AN17" i="1"/>
  <c r="AK52" i="19"/>
  <c r="AE12" i="19"/>
  <c r="S52" i="19"/>
  <c r="S22" i="19"/>
  <c r="M12" i="19"/>
  <c r="M22" i="19"/>
  <c r="AK32" i="19"/>
  <c r="S12" i="19"/>
  <c r="AE52" i="19"/>
  <c r="AE22" i="19"/>
  <c r="S32" i="19"/>
  <c r="M32" i="19"/>
  <c r="AE32" i="19"/>
  <c r="AE42" i="19"/>
  <c r="AK42" i="19"/>
  <c r="S42" i="19"/>
  <c r="L42" i="19"/>
  <c r="AK22" i="19"/>
  <c r="AK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<sst xmlns="http://schemas.openxmlformats.org/spreadsheetml/2006/main" count="799" uniqueCount="455">
  <si>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</si>
  <si>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</si>
  <si>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</si>
  <si>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</si>
  <si>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</si>
  <si>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</si>
  <si>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</si>
  <si>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</si>
  <si>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</si>
  <si>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</si>
  <si>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</si>
  <si>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</si>
  <si>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</si>
  <si>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</si>
  <si>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</si>
  <si>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</si>
  <si>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</si>
  <si>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</si>
  <si>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</si>
  <si>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</si>
  <si>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</si>
  <si>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</si>
  <si>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</si>
  <si>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</si>
  <si>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</si>
  <si>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</si>
  <si>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</si>
  <si>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</si>
  <si>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</si>
  <si>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</si>
  <si>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</si>
  <si>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</si>
  <si>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</si>
  <si>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</si>
  <si>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</si>
  <si>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</si>
  <si>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</si>
  <si>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</si>
  <si>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</si>
  <si>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</si>
  <si>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</si>
  <si>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</si>
  <si>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</si>
  <si>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</si>
  <si>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</si>
  <si>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</si>
  <si>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</si>
  <si>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</si>
  <si>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</si>
  <si>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</si>
  <si>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</si>
  <si>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</si>
  <si>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</si>
  <si>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</si>
  <si>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</si>
  <si>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</si>
  <si>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</si>
  <si>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</si>
  <si>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</si>
  <si>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</si>
  <si>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</si>
  <si>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</si>
  <si>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</si>
  <si>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</si>
  <si>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</si>
  <si>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</si>
  <si>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</si>
  <si>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</si>
  <si>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</si>
  <si>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</si>
  <si>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</si>
  <si>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</si>
  <si>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</si>
  <si>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</si>
  <si>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</si>
  <si>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</si>
  <si>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</si>
  <si>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</si>
  <si>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</si>
  <si>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</si>
  <si>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</si>
  <si>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</si>
  <si>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</si>
  <si>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</si>
  <si>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</si>
  <si>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</si>
  <si>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</si>
  <si>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</si>
  <si>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</si>
  <si>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</si>
  <si>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</si>
  <si>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</si>
  <si>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</si>
  <si>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</si>
  <si>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</si>
  <si>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</si>
  <si>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</si>
  <si>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</si>
  <si>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</si>
  <si>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</si>
  <si>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</si>
  <si>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</si>
  <si>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</si>
  <si>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</si>
  <si>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</si>
  <si>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</si>
  <si>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</si>
  <si>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</si>
  <si>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</si>
  <si>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</si>
  <si>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</si>
  <si>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</si>
  <si>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</si>
  <si>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</si>
  <si>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</si>
  <si>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</si>
  <si>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</si>
  <si>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</si>
  <si>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</si>
  <si>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</si>
  <si>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</si>
  <si>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</si>
  <si>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</si>
  <si>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</si>
  <si>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</si>
  <si>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</si>
  <si>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</si>
  <si>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</si>
  <si>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</si>
  <si>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</si>
  <si>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</si>
  <si>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</si>
  <si>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</si>
  <si>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</si>
  <si>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</si>
  <si>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</si>
  <si>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</si>
  <si>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</si>
  <si>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</si>
  <si>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</si>
  <si>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</si>
  <si>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</si>
  <si>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</si>
  <si>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</si>
  <si>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</si>
  <si>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</si>
  <si>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</si>
  <si>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</si>
  <si>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</si>
  <si>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</si>
  <si>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</si>
  <si>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</si>
  <si>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</si>
  <si>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</si>
  <si>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</si>
  <si>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</si>
  <si>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</si>
  <si>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</si>
  <si>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</si>
  <si>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</si>
  <si>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</si>
  <si>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</si>
  <si>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</si>
  <si>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</si>
  <si>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</si>
  <si>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</si>
  <si>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</si>
  <si>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</si>
  <si>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</si>
  <si>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</si>
  <si>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</si>
  <si>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</si>
  <si>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</si>
  <si>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</si>
  <si>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</si>
  <si>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</si>
  <si>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</si>
  <si>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</si>
  <si>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</si>
  <si>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</si>
  <si>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</si>
  <si>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</si>
  <si>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</si>
  <si>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</si>
  <si>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</si>
  <si>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</si>
  <si>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</si>
  <si>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</si>
  <si>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</si>
  <si>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</si>
  <si>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</si>
  <si>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</si>
  <si>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</si>
  <si>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</si>
  <si>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</si>
  <si>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</si>
  <si>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</si>
  <si>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</si>
  <si>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</si>
  <si>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</si>
  <si>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</si>
  <si>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</si>
  <si>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</si>
  <si>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</si>
  <si>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</si>
  <si>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</si>
  <si>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</si>
  <si>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</si>
  <si>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</si>
  <si>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</si>
  <si>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</si>
  <si>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</si>
  <si>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</si>
  <si>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</si>
  <si>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</si>
  <si>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</si>
  <si>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</si>
  <si>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</si>
  <si>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</si>
  <si>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</si>
  <si>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</si>
  <si>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</si>
  <si>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</si>
  <si>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</si>
  <si>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</si>
  <si>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</si>
  <si>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</si>
  <si>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</si>
  <si>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</si>
  <si>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</si>
  <si>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</si>
  <si>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</si>
  <si>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</si>
  <si>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</si>
  <si>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</si>
  <si>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</si>
  <si>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</si>
  <si>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</si>
  <si>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</si>
  <si>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</si>
  <si>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</si>
  <si>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</si>
  <si>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</si>
  <si>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</si>
  <si>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</si>
  <si>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</si>
  <si>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</si>
  <si>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</si>
  <si>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</si>
  <si>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</si>
  <si>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</si>
  <si>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</si>
  <si>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</si>
  <si>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</si>
  <si>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</si>
  <si>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</si>
  <si>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</si>
  <si>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</si>
  <si>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</si>
  <si>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</si>
  <si>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</si>
  <si>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</si>
  <si>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</si>
  <si>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</si>
  <si>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</si>
  <si>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</si>
  <si>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</si>
  <si>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</si>
  <si>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</si>
  <si>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</si>
  <si>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</si>
  <si>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</si>
  <si>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</si>
  <si>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</si>
  <si>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</si>
  <si>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</si>
  <si>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</si>
  <si>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</si>
  <si>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</si>
  <si>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</si>
  <si>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</si>
  <si>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</si>
  <si>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</si>
  <si>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</si>
  <si>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</si>
  <si>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</si>
  <si>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</si>
  <si>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</si>
  <si>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</si>
  <si>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</si>
  <si>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</si>
  <si>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</si>
  <si>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</si>
  <si>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</si>
  <si>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</si>
  <si>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</si>
  <si>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</si>
  <si>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</si>
  <si>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</si>
  <si>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</si>
  <si>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</si>
  <si>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</si>
  <si>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</si>
  <si>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</si>
  <si>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</si>
  <si>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</si>
  <si>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</si>
  <si>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</si>
  <si>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</si>
  <si>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</si>
  <si>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</si>
  <si>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</si>
  <si>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</si>
  <si>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</si>
  <si>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</si>
  <si>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</si>
  <si>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</si>
  <si>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</si>
  <si>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</si>
  <si>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</si>
  <si>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</si>
  <si>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</si>
  <si>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</si>
  <si>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</si>
  <si>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</si>
  <si>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</si>
  <si>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</si>
  <si>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</si>
  <si>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</si>
  <si>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</si>
  <si>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</si>
  <si>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</si>
  <si>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</si>
  <si>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</si>
  <si>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</si>
  <si>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</si>
  <si>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</si>
  <si>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</si>
  <si>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</si>
  <si>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</si>
  <si>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</si>
  <si>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</si>
  <si>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</si>
  <si>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</si>
  <si>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</si>
  <si>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</si>
  <si>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</si>
  <si>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</si>
  <si>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</si>
  <si>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</si>
  <si>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</si>
  <si>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</si>
  <si>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</si>
  <si>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</si>
  <si>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</si>
  <si>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</si>
  <si>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</si>
  <si>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</si>
  <si>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</si>
  <si>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</si>
  <si>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</si>
  <si>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</si>
  <si>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</si>
  <si>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</si>
  <si>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</si>
  <si>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</si>
  <si>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</si>
  <si>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</si>
  <si>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</si>
  <si>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</si>
  <si>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</si>
  <si>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</si>
  <si>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</si>
  <si>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</si>
  <si>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</si>
  <si>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</si>
  <si>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</si>
  <si>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</si>
  <si>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</si>
  <si>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</si>
  <si>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</si>
  <si>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</si>
  <si>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</si>
  <si>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</si>
  <si>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</si>
  <si>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</si>
  <si>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</si>
  <si>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</si>
  <si>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</si>
  <si>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</si>
  <si>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</si>
  <si>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</si>
  <si>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</si>
  <si>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</si>
  <si>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</si>
  <si>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</si>
  <si>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Líder de Proceso</t>
  </si>
  <si>
    <t>Se actualizó formato a versión No 8</t>
  </si>
  <si>
    <t>GESTIÓN DE RECURSOS FÍSICOS</t>
  </si>
  <si>
    <t>Apoyar logísticamente los procesos misionales de la ETITC mediante el mantenimiento locativo; el buen uso de las instalaciones; la administración, control de los bienes y entrega de insumos; la compra de infraestructura y tecnología de punta para el funcionamiento normal de los diferentes servicios y actividades generadas por la Escuela en concordancia con las normas y disposiciones legales vigentes en el ámbito de salud y seguridad en el trabajo, medio ambiente y seguridad de la información</t>
  </si>
  <si>
    <t>Desde la definición de planes, programas y proyectos en infraestructura, administración de bienes hasta la disposición cuando aplique-</t>
  </si>
  <si>
    <r>
      <rPr>
        <b/>
        <sz val="14"/>
        <rFont val="Arial"/>
        <family val="2"/>
      </rPr>
      <t>LIDER DEL PROCESO:</t>
    </r>
    <r>
      <rPr>
        <sz val="14"/>
        <rFont val="Arial"/>
        <family val="2"/>
      </rPr>
      <t xml:space="preserve">  Yamid Rivera</t>
    </r>
  </si>
  <si>
    <t>Ocurrencia de un accidente o enfermedad laboral.</t>
  </si>
  <si>
    <t>Por el incumplimiento de los procesos de SST</t>
  </si>
  <si>
    <t xml:space="preserve">Probabilidad de afectación económica y reputacional por ocurrencia de un accidente o enfermedad laboral debido al incumplimiento de los procesos de SST
</t>
  </si>
  <si>
    <t xml:space="preserve">Interrupciones del servicio de fluido eléctrico en las instalaciones de  la ETITC </t>
  </si>
  <si>
    <t xml:space="preserve">Incumplimiento de la normatividad vigente </t>
  </si>
  <si>
    <t>Manejo inadecuado de residuos</t>
  </si>
  <si>
    <t xml:space="preserve">Afectaciones a la prestación del servicio educativo </t>
  </si>
  <si>
    <t>Afectación al sistema de ingresos y egresos de la gestión de Almacén</t>
  </si>
  <si>
    <t xml:space="preserve">Por fallas provocadas en las instalaciones eléctricas </t>
  </si>
  <si>
    <t>Probabilidad de afectación económica y reputacional por interrupciones del fluido eléctrico en las instalaciones de la ETITC debido a las fallas provocadas por fallas en las instalaciones eléctricas.</t>
  </si>
  <si>
    <t>Por fallas en la gestión de recursos físicos.</t>
  </si>
  <si>
    <t>Probabilidad de afectación económica y reputacional por incumplimiento de la normatividad vigente por fallas en la gestión de recursos físicos.</t>
  </si>
  <si>
    <t>Por incumplimiento y/o desconocimiento de la normativa vigente</t>
  </si>
  <si>
    <t>Probabilidad de afectación económico y reputacional por el manejo inadecuado de los residuos debido al incumplimiento y/o desconocimiento de la normativa vigente.</t>
  </si>
  <si>
    <t>Por fallas en la red hidráulica y baterías de baños</t>
  </si>
  <si>
    <t>Probabilidad de afectación económica y reputacional por afectaciones a la prestación del servicio educativo debido a fallas en la red hidráulica y baterías de baños.</t>
  </si>
  <si>
    <t>No ingresar al sistema los ingresos y egresos</t>
  </si>
  <si>
    <r>
      <t xml:space="preserve">Los líderes de planta física e Infraestructura eléctrica con el apoyo del área de SST, coordinadores de alturas y empleados, realizaran la Elaboración de ATS , los permisos de trabajo en alturas e inspección de equipos de trabajo en alturas, según la actividad a realizar. Cumpliendo con la normatividad vigente.
 </t>
    </r>
    <r>
      <rPr>
        <b/>
        <sz val="10"/>
        <rFont val="Arial Narrow"/>
        <family val="2"/>
      </rPr>
      <t>Desviación del control:</t>
    </r>
    <r>
      <rPr>
        <sz val="10"/>
        <rFont val="Arial Narrow"/>
        <family val="2"/>
      </rPr>
      <t xml:space="preserve"> 
Reprogramación de la actividad actividad.</t>
    </r>
  </si>
  <si>
    <r>
      <t xml:space="preserve">Los líderes  de la actividad, proyecto o intervención, realizará la revisión del cumplimiento normativo frente a los trabajos de alto riesgo.
</t>
    </r>
    <r>
      <rPr>
        <b/>
        <sz val="10"/>
        <rFont val="Arial Narrow"/>
        <family val="2"/>
      </rPr>
      <t xml:space="preserve"> Desviación del control: 
</t>
    </r>
    <r>
      <rPr>
        <sz val="10"/>
        <rFont val="Arial Narrow"/>
        <family val="2"/>
      </rPr>
      <t>Reprogramación de la actividad actividad.</t>
    </r>
  </si>
  <si>
    <r>
      <t xml:space="preserve">Los líderes  de área de Infraestructura Eléctrica realizará documentará el Mantenimiento preventivo de las redes y equipos eléctricos por medio del Software de gestión de Mantenimiento MANTUM CMMS
</t>
    </r>
    <r>
      <rPr>
        <b/>
        <sz val="10"/>
        <rFont val="Arial Narrow"/>
        <family val="2"/>
      </rPr>
      <t>Desviación del control:</t>
    </r>
    <r>
      <rPr>
        <sz val="10"/>
        <rFont val="Arial Narrow"/>
        <family val="2"/>
      </rPr>
      <t xml:space="preserve">
Activación de las plantes de emergencia, prioriza el datacenter.</t>
    </r>
  </si>
  <si>
    <r>
      <t xml:space="preserve">Los líderes  de  área de Infraestructura Eléctrica realizará actualización de documentación y diseños eléctricos, teniendo en cuenta la coordinación de protecciones y la capacidad de los conductores eléctricos.
</t>
    </r>
    <r>
      <rPr>
        <b/>
        <sz val="10"/>
        <rFont val="Arial Narrow"/>
        <family val="2"/>
      </rPr>
      <t xml:space="preserve">Desviación del control.
</t>
    </r>
    <r>
      <rPr>
        <sz val="10"/>
        <rFont val="Arial Narrow"/>
        <family val="2"/>
      </rPr>
      <t xml:space="preserve">Uso de planos provisional debido a que están en constante cambio </t>
    </r>
  </si>
  <si>
    <r>
      <t xml:space="preserve">Los líderes del  áreas de Planta física e Infraestructura eléctrica se acogerán a la normatividad vigente en la realización en las actividades de los proyectos, mantenimiento con relación a la infraestructura física de la ETITC.
</t>
    </r>
    <r>
      <rPr>
        <b/>
        <sz val="10"/>
        <rFont val="Arial Narrow"/>
        <family val="2"/>
      </rPr>
      <t xml:space="preserve">Desviación del control:
</t>
    </r>
    <r>
      <rPr>
        <sz val="10"/>
        <rFont val="Arial Narrow"/>
        <family val="2"/>
      </rPr>
      <t xml:space="preserve">Reprogramar actividades asta cuando sea aprobado por el funcionario responsable </t>
    </r>
    <r>
      <rPr>
        <b/>
        <sz val="10"/>
        <rFont val="Arial Narrow"/>
        <family val="2"/>
      </rPr>
      <t xml:space="preserve">
</t>
    </r>
  </si>
  <si>
    <r>
      <t xml:space="preserve">Los líderes del   áreas de planta física e Infraestructura Eléctrica solicitarán al área de Gestión ambiental la capacitación en manejo de residuos y participaran activamente.
</t>
    </r>
    <r>
      <rPr>
        <b/>
        <sz val="10"/>
        <rFont val="Arial Narrow"/>
        <family val="2"/>
      </rPr>
      <t xml:space="preserve">Desviación del control     </t>
    </r>
    <r>
      <rPr>
        <sz val="10"/>
        <rFont val="Arial Narrow"/>
        <family val="2"/>
      </rPr>
      <t xml:space="preserve">
Reiterar al líder del sistema de gestión ambiental la solicitud de la gestión.                          </t>
    </r>
  </si>
  <si>
    <r>
      <t xml:space="preserve">Los líderes del  áreas de planta física e Infraestructura Eléctrica solicitarán los respectivos certificados de disposición final de los residuos generados.
</t>
    </r>
    <r>
      <rPr>
        <b/>
        <sz val="10"/>
        <rFont val="Arial Narrow"/>
        <family val="2"/>
      </rPr>
      <t xml:space="preserve">Desviación del control     
</t>
    </r>
    <r>
      <rPr>
        <sz val="10"/>
        <rFont val="Arial Narrow"/>
        <family val="2"/>
      </rPr>
      <t xml:space="preserve">Reiterar al líder del sistema de gestión ambiental la solicitud de la gestión.    </t>
    </r>
    <r>
      <rPr>
        <b/>
        <sz val="10"/>
        <rFont val="Arial Narrow"/>
        <family val="2"/>
      </rPr>
      <t xml:space="preserve">                      
</t>
    </r>
  </si>
  <si>
    <r>
      <t xml:space="preserve">Los líderes del   área de Planta Física realizará y documentará el Mantenimiento preventivo de las redes y equipos hidráulicos y de baños por medio del Software de gestión de Mantenimiento MANTUM CMMS
</t>
    </r>
    <r>
      <rPr>
        <b/>
        <sz val="10"/>
        <rFont val="Arial Narrow"/>
        <family val="2"/>
      </rPr>
      <t xml:space="preserve">Desviación del control:
</t>
    </r>
    <r>
      <rPr>
        <sz val="10"/>
        <rFont val="Arial Narrow"/>
        <family val="2"/>
      </rPr>
      <t xml:space="preserve">La contratación se realizara de forma anticipada para garantizar que se mantenga cobertura en toda la vigencia </t>
    </r>
    <r>
      <rPr>
        <b/>
        <sz val="10"/>
        <rFont val="Arial Narrow"/>
        <family val="2"/>
      </rPr>
      <t xml:space="preserve">
</t>
    </r>
  </si>
  <si>
    <r>
      <t xml:space="preserve">Informe de ejecución de actividades del Software de gestión de Mantenimiento MANTUM CMMS
</t>
    </r>
    <r>
      <rPr>
        <b/>
        <sz val="10"/>
        <rFont val="Arial Narrow"/>
        <family val="2"/>
      </rPr>
      <t xml:space="preserve">Documentación del control 
</t>
    </r>
    <r>
      <rPr>
        <sz val="10"/>
        <rFont val="Arial Narrow"/>
        <family val="2"/>
      </rPr>
      <t>Plataforma MANTUM CMMS</t>
    </r>
  </si>
  <si>
    <r>
      <t>El líder de área  de Almacén realizará los ingresos y egresos de acuerdo con el procedimiento establecido:
GRF-PC-01 Procedimiento administración y control de materiales y suministros.
GRF-PC-03 Procedimiento administración manejo y control de los activos fijos
D</t>
    </r>
    <r>
      <rPr>
        <b/>
        <sz val="10"/>
        <rFont val="Arial Narrow"/>
        <family val="2"/>
      </rPr>
      <t xml:space="preserve">esviación del control </t>
    </r>
    <r>
      <rPr>
        <sz val="10"/>
        <rFont val="Arial Narrow"/>
        <family val="2"/>
      </rPr>
      <t xml:space="preserve">
</t>
    </r>
  </si>
  <si>
    <t xml:space="preserve">por identificar </t>
  </si>
  <si>
    <t>Por identificar</t>
  </si>
  <si>
    <t>Solicitud de elementos de protección personal y de bioseguridad al área de seguridad y salud en el trabajo de la ETITC.</t>
  </si>
  <si>
    <t>Líder de Planta Física
Líder de Infraestructura Eléctrica</t>
  </si>
  <si>
    <t>Diligenciar y Revisar toda la documentación necesaria para realizar las actividades de trabajo seguro en alturas.</t>
  </si>
  <si>
    <t>Líder de Planta Física
Líder de Infraestructura Eléctrica
Responsable SST
Coordinador de alturas
empleados y contratistas</t>
  </si>
  <si>
    <t xml:space="preserve">Enviar la solicitud de aprobación de trabajos de alto riesgo al profesional de SST </t>
  </si>
  <si>
    <t>Revisar y actualizar los planes de mantenimiento en el Software de Gestión de Mantenimiento MANTUM CMMS</t>
  </si>
  <si>
    <t>Líder de Infraestructura Eléctrica
Personal Técnico y contratistas.</t>
  </si>
  <si>
    <t>Realizar las solicitudes trámites y documentos necesarios para el cumplimiento de la normatividad vigente</t>
  </si>
  <si>
    <t>Solicitar y asistir a las capacitaciones y reuniones de Gestión Ambiental</t>
  </si>
  <si>
    <t>Solicitar los certificados de disposición final de los residuos generados por contratistas externos.</t>
  </si>
  <si>
    <t>Realizar los ingresos y egresos según el procedimiento establecido</t>
  </si>
  <si>
    <t>Líder y equipo de trabajo de Almacén</t>
  </si>
  <si>
    <r>
      <t xml:space="preserve">Los líderes de Planta física e Infraestructura Eléctrica deberán gestionar ante el proceso de SST la solicitud de EPP para cada uno de los funcionarios del proceso, teniendo en cuenta las actividades específicas que cada uno desarrolla.
</t>
    </r>
    <r>
      <rPr>
        <b/>
        <sz val="10"/>
        <rFont val="Arial Narrow"/>
        <family val="2"/>
      </rPr>
      <t xml:space="preserve">Desviación del control:
</t>
    </r>
    <r>
      <rPr>
        <sz val="10"/>
        <rFont val="Arial Narrow"/>
        <family val="2"/>
      </rPr>
      <t xml:space="preserve">En los contratos está establecida la obligación;  que cada contratista debe tener sus elementos de trabajo entre ellos los EPP necesarios para le ejecución del objeto del contrato.
 </t>
    </r>
  </si>
  <si>
    <r>
      <t xml:space="preserve">Diligenciamiento y envió del formato SST-FO-19 Solicitud Elementos de Protección Personal
</t>
    </r>
    <r>
      <rPr>
        <b/>
        <sz val="10"/>
        <rFont val="Arial Narrow"/>
        <family val="2"/>
      </rPr>
      <t xml:space="preserve">Documentación del control: </t>
    </r>
    <r>
      <rPr>
        <sz val="10"/>
        <rFont val="Arial Narrow"/>
        <family val="2"/>
      </rPr>
      <t xml:space="preserve">
</t>
    </r>
  </si>
  <si>
    <r>
      <t xml:space="preserve">Diligenciamiento y envió de los formatos para garantizar el trabajo seguro (dependiendo de la actividad).
</t>
    </r>
    <r>
      <rPr>
        <b/>
        <sz val="10"/>
        <rFont val="Arial Narrow"/>
        <family val="2"/>
      </rPr>
      <t xml:space="preserve">Documentación del control </t>
    </r>
    <r>
      <rPr>
        <sz val="10"/>
        <rFont val="Arial Narrow"/>
        <family val="2"/>
      </rPr>
      <t xml:space="preserve">
</t>
    </r>
  </si>
  <si>
    <r>
      <t xml:space="preserve">Aprobación del profesional de SST para la realización de los trabajos de alto riesgo
</t>
    </r>
    <r>
      <rPr>
        <b/>
        <sz val="10"/>
        <rFont val="Arial Narrow"/>
        <family val="2"/>
      </rPr>
      <t xml:space="preserve">Documentación del control 
</t>
    </r>
  </si>
  <si>
    <r>
      <t xml:space="preserve">Informe de ejecución de actividades del Software de gestión de Mantenimiento MANTUM CMMS
</t>
    </r>
    <r>
      <rPr>
        <b/>
        <sz val="10"/>
        <rFont val="Arial Narrow"/>
        <family val="2"/>
      </rPr>
      <t xml:space="preserve">
Documentación del control 
</t>
    </r>
    <r>
      <rPr>
        <sz val="10"/>
        <rFont val="Arial Narrow"/>
        <family val="2"/>
      </rPr>
      <t>plataforma MANTUM CMMS</t>
    </r>
  </si>
  <si>
    <r>
      <t xml:space="preserve">Planos y documentación actualizados sobre la infraestructura eléctrica de la ETITC. 
</t>
    </r>
    <r>
      <rPr>
        <b/>
        <sz val="10"/>
        <rFont val="Arial Narrow"/>
        <family val="2"/>
      </rPr>
      <t>Documentación del control</t>
    </r>
    <r>
      <rPr>
        <sz val="10"/>
        <rFont val="Arial Narrow"/>
        <family val="2"/>
      </rPr>
      <t xml:space="preserve">
Retie </t>
    </r>
  </si>
  <si>
    <r>
      <t xml:space="preserve">Documentos que evidencien el cumplimiento de la normatividad vigente frente a los entes rectores.
</t>
    </r>
    <r>
      <rPr>
        <b/>
        <sz val="10"/>
        <rFont val="Arial Narrow"/>
        <family val="2"/>
      </rPr>
      <t>Documentación del control 
E</t>
    </r>
    <r>
      <rPr>
        <sz val="10"/>
        <rFont val="Arial Narrow"/>
        <family val="2"/>
      </rPr>
      <t xml:space="preserve">s el normograma GDC-FO-05 cargado en la plataforma ETITC
</t>
    </r>
  </si>
  <si>
    <r>
      <t xml:space="preserve">Documentos e información que evidencie la solicitud y ejecución de capacitaciones sobre el manejo de residuos.
</t>
    </r>
    <r>
      <rPr>
        <b/>
        <sz val="10"/>
        <rFont val="Arial Narrow"/>
        <family val="2"/>
      </rPr>
      <t>Documentación del control 
C</t>
    </r>
    <r>
      <rPr>
        <sz val="10"/>
        <rFont val="Arial Narrow"/>
        <family val="2"/>
      </rPr>
      <t>ertificado a la asistencia de capacitación</t>
    </r>
  </si>
  <si>
    <r>
      <t xml:space="preserve">Documentos e información sobre la certificación de la disposición final de residuos de los contratistas externos.
  </t>
    </r>
    <r>
      <rPr>
        <b/>
        <sz val="10"/>
        <rFont val="Arial Narrow"/>
        <family val="2"/>
      </rPr>
      <t xml:space="preserve">
Documentación del control.  GAM-</t>
    </r>
    <r>
      <rPr>
        <sz val="10"/>
        <rFont val="Arial Narrow"/>
        <family val="2"/>
      </rPr>
      <t xml:space="preserve">PC-03 Manejo y Gestión Segura de Residuos Ordinarios 
</t>
    </r>
  </si>
  <si>
    <t>Probabilidad de afectación económica por afectaciones al sistema de ingresos y egresos de la gestión de Almacén al no ingresar estos al sistema de los activos fijos de la entidad</t>
  </si>
  <si>
    <r>
      <t xml:space="preserve">Documentos e información sobre el ingreso y egresos al sistema
</t>
    </r>
    <r>
      <rPr>
        <b/>
        <sz val="10"/>
        <rFont val="Arial Narrow"/>
        <family val="2"/>
      </rPr>
      <t>Documentación del contro</t>
    </r>
    <r>
      <rPr>
        <sz val="10"/>
        <rFont val="Arial Narrow"/>
        <family val="2"/>
      </rPr>
      <t xml:space="preserve">l 
</t>
    </r>
  </si>
  <si>
    <t xml:space="preserve">Profesional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</si>
</sst>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2"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9"/>
      <name val="Arial"/>
      <family val="2"/>
    </font>
    <font>
      <b/>
      <sz val="11"/>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48">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18" fillId="5" borderId="0" xfId="0" applyFont="1" applyFill="1" applyAlignment="1" applyProtection="1">
      <alignment horizontal="center" wrapText="1" readingOrder="1"/>
      <protection hidden="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66" fillId="0" borderId="110" xfId="0" applyFont="1" applyBorder="1" applyAlignment="1">
      <alignment horizontal="center" vertical="center" wrapText="1"/>
    </xf>
    <xf numFmtId="0" fontId="66" fillId="0" borderId="111" xfId="0" applyFont="1" applyBorder="1" applyAlignment="1">
      <alignment horizontal="center" vertical="center" wrapText="1"/>
    </xf>
    <xf numFmtId="0" fontId="66" fillId="0" borderId="22" xfId="0" applyFont="1"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95" fillId="0" borderId="110" xfId="0" applyFont="1" applyBorder="1" applyAlignment="1">
      <alignment horizontal="center" vertical="center" wrapText="1"/>
    </xf>
    <xf numFmtId="0" fontId="95" fillId="0" borderId="110" xfId="0" applyFont="1" applyBorder="1" applyAlignment="1" applyProtection="1">
      <alignment horizontal="center" vertical="center" wrapText="1"/>
      <protection locked="0"/>
    </xf>
    <xf numFmtId="0" fontId="95" fillId="0" borderId="110" xfId="0" applyFont="1" applyBorder="1" applyAlignment="1" applyProtection="1">
      <alignment horizontal="center" vertical="center" wrapText="1"/>
      <protection locked="0"/>
    </xf>
    <xf numFmtId="0" fontId="101" fillId="0" borderId="110" xfId="0" applyFont="1" applyBorder="1" applyAlignment="1" applyProtection="1">
      <alignment horizontal="center" vertical="center" wrapText="1"/>
      <protection hidden="1"/>
    </xf>
    <xf numFmtId="9" fontId="95" fillId="0" borderId="110" xfId="0" applyNumberFormat="1" applyFont="1" applyBorder="1" applyAlignment="1" applyProtection="1">
      <alignment horizontal="center" vertical="center" wrapText="1"/>
      <protection hidden="1"/>
    </xf>
    <xf numFmtId="9" fontId="95" fillId="0" borderId="110" xfId="0" applyNumberFormat="1" applyFont="1" applyBorder="1" applyAlignment="1" applyProtection="1">
      <alignment horizontal="center" vertical="center" wrapText="1"/>
      <protection locked="0"/>
    </xf>
    <xf numFmtId="0" fontId="49" fillId="0" borderId="110" xfId="0" applyFont="1" applyBorder="1" applyAlignment="1" applyProtection="1">
      <alignment horizontal="center" vertical="center" wrapText="1"/>
      <protection hidden="1"/>
    </xf>
    <xf numFmtId="0" fontId="95" fillId="0" borderId="110" xfId="0" applyFont="1" applyBorder="1" applyAlignment="1" applyProtection="1">
      <alignment horizontal="center" vertical="center" wrapText="1"/>
      <protection hidden="1"/>
    </xf>
    <xf numFmtId="0" fontId="95" fillId="0" borderId="110" xfId="0" applyFont="1" applyBorder="1" applyAlignment="1" applyProtection="1">
      <alignment horizontal="center" vertical="center" textRotation="90" wrapText="1"/>
      <protection locked="0"/>
    </xf>
    <xf numFmtId="9" fontId="95" fillId="0" borderId="110" xfId="0" applyNumberFormat="1" applyFont="1" applyBorder="1" applyAlignment="1" applyProtection="1">
      <alignment horizontal="center" vertical="center" wrapText="1"/>
      <protection hidden="1"/>
    </xf>
    <xf numFmtId="0" fontId="101" fillId="0" borderId="110" xfId="0" applyFont="1" applyBorder="1" applyAlignment="1" applyProtection="1">
      <alignment horizontal="center" vertical="center" textRotation="90" wrapText="1"/>
      <protection hidden="1"/>
    </xf>
    <xf numFmtId="14" fontId="95" fillId="0" borderId="110" xfId="0" applyNumberFormat="1" applyFont="1" applyBorder="1" applyAlignment="1" applyProtection="1">
      <alignment horizontal="center" vertical="center" wrapText="1"/>
      <protection locked="0"/>
    </xf>
    <xf numFmtId="0" fontId="95" fillId="0" borderId="111" xfId="0" applyFont="1" applyBorder="1" applyAlignment="1">
      <alignment horizontal="center" vertical="center" wrapText="1"/>
    </xf>
    <xf numFmtId="0" fontId="95" fillId="0" borderId="21" xfId="0" applyFont="1" applyBorder="1" applyAlignment="1" applyProtection="1">
      <alignment horizontal="center" vertical="center" wrapText="1"/>
      <protection locked="0"/>
    </xf>
    <xf numFmtId="0" fontId="95" fillId="0" borderId="111" xfId="0" applyFont="1" applyBorder="1" applyAlignment="1" applyProtection="1">
      <alignment horizontal="center" vertical="center" wrapText="1"/>
      <protection locked="0"/>
    </xf>
    <xf numFmtId="0" fontId="101" fillId="0" borderId="111" xfId="0" applyFont="1" applyBorder="1" applyAlignment="1" applyProtection="1">
      <alignment horizontal="center" vertical="center" wrapText="1"/>
      <protection hidden="1"/>
    </xf>
    <xf numFmtId="9" fontId="95" fillId="0" borderId="111" xfId="0" applyNumberFormat="1" applyFont="1" applyBorder="1" applyAlignment="1" applyProtection="1">
      <alignment horizontal="center" vertical="center" wrapText="1"/>
      <protection hidden="1"/>
    </xf>
    <xf numFmtId="9" fontId="95" fillId="0" borderId="111" xfId="0" applyNumberFormat="1" applyFont="1" applyBorder="1" applyAlignment="1" applyProtection="1">
      <alignment horizontal="center" vertical="center" wrapText="1"/>
      <protection locked="0"/>
    </xf>
    <xf numFmtId="0" fontId="49" fillId="0" borderId="111" xfId="0" applyFont="1" applyBorder="1" applyAlignment="1" applyProtection="1">
      <alignment horizontal="center" vertical="center" wrapText="1"/>
      <protection hidden="1"/>
    </xf>
    <xf numFmtId="0" fontId="95" fillId="0" borderId="21" xfId="0" applyFont="1" applyBorder="1" applyAlignment="1" applyProtection="1">
      <alignment horizontal="center" vertical="center" wrapText="1"/>
      <protection hidden="1"/>
    </xf>
    <xf numFmtId="0" fontId="95" fillId="0" borderId="21" xfId="0" applyFont="1" applyBorder="1" applyAlignment="1" applyProtection="1">
      <alignment horizontal="center" vertical="center" textRotation="90" wrapText="1"/>
      <protection locked="0"/>
    </xf>
    <xf numFmtId="9" fontId="95" fillId="0" borderId="21" xfId="0" applyNumberFormat="1" applyFont="1" applyBorder="1" applyAlignment="1" applyProtection="1">
      <alignment horizontal="center" vertical="center" wrapText="1"/>
      <protection hidden="1"/>
    </xf>
    <xf numFmtId="9" fontId="1" fillId="0" borderId="21" xfId="1" applyFont="1" applyBorder="1" applyAlignment="1">
      <alignment horizontal="center" vertical="center" wrapText="1"/>
    </xf>
    <xf numFmtId="0" fontId="101" fillId="0" borderId="21" xfId="0" applyFont="1" applyBorder="1" applyAlignment="1" applyProtection="1">
      <alignment horizontal="center" vertical="center" textRotation="90" wrapText="1"/>
      <protection hidden="1"/>
    </xf>
    <xf numFmtId="14" fontId="95" fillId="0" borderId="21" xfId="0" applyNumberFormat="1" applyFont="1" applyBorder="1" applyAlignment="1" applyProtection="1">
      <alignment horizontal="center" vertical="center" wrapText="1"/>
      <protection locked="0"/>
    </xf>
    <xf numFmtId="0" fontId="95" fillId="0" borderId="22" xfId="0" applyFont="1" applyBorder="1" applyAlignment="1">
      <alignment horizontal="center" vertical="center" wrapText="1"/>
    </xf>
    <xf numFmtId="0" fontId="95" fillId="0" borderId="22" xfId="0" applyFont="1" applyBorder="1" applyAlignment="1" applyProtection="1">
      <alignment horizontal="center" vertical="center" wrapText="1"/>
      <protection locked="0"/>
    </xf>
    <xf numFmtId="0" fontId="101" fillId="0" borderId="22" xfId="0" applyFont="1" applyBorder="1" applyAlignment="1" applyProtection="1">
      <alignment horizontal="center" vertical="center" wrapText="1"/>
      <protection hidden="1"/>
    </xf>
    <xf numFmtId="9" fontId="95" fillId="0" borderId="22" xfId="0" applyNumberFormat="1" applyFont="1" applyBorder="1" applyAlignment="1" applyProtection="1">
      <alignment horizontal="center" vertical="center" wrapText="1"/>
      <protection hidden="1"/>
    </xf>
    <xf numFmtId="9" fontId="95" fillId="0" borderId="22" xfId="0" applyNumberFormat="1" applyFont="1" applyBorder="1" applyAlignment="1" applyProtection="1">
      <alignment horizontal="center" vertical="center" wrapText="1"/>
      <protection locked="0"/>
    </xf>
    <xf numFmtId="0" fontId="49" fillId="0" borderId="22" xfId="0" applyFont="1" applyBorder="1" applyAlignment="1" applyProtection="1">
      <alignment horizontal="center" vertical="center" wrapText="1"/>
      <protection hidden="1"/>
    </xf>
    <xf numFmtId="0" fontId="95" fillId="0" borderId="21" xfId="0" applyFont="1" applyBorder="1" applyAlignment="1">
      <alignment horizontal="center" vertical="center" wrapText="1"/>
    </xf>
    <xf numFmtId="0" fontId="101" fillId="0" borderId="21" xfId="0" applyFont="1" applyBorder="1" applyAlignment="1" applyProtection="1">
      <alignment horizontal="center" vertical="center" wrapText="1"/>
      <protection hidden="1"/>
    </xf>
    <xf numFmtId="9" fontId="95" fillId="0" borderId="21" xfId="0" applyNumberFormat="1" applyFont="1" applyBorder="1" applyAlignment="1" applyProtection="1">
      <alignment horizontal="center" vertical="center" wrapText="1"/>
      <protection locked="0"/>
    </xf>
    <xf numFmtId="0" fontId="49" fillId="0" borderId="21" xfId="0" applyFont="1" applyBorder="1" applyAlignment="1" applyProtection="1">
      <alignment horizontal="center" vertical="center" wrapText="1"/>
      <protection hidden="1"/>
    </xf>
    <xf numFmtId="0" fontId="1" fillId="0" borderId="110" xfId="0" applyFont="1" applyBorder="1" applyAlignment="1" applyProtection="1">
      <alignment horizontal="center" vertical="center" wrapText="1"/>
      <protection locked="0"/>
    </xf>
    <xf numFmtId="0" fontId="95" fillId="0" borderId="110" xfId="0" applyFont="1" applyBorder="1" applyAlignment="1" applyProtection="1">
      <alignment horizontal="center" vertical="center"/>
      <protection locked="0"/>
    </xf>
    <xf numFmtId="0" fontId="1" fillId="0" borderId="110" xfId="0" applyFont="1" applyBorder="1" applyAlignment="1" applyProtection="1">
      <alignment horizontal="center" vertical="center"/>
      <protection locked="0"/>
    </xf>
    <xf numFmtId="0" fontId="1" fillId="0" borderId="21" xfId="0" applyFont="1" applyBorder="1" applyAlignment="1">
      <alignment horizontal="center" vertical="center"/>
    </xf>
    <xf numFmtId="0" fontId="46" fillId="3" borderId="21" xfId="0" applyFont="1" applyFill="1" applyBorder="1" applyAlignment="1" applyProtection="1">
      <alignment horizontal="center" vertical="center" wrapText="1"/>
      <protection locked="0"/>
    </xf>
    <xf numFmtId="0" fontId="46" fillId="0" borderId="21" xfId="0" quotePrefix="1" applyFont="1" applyBorder="1" applyAlignment="1" applyProtection="1">
      <alignment horizontal="center" vertical="center" wrapText="1"/>
      <protection locked="0"/>
    </xf>
    <xf numFmtId="164" fontId="95" fillId="0" borderId="110" xfId="1" applyNumberFormat="1" applyFont="1" applyBorder="1" applyAlignment="1">
      <alignment horizontal="center" vertical="center" wrapText="1"/>
    </xf>
    <xf numFmtId="0" fontId="1" fillId="3" borderId="21" xfId="0" applyFont="1" applyFill="1" applyBorder="1" applyAlignment="1" applyProtection="1">
      <alignment horizontal="center" vertical="center" wrapText="1"/>
      <protection locked="0"/>
    </xf>
    <xf numFmtId="0" fontId="1" fillId="0" borderId="111" xfId="0" applyFont="1" applyBorder="1" applyAlignment="1" applyProtection="1">
      <alignment horizontal="center" vertical="center" wrapText="1"/>
      <protection locked="0"/>
    </xf>
    <xf numFmtId="0" fontId="95" fillId="0" borderId="111" xfId="0" applyFont="1" applyBorder="1" applyAlignment="1" applyProtection="1">
      <alignment horizontal="center" vertical="center"/>
      <protection locked="0"/>
    </xf>
    <xf numFmtId="0" fontId="1" fillId="0" borderId="111" xfId="0" applyFont="1" applyBorder="1" applyAlignment="1" applyProtection="1">
      <alignment horizontal="center" vertical="center"/>
      <protection locked="0"/>
    </xf>
    <xf numFmtId="0" fontId="46"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95" fillId="0" borderId="22"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1" xfId="0" applyFont="1" applyBorder="1" applyAlignment="1" applyProtection="1">
      <alignment horizontal="center" vertical="center" wrapText="1"/>
      <protection locked="0"/>
    </xf>
    <xf numFmtId="0" fontId="1" fillId="0" borderId="113" xfId="0" applyFont="1" applyBorder="1" applyAlignment="1" applyProtection="1">
      <alignment horizontal="center" vertical="center" wrapText="1"/>
      <protection locked="0"/>
    </xf>
    <xf numFmtId="0" fontId="1" fillId="3" borderId="110" xfId="0" applyFont="1" applyFill="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9" fontId="95" fillId="0" borderId="22" xfId="0" applyNumberFormat="1" applyFont="1" applyBorder="1" applyAlignment="1" applyProtection="1">
      <alignment horizontal="center" vertical="center" wrapText="1"/>
      <protection hidden="1"/>
    </xf>
    <xf numFmtId="0" fontId="1" fillId="0" borderId="114" xfId="0" applyFont="1" applyBorder="1" applyAlignment="1" applyProtection="1">
      <alignment horizontal="center" vertical="center" wrapText="1"/>
      <protection locked="0"/>
    </xf>
    <xf numFmtId="0" fontId="1" fillId="0" borderId="110" xfId="0" applyFont="1" applyBorder="1" applyAlignment="1" applyProtection="1">
      <alignment horizontal="center" vertical="center" wrapText="1"/>
      <protection locked="0"/>
    </xf>
    <xf numFmtId="164" fontId="95" fillId="0" borderId="21" xfId="1" applyNumberFormat="1" applyFont="1" applyBorder="1" applyAlignment="1">
      <alignment horizontal="center"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8">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8</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ay\Downloads\GSI-CA-FO-09%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landeaccion\Downloads\mapaderiesgorecursosfisicos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NDRES\Downloads\Matriz%20de%20riesgos_RECURSOS%20F&#205;SICOS%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7" dataDxfId="36">
  <autoFilter ref="B209:C219" xr:uid="{00000000-0009-0000-0100-000001000000}"/>
  <tableColumns count="2">
    <tableColumn id="1" xr3:uid="{00000000-0010-0000-0000-000001000000}" name="Criterios" dataDxfId="35"/>
    <tableColumn id="2" xr3:uid="{00000000-0010-0000-0000-000002000000}" name="Subcriterios" dataDxfId="3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17" t="s">
        <v>267</v>
      </c>
      <c r="C2" s="218"/>
      <c r="D2" s="208" t="s">
        <v>205</v>
      </c>
      <c r="E2" s="209"/>
      <c r="F2" s="209"/>
      <c r="G2" s="209"/>
      <c r="H2" s="209"/>
      <c r="I2" s="209"/>
      <c r="J2" s="209"/>
      <c r="K2" s="209"/>
      <c r="L2" s="210"/>
      <c r="M2" s="223" t="s">
        <v>390</v>
      </c>
      <c r="N2" s="224"/>
    </row>
    <row r="3" spans="2:14" ht="29.25" customHeight="1" x14ac:dyDescent="0.25">
      <c r="B3" s="219"/>
      <c r="C3" s="220"/>
      <c r="D3" s="211"/>
      <c r="E3" s="212"/>
      <c r="F3" s="212"/>
      <c r="G3" s="212"/>
      <c r="H3" s="212"/>
      <c r="I3" s="212"/>
      <c r="J3" s="212"/>
      <c r="K3" s="212"/>
      <c r="L3" s="213"/>
      <c r="M3" s="225" t="s">
        <v>264</v>
      </c>
      <c r="N3" s="226"/>
    </row>
    <row r="4" spans="2:14" ht="29.25" customHeight="1" x14ac:dyDescent="0.25">
      <c r="B4" s="219"/>
      <c r="C4" s="220"/>
      <c r="D4" s="211"/>
      <c r="E4" s="212"/>
      <c r="F4" s="212"/>
      <c r="G4" s="212"/>
      <c r="H4" s="212"/>
      <c r="I4" s="212"/>
      <c r="J4" s="212"/>
      <c r="K4" s="212"/>
      <c r="L4" s="213"/>
      <c r="M4" s="225" t="s">
        <v>389</v>
      </c>
      <c r="N4" s="226"/>
    </row>
    <row r="5" spans="2:14" ht="29.25" customHeight="1" thickBot="1" x14ac:dyDescent="0.3">
      <c r="B5" s="221"/>
      <c r="C5" s="222"/>
      <c r="D5" s="214"/>
      <c r="E5" s="215"/>
      <c r="F5" s="215"/>
      <c r="G5" s="215"/>
      <c r="H5" s="215"/>
      <c r="I5" s="215"/>
      <c r="J5" s="215"/>
      <c r="K5" s="215"/>
      <c r="L5" s="216"/>
      <c r="M5" s="227" t="s">
        <v>245</v>
      </c>
      <c r="N5" s="228"/>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07" t="s">
        <v>309</v>
      </c>
      <c r="E31" s="207"/>
      <c r="N31" s="138"/>
    </row>
    <row r="32" spans="2:14" x14ac:dyDescent="0.25">
      <c r="B32" s="137"/>
      <c r="D32" s="207"/>
      <c r="E32" s="207"/>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43" t="s">
        <v>244</v>
      </c>
      <c r="C2" s="244"/>
      <c r="D2" s="231" t="s">
        <v>300</v>
      </c>
      <c r="E2" s="251" t="s">
        <v>377</v>
      </c>
      <c r="F2" s="224"/>
    </row>
    <row r="3" spans="1:8" ht="19.5" customHeight="1" x14ac:dyDescent="0.25">
      <c r="B3" s="219"/>
      <c r="C3" s="245"/>
      <c r="D3" s="232"/>
      <c r="E3" s="252" t="s">
        <v>264</v>
      </c>
      <c r="F3" s="226"/>
    </row>
    <row r="4" spans="1:8" ht="19.5" customHeight="1" x14ac:dyDescent="0.25">
      <c r="B4" s="219"/>
      <c r="C4" s="245"/>
      <c r="D4" s="232"/>
      <c r="E4" s="252" t="s">
        <v>389</v>
      </c>
      <c r="F4" s="226"/>
    </row>
    <row r="5" spans="1:8" ht="19.5" customHeight="1" thickBot="1" x14ac:dyDescent="0.3">
      <c r="A5" t="s">
        <v>266</v>
      </c>
      <c r="B5" s="221"/>
      <c r="C5" s="246"/>
      <c r="D5" s="233"/>
      <c r="E5" s="253" t="s">
        <v>245</v>
      </c>
      <c r="F5" s="228"/>
    </row>
    <row r="6" spans="1:8" ht="15.75" thickBot="1" x14ac:dyDescent="0.3"/>
    <row r="7" spans="1:8" x14ac:dyDescent="0.25">
      <c r="B7" s="234" t="s">
        <v>299</v>
      </c>
      <c r="C7" s="237" t="s">
        <v>268</v>
      </c>
      <c r="D7" s="238"/>
      <c r="E7" s="247" t="s">
        <v>270</v>
      </c>
      <c r="F7" s="248"/>
    </row>
    <row r="8" spans="1:8" ht="15.75" thickBot="1" x14ac:dyDescent="0.3">
      <c r="B8" s="235"/>
      <c r="C8" s="239"/>
      <c r="D8" s="240"/>
      <c r="E8" s="249"/>
      <c r="F8" s="250"/>
      <c r="H8" s="156">
        <f>+COUNTA($E$10:$E$28)</f>
        <v>0</v>
      </c>
    </row>
    <row r="9" spans="1:8" ht="15.75" thickBot="1" x14ac:dyDescent="0.3">
      <c r="B9" s="236"/>
      <c r="C9" s="241" t="s">
        <v>269</v>
      </c>
      <c r="D9" s="242"/>
      <c r="E9" s="153" t="s">
        <v>271</v>
      </c>
      <c r="F9" s="153" t="s">
        <v>272</v>
      </c>
      <c r="H9" s="156">
        <f>+COUNTA($F$10:$F$28)</f>
        <v>0</v>
      </c>
    </row>
    <row r="10" spans="1:8" ht="15.75" thickBot="1" x14ac:dyDescent="0.3">
      <c r="B10" s="152">
        <v>1</v>
      </c>
      <c r="C10" s="229" t="s">
        <v>273</v>
      </c>
      <c r="D10" s="230"/>
      <c r="E10" s="148"/>
      <c r="F10" s="149"/>
      <c r="H10" s="156">
        <f>+COUNTA($E$10:$E$28)-COUNTA(F10:F28)</f>
        <v>0</v>
      </c>
    </row>
    <row r="11" spans="1:8" ht="15.75" thickBot="1" x14ac:dyDescent="0.3">
      <c r="B11" s="152">
        <v>2</v>
      </c>
      <c r="C11" s="229" t="s">
        <v>275</v>
      </c>
      <c r="D11" s="230" t="s">
        <v>275</v>
      </c>
      <c r="E11" s="148"/>
      <c r="F11" s="149"/>
      <c r="H11" s="157"/>
    </row>
    <row r="12" spans="1:8" ht="15.75" thickBot="1" x14ac:dyDescent="0.3">
      <c r="B12" s="152">
        <v>3</v>
      </c>
      <c r="C12" s="229" t="s">
        <v>276</v>
      </c>
      <c r="D12" s="230" t="s">
        <v>276</v>
      </c>
      <c r="E12" s="148"/>
      <c r="F12" s="149"/>
    </row>
    <row r="13" spans="1:8" ht="15.75" thickBot="1" x14ac:dyDescent="0.3">
      <c r="B13" s="152">
        <v>4</v>
      </c>
      <c r="C13" s="229" t="s">
        <v>388</v>
      </c>
      <c r="D13" s="230" t="s">
        <v>277</v>
      </c>
      <c r="E13" s="148"/>
      <c r="F13" s="149"/>
    </row>
    <row r="14" spans="1:8" ht="15.75" thickBot="1" x14ac:dyDescent="0.3">
      <c r="B14" s="152">
        <v>5</v>
      </c>
      <c r="C14" s="229" t="s">
        <v>278</v>
      </c>
      <c r="D14" s="230" t="s">
        <v>278</v>
      </c>
      <c r="E14" s="148"/>
      <c r="F14" s="149"/>
    </row>
    <row r="15" spans="1:8" ht="15.75" thickBot="1" x14ac:dyDescent="0.3">
      <c r="B15" s="152">
        <v>6</v>
      </c>
      <c r="C15" s="229" t="s">
        <v>279</v>
      </c>
      <c r="D15" s="230" t="s">
        <v>279</v>
      </c>
      <c r="E15" s="148"/>
      <c r="F15" s="149"/>
    </row>
    <row r="16" spans="1:8" ht="15.75" thickBot="1" x14ac:dyDescent="0.3">
      <c r="B16" s="152">
        <v>7</v>
      </c>
      <c r="C16" s="229" t="s">
        <v>280</v>
      </c>
      <c r="D16" s="230" t="s">
        <v>280</v>
      </c>
      <c r="E16" s="148"/>
      <c r="F16" s="149"/>
    </row>
    <row r="17" spans="2:7" ht="28.5" customHeight="1" thickBot="1" x14ac:dyDescent="0.3">
      <c r="B17" s="152">
        <v>8</v>
      </c>
      <c r="C17" s="229" t="s">
        <v>281</v>
      </c>
      <c r="D17" s="230" t="s">
        <v>281</v>
      </c>
      <c r="E17" s="148"/>
      <c r="F17" s="149"/>
    </row>
    <row r="18" spans="2:7" ht="18.75" customHeight="1" thickBot="1" x14ac:dyDescent="0.3">
      <c r="B18" s="152">
        <v>9</v>
      </c>
      <c r="C18" s="229" t="s">
        <v>282</v>
      </c>
      <c r="D18" s="230" t="s">
        <v>282</v>
      </c>
      <c r="E18" s="148"/>
      <c r="F18" s="149"/>
    </row>
    <row r="19" spans="2:7" ht="15.75" thickBot="1" x14ac:dyDescent="0.3">
      <c r="B19" s="152">
        <v>10</v>
      </c>
      <c r="C19" s="229" t="s">
        <v>283</v>
      </c>
      <c r="D19" s="230" t="s">
        <v>283</v>
      </c>
      <c r="E19" s="148"/>
      <c r="F19" s="149"/>
    </row>
    <row r="20" spans="2:7" ht="15.75" thickBot="1" x14ac:dyDescent="0.3">
      <c r="B20" s="152">
        <v>11</v>
      </c>
      <c r="C20" s="229" t="s">
        <v>284</v>
      </c>
      <c r="D20" s="230" t="s">
        <v>284</v>
      </c>
      <c r="E20" s="148"/>
      <c r="F20" s="149"/>
    </row>
    <row r="21" spans="2:7" ht="15.75" thickBot="1" x14ac:dyDescent="0.3">
      <c r="B21" s="152">
        <v>12</v>
      </c>
      <c r="C21" s="229" t="s">
        <v>285</v>
      </c>
      <c r="D21" s="230" t="s">
        <v>285</v>
      </c>
      <c r="E21" s="148"/>
      <c r="F21" s="149"/>
    </row>
    <row r="22" spans="2:7" ht="15.75" thickBot="1" x14ac:dyDescent="0.3">
      <c r="B22" s="152">
        <v>13</v>
      </c>
      <c r="C22" s="229" t="s">
        <v>286</v>
      </c>
      <c r="D22" s="230" t="s">
        <v>286</v>
      </c>
      <c r="E22" s="148"/>
      <c r="F22" s="149"/>
    </row>
    <row r="23" spans="2:7" ht="15.75" thickBot="1" x14ac:dyDescent="0.3">
      <c r="B23" s="152">
        <v>14</v>
      </c>
      <c r="C23" s="229" t="s">
        <v>287</v>
      </c>
      <c r="D23" s="230" t="s">
        <v>287</v>
      </c>
      <c r="E23" s="148"/>
      <c r="F23" s="149"/>
    </row>
    <row r="24" spans="2:7" ht="15.75" thickBot="1" x14ac:dyDescent="0.3">
      <c r="B24" s="152">
        <v>15</v>
      </c>
      <c r="C24" s="229" t="s">
        <v>288</v>
      </c>
      <c r="D24" s="230" t="s">
        <v>288</v>
      </c>
      <c r="E24" s="148"/>
      <c r="F24" s="149"/>
    </row>
    <row r="25" spans="2:7" ht="15.75" thickBot="1" x14ac:dyDescent="0.3">
      <c r="B25" s="152">
        <v>16</v>
      </c>
      <c r="C25" s="229" t="s">
        <v>289</v>
      </c>
      <c r="D25" s="230" t="s">
        <v>289</v>
      </c>
      <c r="E25" s="148"/>
      <c r="F25" s="149"/>
    </row>
    <row r="26" spans="2:7" ht="15.75" thickBot="1" x14ac:dyDescent="0.3">
      <c r="B26" s="152">
        <v>17</v>
      </c>
      <c r="C26" s="229" t="s">
        <v>290</v>
      </c>
      <c r="D26" s="230" t="s">
        <v>290</v>
      </c>
      <c r="E26" s="148"/>
      <c r="F26" s="149"/>
    </row>
    <row r="27" spans="2:7" ht="15.75" thickBot="1" x14ac:dyDescent="0.3">
      <c r="B27" s="152">
        <v>18</v>
      </c>
      <c r="C27" s="229" t="s">
        <v>291</v>
      </c>
      <c r="D27" s="230" t="s">
        <v>291</v>
      </c>
      <c r="E27" s="148"/>
      <c r="F27" s="149"/>
    </row>
    <row r="28" spans="2:7" ht="15.75" thickBot="1" x14ac:dyDescent="0.3">
      <c r="B28" s="152">
        <v>19</v>
      </c>
      <c r="C28" s="229" t="s">
        <v>292</v>
      </c>
      <c r="D28" s="230"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33" priority="1" stopIfTrue="1" operator="equal">
      <formula>"Catastrófico"</formula>
    </cfRule>
    <cfRule type="cellIs" dxfId="32" priority="2" stopIfTrue="1" operator="equal">
      <formula>"Moderado"</formula>
    </cfRule>
    <cfRule type="cellIs" dxfId="31"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31"/>
  <sheetViews>
    <sheetView showGridLines="0" zoomScale="50" zoomScaleNormal="50" workbookViewId="0">
      <pane ySplit="10" topLeftCell="A11" activePane="bottomLeft" state="frozen"/>
      <selection pane="bottomLeft"/>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8" width="12" style="182" customWidth="1"/>
    <col min="9" max="9" width="31" style="182" customWidth="1"/>
    <col min="10" max="10" width="16.28515625" style="182" hidden="1" customWidth="1"/>
    <col min="11" max="11" width="25.5703125" style="182" customWidth="1"/>
    <col min="12" max="12" width="45.5703125" style="181" customWidth="1"/>
    <col min="13" max="15" width="19" style="183" customWidth="1"/>
    <col min="16" max="16" width="17.7109375" style="181" customWidth="1"/>
    <col min="17" max="17" width="16.42578125" style="181" customWidth="1"/>
    <col min="18" max="18" width="6.28515625" style="181" bestFit="1" customWidth="1"/>
    <col min="19" max="19" width="27.28515625" style="181" bestFit="1" customWidth="1"/>
    <col min="20" max="20" width="17" style="181" customWidth="1"/>
    <col min="21" max="21" width="17.42578125" style="181" customWidth="1"/>
    <col min="22" max="22" width="6.28515625" style="181" bestFit="1" customWidth="1"/>
    <col min="23" max="23" width="16" style="181" customWidth="1"/>
    <col min="24" max="24" width="5.7109375" style="181" customWidth="1"/>
    <col min="25" max="25" width="59.28515625" style="181" customWidth="1"/>
    <col min="26" max="26" width="77.5703125"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3" width="8" style="181" customWidth="1"/>
    <col min="34" max="34" width="12.570312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41" style="181" customWidth="1"/>
    <col min="43" max="43" width="46.4257812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269" t="s">
        <v>301</v>
      </c>
      <c r="E2" s="270"/>
      <c r="F2" s="270"/>
      <c r="G2" s="270"/>
      <c r="H2" s="270"/>
      <c r="I2" s="275" t="s">
        <v>205</v>
      </c>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83" t="s">
        <v>377</v>
      </c>
      <c r="BB2" s="284"/>
    </row>
    <row r="3" spans="1:80" ht="27.75" customHeight="1" x14ac:dyDescent="0.2">
      <c r="D3" s="271"/>
      <c r="E3" s="272"/>
      <c r="F3" s="272"/>
      <c r="G3" s="272"/>
      <c r="H3" s="272"/>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85" t="s">
        <v>242</v>
      </c>
      <c r="BB3" s="285"/>
    </row>
    <row r="4" spans="1:80" ht="27.75" customHeight="1" x14ac:dyDescent="0.2">
      <c r="D4" s="271"/>
      <c r="E4" s="272"/>
      <c r="F4" s="272"/>
      <c r="G4" s="272"/>
      <c r="H4" s="272"/>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85" t="s">
        <v>389</v>
      </c>
      <c r="BB4" s="285"/>
    </row>
    <row r="5" spans="1:80" ht="27.75" customHeight="1" thickBot="1" x14ac:dyDescent="0.25">
      <c r="D5" s="273"/>
      <c r="E5" s="274"/>
      <c r="F5" s="274"/>
      <c r="G5" s="274"/>
      <c r="H5" s="274"/>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85" t="s">
        <v>206</v>
      </c>
      <c r="BB5" s="285"/>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263" t="s">
        <v>42</v>
      </c>
      <c r="E7" s="264"/>
      <c r="F7" s="264"/>
      <c r="G7" s="265"/>
      <c r="H7" s="276" t="s">
        <v>398</v>
      </c>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8"/>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54" customHeight="1" x14ac:dyDescent="0.2">
      <c r="D8" s="263" t="s">
        <v>129</v>
      </c>
      <c r="E8" s="264"/>
      <c r="F8" s="264"/>
      <c r="G8" s="265"/>
      <c r="H8" s="276" t="s">
        <v>399</v>
      </c>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8"/>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263" t="s">
        <v>43</v>
      </c>
      <c r="E9" s="264"/>
      <c r="F9" s="264"/>
      <c r="G9" s="265"/>
      <c r="H9" s="276" t="s">
        <v>400</v>
      </c>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8"/>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300" t="s">
        <v>266</v>
      </c>
      <c r="B11" s="300"/>
      <c r="C11" s="301"/>
      <c r="D11" s="303" t="s">
        <v>304</v>
      </c>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5" t="s">
        <v>302</v>
      </c>
      <c r="AW11" s="306"/>
      <c r="AX11" s="306"/>
      <c r="AY11" s="307"/>
      <c r="AZ11" s="308" t="s">
        <v>303</v>
      </c>
      <c r="BA11" s="309"/>
      <c r="BB11" s="310"/>
    </row>
    <row r="12" spans="1:80" ht="15.75" x14ac:dyDescent="0.2">
      <c r="D12" s="268" t="s">
        <v>137</v>
      </c>
      <c r="E12" s="268"/>
      <c r="F12" s="268"/>
      <c r="G12" s="268"/>
      <c r="H12" s="268"/>
      <c r="I12" s="254"/>
      <c r="J12" s="254"/>
      <c r="K12" s="254"/>
      <c r="L12" s="254"/>
      <c r="M12" s="254"/>
      <c r="N12" s="254"/>
      <c r="O12" s="254"/>
      <c r="P12" s="254"/>
      <c r="Q12" s="254" t="s">
        <v>138</v>
      </c>
      <c r="R12" s="254"/>
      <c r="S12" s="254"/>
      <c r="T12" s="254"/>
      <c r="U12" s="254"/>
      <c r="V12" s="254"/>
      <c r="W12" s="254"/>
      <c r="X12" s="254" t="s">
        <v>139</v>
      </c>
      <c r="Y12" s="254"/>
      <c r="Z12" s="254"/>
      <c r="AA12" s="254"/>
      <c r="AB12" s="254"/>
      <c r="AC12" s="254"/>
      <c r="AD12" s="254"/>
      <c r="AE12" s="254"/>
      <c r="AF12" s="254"/>
      <c r="AG12" s="254"/>
      <c r="AH12" s="297" t="s">
        <v>18</v>
      </c>
      <c r="AI12" s="254" t="s">
        <v>140</v>
      </c>
      <c r="AJ12" s="254"/>
      <c r="AK12" s="254"/>
      <c r="AL12" s="254"/>
      <c r="AM12" s="254"/>
      <c r="AN12" s="254"/>
      <c r="AO12" s="254"/>
      <c r="AP12" s="288" t="s">
        <v>34</v>
      </c>
      <c r="AQ12" s="289"/>
      <c r="AR12" s="289"/>
      <c r="AS12" s="289"/>
      <c r="AT12" s="289"/>
      <c r="AU12" s="289"/>
      <c r="AV12" s="289"/>
      <c r="AW12" s="289"/>
      <c r="AX12" s="289"/>
      <c r="AY12" s="289"/>
      <c r="AZ12" s="289"/>
      <c r="BA12" s="289"/>
      <c r="BB12" s="289"/>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02" t="s">
        <v>0</v>
      </c>
      <c r="E13" s="256" t="s">
        <v>311</v>
      </c>
      <c r="F13" s="192"/>
      <c r="G13" s="192"/>
      <c r="H13" s="268" t="s">
        <v>224</v>
      </c>
      <c r="I13" s="256" t="s">
        <v>307</v>
      </c>
      <c r="J13" s="193"/>
      <c r="K13" s="256" t="s">
        <v>308</v>
      </c>
      <c r="L13" s="268" t="s">
        <v>1</v>
      </c>
      <c r="M13" s="279" t="s">
        <v>49</v>
      </c>
      <c r="N13" s="295" t="s">
        <v>392</v>
      </c>
      <c r="O13" s="296"/>
      <c r="P13" s="256" t="s">
        <v>133</v>
      </c>
      <c r="Q13" s="256" t="s">
        <v>33</v>
      </c>
      <c r="R13" s="268" t="s">
        <v>5</v>
      </c>
      <c r="S13" s="256" t="s">
        <v>86</v>
      </c>
      <c r="T13" s="256" t="s">
        <v>91</v>
      </c>
      <c r="U13" s="256" t="s">
        <v>44</v>
      </c>
      <c r="V13" s="268" t="s">
        <v>5</v>
      </c>
      <c r="W13" s="256" t="s">
        <v>47</v>
      </c>
      <c r="X13" s="255" t="s">
        <v>11</v>
      </c>
      <c r="Y13" s="256" t="s">
        <v>159</v>
      </c>
      <c r="Z13" s="256" t="s">
        <v>204</v>
      </c>
      <c r="AA13" s="256" t="s">
        <v>12</v>
      </c>
      <c r="AB13" s="256" t="s">
        <v>8</v>
      </c>
      <c r="AC13" s="256"/>
      <c r="AD13" s="256"/>
      <c r="AE13" s="256"/>
      <c r="AF13" s="256"/>
      <c r="AG13" s="256"/>
      <c r="AH13" s="298"/>
      <c r="AI13" s="255" t="s">
        <v>136</v>
      </c>
      <c r="AJ13" s="255" t="s">
        <v>45</v>
      </c>
      <c r="AK13" s="255" t="s">
        <v>5</v>
      </c>
      <c r="AL13" s="255" t="s">
        <v>46</v>
      </c>
      <c r="AM13" s="255" t="s">
        <v>5</v>
      </c>
      <c r="AN13" s="255" t="s">
        <v>48</v>
      </c>
      <c r="AO13" s="255" t="s">
        <v>29</v>
      </c>
      <c r="AP13" s="256" t="s">
        <v>34</v>
      </c>
      <c r="AQ13" s="256" t="s">
        <v>35</v>
      </c>
      <c r="AR13" s="256" t="s">
        <v>36</v>
      </c>
      <c r="AS13" s="256" t="s">
        <v>37</v>
      </c>
      <c r="AT13" s="256" t="s">
        <v>212</v>
      </c>
      <c r="AU13" s="256" t="s">
        <v>38</v>
      </c>
      <c r="AV13" s="291" t="s">
        <v>37</v>
      </c>
      <c r="AW13" s="281" t="s">
        <v>213</v>
      </c>
      <c r="AX13" s="281" t="s">
        <v>38</v>
      </c>
      <c r="AY13" s="286" t="s">
        <v>243</v>
      </c>
      <c r="AZ13" s="290" t="s">
        <v>37</v>
      </c>
      <c r="BA13" s="290" t="s">
        <v>214</v>
      </c>
      <c r="BB13" s="290"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02"/>
      <c r="E14" s="256"/>
      <c r="F14" s="192" t="s">
        <v>2</v>
      </c>
      <c r="G14" s="193" t="s">
        <v>317</v>
      </c>
      <c r="H14" s="268"/>
      <c r="I14" s="256"/>
      <c r="J14" s="193" t="s">
        <v>367</v>
      </c>
      <c r="K14" s="256"/>
      <c r="L14" s="268"/>
      <c r="M14" s="280"/>
      <c r="N14" s="206" t="s">
        <v>240</v>
      </c>
      <c r="O14" s="206" t="s">
        <v>241</v>
      </c>
      <c r="P14" s="256"/>
      <c r="Q14" s="256"/>
      <c r="R14" s="268"/>
      <c r="S14" s="256"/>
      <c r="T14" s="256"/>
      <c r="U14" s="268"/>
      <c r="V14" s="268"/>
      <c r="W14" s="256"/>
      <c r="X14" s="255"/>
      <c r="Y14" s="256"/>
      <c r="Z14" s="256"/>
      <c r="AA14" s="256"/>
      <c r="AB14" s="195" t="s">
        <v>13</v>
      </c>
      <c r="AC14" s="195" t="s">
        <v>17</v>
      </c>
      <c r="AD14" s="195" t="s">
        <v>28</v>
      </c>
      <c r="AE14" s="195" t="s">
        <v>18</v>
      </c>
      <c r="AF14" s="195" t="s">
        <v>21</v>
      </c>
      <c r="AG14" s="195" t="s">
        <v>24</v>
      </c>
      <c r="AH14" s="299"/>
      <c r="AI14" s="255"/>
      <c r="AJ14" s="255"/>
      <c r="AK14" s="255"/>
      <c r="AL14" s="255"/>
      <c r="AM14" s="255"/>
      <c r="AN14" s="255"/>
      <c r="AO14" s="255"/>
      <c r="AP14" s="256"/>
      <c r="AQ14" s="256"/>
      <c r="AR14" s="256"/>
      <c r="AS14" s="256"/>
      <c r="AT14" s="256"/>
      <c r="AU14" s="256"/>
      <c r="AV14" s="292"/>
      <c r="AW14" s="282"/>
      <c r="AX14" s="282"/>
      <c r="AY14" s="287"/>
      <c r="AZ14" s="290"/>
      <c r="BA14" s="290"/>
      <c r="BB14" s="290"/>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145.5" customHeight="1" x14ac:dyDescent="0.25">
      <c r="D15" s="586">
        <v>1</v>
      </c>
      <c r="E15" s="590" t="s">
        <v>379</v>
      </c>
      <c r="F15" s="590" t="s">
        <v>132</v>
      </c>
      <c r="G15" s="590" t="s">
        <v>313</v>
      </c>
      <c r="H15" s="590" t="s">
        <v>227</v>
      </c>
      <c r="I15" s="625" t="s">
        <v>402</v>
      </c>
      <c r="J15" s="591"/>
      <c r="K15" s="625" t="s">
        <v>403</v>
      </c>
      <c r="L15" s="625" t="s">
        <v>404</v>
      </c>
      <c r="M15" s="592" t="s">
        <v>127</v>
      </c>
      <c r="N15" s="592" t="s">
        <v>232</v>
      </c>
      <c r="O15" s="626" t="s">
        <v>235</v>
      </c>
      <c r="P15" s="627">
        <v>365</v>
      </c>
      <c r="Q15" s="593" t="str">
        <f>IF(P15&lt;=0,"",IF(P15&lt;=2,"Muy Baja",IF(P15&lt;=24,"Baja",IF(P15&lt;=500,"Media",IF(P15&lt;=5000,"Alta","Muy Alta")))))</f>
        <v>Media</v>
      </c>
      <c r="R15" s="594">
        <f>IF(Q15="","",IF(Q15="Muy Baja",0.2,IF(Q15="Baja",0.4,IF(Q15="Media",0.6,IF(Q15="Alta",0.8,IF(Q15="Muy Alta",1,))))))</f>
        <v>0.6</v>
      </c>
      <c r="S15" s="595" t="s">
        <v>151</v>
      </c>
      <c r="T15" s="594" t="str">
        <f ca="1">IF(NOT(ISERROR(MATCH(S15,'[2]Tabla Impacto'!$B$221:$B$223,0))),'[2]Tabla Impacto'!$F$223&amp;"Por favor no seleccionar los criterios de impacto(Afectación Económica o presupuestal y Pérdida Reputacional)",S15)</f>
        <v xml:space="preserve">     El riesgo afecta la imagen de la entidad con algunos usuarios de relevancia frente al logro de los objetivos</v>
      </c>
      <c r="U15" s="596" t="str">
        <f ca="1">IF(OR(T15='[3]Tabla Impacto'!$C$11,T15='[3]Tabla Impacto'!$D$11),"Leve",IF(OR(T15='[3]Tabla Impacto'!$C$12,T15='[3]Tabla Impacto'!$D$12),"Menor",IF(OR(T15='[3]Tabla Impacto'!$C$13,T15='[3]Tabla Impacto'!$D$13),"Moderado",IF(OR(T15='[3]Tabla Impacto'!$C$14,T15='[3]Tabla Impacto'!$D$14),"Mayor",IF(OR(T15='[3]Tabla Impacto'!$C$15,T15='[3]Tabla Impacto'!$D$15),"Catastrófico","")))))</f>
        <v>Moderado</v>
      </c>
      <c r="V15" s="594">
        <f ca="1">IF(U15="","",IF(U15="Leve",0.2,IF(U15="Menor",0.4,IF(U15="Moderado",0.6,IF(U15="Mayor",0.8,IF(U15="Catastrófico",1,))))))</f>
        <v>0.6</v>
      </c>
      <c r="W15" s="593"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Moderado</v>
      </c>
      <c r="X15" s="628">
        <v>1</v>
      </c>
      <c r="Y15" s="629" t="s">
        <v>443</v>
      </c>
      <c r="Z15" s="630" t="s">
        <v>444</v>
      </c>
      <c r="AA15" s="597" t="str">
        <f>IF(OR(AB15="Preventivo",AB15="Detectivo"),"Probabilidad",IF(AB15="Correctivo","Impacto",""))</f>
        <v>Probabilidad</v>
      </c>
      <c r="AB15" s="598" t="s">
        <v>14</v>
      </c>
      <c r="AC15" s="598" t="s">
        <v>9</v>
      </c>
      <c r="AD15" s="599" t="str">
        <f>IF(AND(AB15="Preventivo",AC15="Automático"),"50%",IF(AND(AB15="Preventivo",AC15="Manual"),"40%",IF(AND(AB15="Detectivo",AC15="Automático"),"40%",IF(AND(AB15="Detectivo",AC15="Manual"),"30%",IF(AND(AB15="Correctivo",AC15="Automático"),"35%",IF(AND(AB15="Correctivo",AC15="Manual"),"25%",""))))))</f>
        <v>40%</v>
      </c>
      <c r="AE15" s="598" t="s">
        <v>429</v>
      </c>
      <c r="AF15" s="598" t="s">
        <v>23</v>
      </c>
      <c r="AG15" s="598" t="s">
        <v>119</v>
      </c>
      <c r="AH15" s="591" t="s">
        <v>430</v>
      </c>
      <c r="AI15" s="631">
        <f>IFERROR(IF(AA15="Probabilidad",(R15-(+R15*AD15)),IF(AA15="Impacto",R15,"")),"")</f>
        <v>0.36</v>
      </c>
      <c r="AJ15" s="600" t="str">
        <f>IFERROR(IF(AI15="","",IF(AI15&lt;=0.2,"Muy Baja",IF(AI15&lt;=0.4,"Baja",IF(AI15&lt;=0.6,"Media",IF(AI15&lt;=0.8,"Alta","Muy Alta"))))),"")</f>
        <v>Baja</v>
      </c>
      <c r="AK15" s="599">
        <f t="shared" ref="AK15" si="0">+AI15</f>
        <v>0.36</v>
      </c>
      <c r="AL15" s="600" t="str">
        <f ca="1">IFERROR(IF(AM15="","",IF(AM15&lt;=0.2,"Leve",IF(AM15&lt;=0.4,"Menor",IF(AM15&lt;=0.6,"Moderado",IF(AM15&lt;=0.8,"Mayor","Catastrófico"))))),"")</f>
        <v>Moderado</v>
      </c>
      <c r="AM15" s="599">
        <f ca="1">IFERROR(IF(AA15="Impacto",(V15-(+V15*AD15)),IF(AA15="Probabilidad",V15,"")),"")</f>
        <v>0.6</v>
      </c>
      <c r="AN15" s="600"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Moderado</v>
      </c>
      <c r="AO15" s="598" t="s">
        <v>134</v>
      </c>
      <c r="AP15" s="632" t="s">
        <v>431</v>
      </c>
      <c r="AQ15" s="632" t="s">
        <v>432</v>
      </c>
      <c r="AR15" s="601">
        <v>45687</v>
      </c>
      <c r="AS15" s="601"/>
      <c r="AT15" s="591"/>
      <c r="AU15" s="591"/>
      <c r="AV15" s="601"/>
      <c r="AW15" s="591"/>
      <c r="AX15" s="591"/>
      <c r="AY15" s="591"/>
      <c r="AZ15" s="601"/>
      <c r="BA15" s="591"/>
      <c r="BB15" s="591"/>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row>
    <row r="16" spans="1:80" s="198" customFormat="1" ht="123" customHeight="1" x14ac:dyDescent="0.25">
      <c r="D16" s="587"/>
      <c r="E16" s="602"/>
      <c r="F16" s="602"/>
      <c r="G16" s="602"/>
      <c r="H16" s="602"/>
      <c r="I16" s="633"/>
      <c r="J16" s="603"/>
      <c r="K16" s="633"/>
      <c r="L16" s="633"/>
      <c r="M16" s="604"/>
      <c r="N16" s="604"/>
      <c r="O16" s="634"/>
      <c r="P16" s="635"/>
      <c r="Q16" s="605"/>
      <c r="R16" s="606"/>
      <c r="S16" s="607"/>
      <c r="T16" s="606"/>
      <c r="U16" s="608"/>
      <c r="V16" s="606"/>
      <c r="W16" s="605"/>
      <c r="X16" s="628">
        <v>2</v>
      </c>
      <c r="Y16" s="636" t="s">
        <v>419</v>
      </c>
      <c r="Z16" s="630" t="s">
        <v>445</v>
      </c>
      <c r="AA16" s="609" t="str">
        <f t="shared" ref="AA16:AA24" si="2">IF(OR(AB16="Preventivo",AB16="Detectivo"),"Probabilidad",IF(AB16="Correctivo","Impacto",""))</f>
        <v>Probabilidad</v>
      </c>
      <c r="AB16" s="610" t="s">
        <v>15</v>
      </c>
      <c r="AC16" s="598" t="s">
        <v>9</v>
      </c>
      <c r="AD16" s="611" t="str">
        <f t="shared" ref="AD16:AD24" si="3">IF(AND(AB16="Preventivo",AC16="Automático"),"50%",IF(AND(AB16="Preventivo",AC16="Manual"),"40%",IF(AND(AB16="Detectivo",AC16="Automático"),"40%",IF(AND(AB16="Detectivo",AC16="Manual"),"30%",IF(AND(AB16="Correctivo",AC16="Automático"),"35%",IF(AND(AB16="Correctivo",AC16="Manual"),"25%",""))))))</f>
        <v>30%</v>
      </c>
      <c r="AE16" s="598" t="s">
        <v>429</v>
      </c>
      <c r="AF16" s="610" t="s">
        <v>22</v>
      </c>
      <c r="AG16" s="610" t="s">
        <v>118</v>
      </c>
      <c r="AH16" s="591" t="s">
        <v>430</v>
      </c>
      <c r="AI16" s="612">
        <f>IFERROR(IF(AND(AA15="Probabilidad",AA16="Probabilidad"),(AK15-(+AK15*AD16)),IF(AA16="Probabilidad",(S15-(+S15*AA16)),IF(AA16="Impacto",AK15,""))),"")</f>
        <v>0.252</v>
      </c>
      <c r="AJ16" s="613" t="str">
        <f t="shared" ref="AJ16:AJ24" si="4">IFERROR(IF(AI16="","",IF(AI16&lt;=0.2,"Muy Baja",IF(AI16&lt;=0.4,"Baja",IF(AI16&lt;=0.6,"Media",IF(AI16&lt;=0.8,"Alta","Muy Alta"))))),"")</f>
        <v>Baja</v>
      </c>
      <c r="AK16" s="611">
        <f>+AI16</f>
        <v>0.252</v>
      </c>
      <c r="AL16" s="613" t="str">
        <f t="shared" ref="AL16:AL24" si="5">IFERROR(IF(AM16="","",IF(AM16&lt;=0.2,"Leve",IF(AM16&lt;=0.4,"Menor",IF(AM16&lt;=0.6,"Moderado",IF(AM16&lt;=0.8,"Mayor","Catastrófico"))))),"")</f>
        <v>Leve</v>
      </c>
      <c r="AM16" s="611">
        <f t="shared" ref="AM16:AM24" si="6">IFERROR(IF(AA16="Impacto",(V16-(+V16*AD16)),IF(AA16="Probabilidad",V16,"")),"")</f>
        <v>0</v>
      </c>
      <c r="AN16" s="613" t="str">
        <f t="shared" ref="AN16:AN24" si="7">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Bajo</v>
      </c>
      <c r="AO16" s="598" t="s">
        <v>134</v>
      </c>
      <c r="AP16" s="589" t="s">
        <v>433</v>
      </c>
      <c r="AQ16" s="632" t="s">
        <v>434</v>
      </c>
      <c r="AR16" s="601">
        <v>45687</v>
      </c>
      <c r="AS16" s="614"/>
      <c r="AT16" s="603"/>
      <c r="AU16" s="603"/>
      <c r="AV16" s="614"/>
      <c r="AW16" s="603"/>
      <c r="AX16" s="603"/>
      <c r="AY16" s="603"/>
      <c r="AZ16" s="614"/>
      <c r="BA16" s="603"/>
      <c r="BB16" s="603"/>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row>
    <row r="17" spans="4:80" s="198" customFormat="1" ht="94.5" customHeight="1" x14ac:dyDescent="0.25">
      <c r="D17" s="588"/>
      <c r="E17" s="615"/>
      <c r="F17" s="615"/>
      <c r="G17" s="615"/>
      <c r="H17" s="615"/>
      <c r="I17" s="637"/>
      <c r="J17" s="603"/>
      <c r="K17" s="637"/>
      <c r="L17" s="637"/>
      <c r="M17" s="616"/>
      <c r="N17" s="616"/>
      <c r="O17" s="638"/>
      <c r="P17" s="639"/>
      <c r="Q17" s="617"/>
      <c r="R17" s="618"/>
      <c r="S17" s="619"/>
      <c r="T17" s="618"/>
      <c r="U17" s="620"/>
      <c r="V17" s="618"/>
      <c r="W17" s="617"/>
      <c r="X17" s="628">
        <v>3</v>
      </c>
      <c r="Y17" s="636" t="s">
        <v>420</v>
      </c>
      <c r="Z17" s="630" t="s">
        <v>446</v>
      </c>
      <c r="AA17" s="609" t="str">
        <f t="shared" si="2"/>
        <v>Probabilidad</v>
      </c>
      <c r="AB17" s="610" t="s">
        <v>15</v>
      </c>
      <c r="AC17" s="598" t="s">
        <v>9</v>
      </c>
      <c r="AD17" s="611" t="str">
        <f t="shared" si="3"/>
        <v>30%</v>
      </c>
      <c r="AE17" s="598" t="s">
        <v>429</v>
      </c>
      <c r="AF17" s="610" t="s">
        <v>22</v>
      </c>
      <c r="AG17" s="610" t="s">
        <v>118</v>
      </c>
      <c r="AH17" s="591" t="s">
        <v>430</v>
      </c>
      <c r="AI17" s="612">
        <f>IFERROR(IF(AND(AA16="Probabilidad",AA17="Probabilidad"),(AK16-(+AK16*AD17)),IF(AA17="Probabilidad",(S16-(+S16*AA17)),IF(AA17="Impacto",AK16,""))),"")</f>
        <v>0.1764</v>
      </c>
      <c r="AJ17" s="613" t="str">
        <f t="shared" si="4"/>
        <v>Muy Baja</v>
      </c>
      <c r="AK17" s="611">
        <f>+AI17</f>
        <v>0.1764</v>
      </c>
      <c r="AL17" s="613" t="str">
        <f t="shared" ref="AL17" si="8">IFERROR(IF(AM17="","",IF(AM17&lt;=0.2,"Leve",IF(AM17&lt;=0.4,"Menor",IF(AM17&lt;=0.6,"Moderado",IF(AM17&lt;=0.8,"Mayor","Catastrófico"))))),"")</f>
        <v>Leve</v>
      </c>
      <c r="AM17" s="611">
        <f t="shared" ref="AM17" si="9">IFERROR(IF(AA17="Impacto",(V17-(+V17*AD17)),IF(AA17="Probabilidad",V17,"")),"")</f>
        <v>0</v>
      </c>
      <c r="AN17" s="613" t="str">
        <f t="shared" ref="AN17" si="10">IFERROR(IF(OR(AND(AJ17="Muy Baja",AL17="Leve"),AND(AJ17="Muy Baja",AL17="Menor"),AND(AJ17="Baja",AL17="Leve")),"Bajo",IF(OR(AND(AJ17="Muy baja",AL17="Moderado"),AND(AJ17="Baja",AL17="Menor"),AND(AJ17="Baja",AL17="Moderado"),AND(AJ17="Media",AL17="Leve"),AND(AJ17="Media",AL17="Menor"),AND(AJ17="Media",AL17="Moderado"),AND(AJ17="Alta",AL17="Leve"),AND(AJ17="Alta",AL17="Menor")),"Moderado",IF(OR(AND(AJ17="Muy Baja",AL17="Mayor"),AND(AJ17="Baja",AL17="Mayor"),AND(AJ17="Media",AL17="Mayor"),AND(AJ17="Alta",AL17="Moderado"),AND(AJ17="Alta",AL17="Mayor"),AND(AJ17="Muy Alta",AL17="Leve"),AND(AJ17="Muy Alta",AL17="Menor"),AND(AJ17="Muy Alta",AL17="Moderado"),AND(AJ17="Muy Alta",AL17="Mayor")),"Alto",IF(OR(AND(AJ17="Muy Baja",AL17="Catastrófico"),AND(AJ17="Baja",AL17="Catastrófico"),AND(AJ17="Media",AL17="Catastrófico"),AND(AJ17="Alta",AL17="Catastrófico"),AND(AJ17="Muy Alta",AL17="Catastrófico")),"Extremo","")))),"")</f>
        <v>Bajo</v>
      </c>
      <c r="AO17" s="598" t="s">
        <v>134</v>
      </c>
      <c r="AP17" s="589" t="s">
        <v>435</v>
      </c>
      <c r="AQ17" s="632" t="s">
        <v>434</v>
      </c>
      <c r="AR17" s="601">
        <v>45687</v>
      </c>
      <c r="AS17" s="614"/>
      <c r="AT17" s="603"/>
      <c r="AU17" s="603"/>
      <c r="AV17" s="614"/>
      <c r="AW17" s="603"/>
      <c r="AX17" s="603"/>
      <c r="AY17" s="603"/>
      <c r="AZ17" s="614"/>
      <c r="BA17" s="603"/>
      <c r="BB17" s="603"/>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row>
    <row r="18" spans="4:80" s="198" customFormat="1" ht="120" customHeight="1" x14ac:dyDescent="0.25">
      <c r="D18" s="586">
        <v>2</v>
      </c>
      <c r="E18" s="590" t="s">
        <v>219</v>
      </c>
      <c r="F18" s="590" t="s">
        <v>132</v>
      </c>
      <c r="G18" s="590" t="s">
        <v>313</v>
      </c>
      <c r="H18" s="590" t="s">
        <v>226</v>
      </c>
      <c r="I18" s="625" t="s">
        <v>405</v>
      </c>
      <c r="J18" s="603"/>
      <c r="K18" s="640" t="s">
        <v>410</v>
      </c>
      <c r="L18" s="640" t="s">
        <v>411</v>
      </c>
      <c r="M18" s="592" t="s">
        <v>128</v>
      </c>
      <c r="N18" s="592" t="s">
        <v>235</v>
      </c>
      <c r="O18" s="592" t="s">
        <v>235</v>
      </c>
      <c r="P18" s="627">
        <v>365</v>
      </c>
      <c r="Q18" s="593" t="str">
        <f t="shared" ref="Q17:Q24" si="11">IF(P18&lt;=0,"",IF(P18&lt;=2,"Muy Baja",IF(P18&lt;=24,"Baja",IF(P18&lt;=500,"Media",IF(P18&lt;=5000,"Alta","Muy Alta")))))</f>
        <v>Media</v>
      </c>
      <c r="R18" s="594">
        <f t="shared" ref="R17:R24" si="12">IF(Q18="","",IF(Q18="Muy Baja",0.2,IF(Q18="Baja",0.4,IF(Q18="Media",0.6,IF(Q18="Alta",0.8,IF(Q18="Muy Alta",1,))))))</f>
        <v>0.6</v>
      </c>
      <c r="S18" s="595" t="s">
        <v>147</v>
      </c>
      <c r="T18" s="594" t="str">
        <f ca="1">IF(NOT(ISERROR(MATCH(S18,'[2]Tabla Impacto'!$B$221:$B$223,0))),'[2]Tabla Impacto'!$F$223&amp;"Por favor no seleccionar los criterios de impacto(Afectación Económica o presupuestal y Pérdida Reputacional)",S18)</f>
        <v xml:space="preserve">     Entre 100 y 500 SMLMV </v>
      </c>
      <c r="U18" s="596" t="str">
        <f ca="1">IF(OR(T18='[3]Tabla Impacto'!$C$11,T18='[3]Tabla Impacto'!$D$11),"Leve",IF(OR(T18='[3]Tabla Impacto'!$C$12,T18='[3]Tabla Impacto'!$D$12),"Menor",IF(OR(T18='[3]Tabla Impacto'!$C$13,T18='[3]Tabla Impacto'!$D$13),"Moderado",IF(OR(T18='[3]Tabla Impacto'!$C$14,T18='[3]Tabla Impacto'!$D$14),"Mayor",IF(OR(T18='[3]Tabla Impacto'!$C$15,T18='[3]Tabla Impacto'!$D$15),"Catastrófico","")))))</f>
        <v>Mayor</v>
      </c>
      <c r="V18" s="594">
        <f t="shared" ref="V17:V24" ca="1" si="13">IF(U18="","",IF(U18="Leve",0.2,IF(U18="Menor",0.4,IF(U18="Moderado",0.6,IF(U18="Mayor",0.8,IF(U18="Catastrófico",1,))))))</f>
        <v>0.8</v>
      </c>
      <c r="W18" s="593" t="str">
        <f t="shared" ref="W17:W24" ca="1" si="14">IF(OR(AND(Q18="Muy Baja",U18="Leve"),AND(Q18="Muy Baja",U18="Menor"),AND(Q18="Baja",U18="Leve")),"Bajo",IF(OR(AND(Q18="Muy baja",U18="Moderado"),AND(Q18="Baja",U18="Menor"),AND(Q18="Baja",U18="Moderado"),AND(Q18="Media",U18="Leve"),AND(Q18="Media",U18="Menor"),AND(Q18="Media",U18="Moderado"),AND(Q18="Alta",U18="Leve"),AND(Q18="Alta",U18="Menor")),"Moderado",IF(OR(AND(Q18="Muy Baja",U18="Mayor"),AND(Q18="Baja",U18="Mayor"),AND(Q18="Media",U18="Mayor"),AND(Q18="Alta",U18="Moderado"),AND(Q18="Alta",U18="Mayor"),AND(Q18="Muy Alta",U18="Leve"),AND(Q18="Muy Alta",U18="Menor"),AND(Q18="Muy Alta",U18="Moderado"),AND(Q18="Muy Alta",U18="Mayor")),"Alto",IF(OR(AND(Q18="Muy Baja",U18="Catastrófico"),AND(Q18="Baja",U18="Catastrófico"),AND(Q18="Media",U18="Catastrófico"),AND(Q18="Alta",U18="Catastrófico"),AND(Q18="Muy Alta",U18="Catastrófico")),"Extremo",""))))</f>
        <v>Alto</v>
      </c>
      <c r="X18" s="628">
        <v>1</v>
      </c>
      <c r="Y18" s="636" t="s">
        <v>421</v>
      </c>
      <c r="Z18" s="636" t="s">
        <v>447</v>
      </c>
      <c r="AA18" s="609" t="str">
        <f t="shared" si="2"/>
        <v>Probabilidad</v>
      </c>
      <c r="AB18" s="610" t="s">
        <v>14</v>
      </c>
      <c r="AC18" s="598" t="s">
        <v>9</v>
      </c>
      <c r="AD18" s="611" t="str">
        <f t="shared" si="3"/>
        <v>40%</v>
      </c>
      <c r="AE18" s="598" t="s">
        <v>429</v>
      </c>
      <c r="AF18" s="610" t="s">
        <v>22</v>
      </c>
      <c r="AG18" s="610" t="s">
        <v>118</v>
      </c>
      <c r="AH18" s="591" t="s">
        <v>430</v>
      </c>
      <c r="AI18" s="631">
        <f>IFERROR(IF(AA18="Probabilidad",(R18-(+R18*AD18)),IF(AA18="Impacto",R18,"")),"")</f>
        <v>0.36</v>
      </c>
      <c r="AJ18" s="613" t="str">
        <f t="shared" si="4"/>
        <v>Baja</v>
      </c>
      <c r="AK18" s="611">
        <f t="shared" ref="AK16:AK24" si="15">+AI18</f>
        <v>0.36</v>
      </c>
      <c r="AL18" s="613" t="str">
        <f t="shared" ca="1" si="5"/>
        <v>Mayor</v>
      </c>
      <c r="AM18" s="611">
        <f t="shared" ca="1" si="6"/>
        <v>0.8</v>
      </c>
      <c r="AN18" s="613" t="str">
        <f t="shared" ca="1" si="7"/>
        <v>Alto</v>
      </c>
      <c r="AO18" s="598" t="s">
        <v>134</v>
      </c>
      <c r="AP18" s="641" t="s">
        <v>436</v>
      </c>
      <c r="AQ18" s="632" t="s">
        <v>437</v>
      </c>
      <c r="AR18" s="601">
        <v>45687</v>
      </c>
      <c r="AS18" s="614"/>
      <c r="AT18" s="603"/>
      <c r="AU18" s="603"/>
      <c r="AV18" s="614"/>
      <c r="AW18" s="603"/>
      <c r="AX18" s="603"/>
      <c r="AY18" s="603"/>
      <c r="AZ18" s="614"/>
      <c r="BA18" s="603"/>
      <c r="BB18" s="603"/>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row>
    <row r="19" spans="4:80" s="198" customFormat="1" ht="130.5" customHeight="1" x14ac:dyDescent="0.25">
      <c r="D19" s="588"/>
      <c r="E19" s="615"/>
      <c r="F19" s="615"/>
      <c r="G19" s="615"/>
      <c r="H19" s="615"/>
      <c r="I19" s="637"/>
      <c r="J19" s="603"/>
      <c r="K19" s="640"/>
      <c r="L19" s="640"/>
      <c r="M19" s="616"/>
      <c r="N19" s="616"/>
      <c r="O19" s="616"/>
      <c r="P19" s="639"/>
      <c r="Q19" s="617"/>
      <c r="R19" s="618"/>
      <c r="S19" s="619"/>
      <c r="T19" s="618"/>
      <c r="U19" s="620"/>
      <c r="V19" s="618"/>
      <c r="W19" s="617"/>
      <c r="X19" s="628">
        <v>2</v>
      </c>
      <c r="Y19" s="636" t="s">
        <v>422</v>
      </c>
      <c r="Z19" s="636" t="s">
        <v>448</v>
      </c>
      <c r="AA19" s="609" t="str">
        <f t="shared" si="2"/>
        <v>Probabilidad</v>
      </c>
      <c r="AB19" s="610" t="s">
        <v>14</v>
      </c>
      <c r="AC19" s="610" t="s">
        <v>9</v>
      </c>
      <c r="AD19" s="611" t="str">
        <f t="shared" si="3"/>
        <v>40%</v>
      </c>
      <c r="AE19" s="598" t="s">
        <v>429</v>
      </c>
      <c r="AF19" s="610" t="s">
        <v>22</v>
      </c>
      <c r="AG19" s="610" t="s">
        <v>118</v>
      </c>
      <c r="AH19" s="591" t="s">
        <v>430</v>
      </c>
      <c r="AI19" s="612">
        <f>IFERROR(IF(AND(AA18="Probabilidad",AA19="Probabilidad"),(AK18-(+AK18*AD19)),IF(AA19="Probabilidad",(S18-(+S18*AA19)),IF(AA19="Impacto",AK18,""))),"")</f>
        <v>0.216</v>
      </c>
      <c r="AJ19" s="613" t="str">
        <f t="shared" si="4"/>
        <v>Baja</v>
      </c>
      <c r="AK19" s="611">
        <f t="shared" si="15"/>
        <v>0.216</v>
      </c>
      <c r="AL19" s="613" t="str">
        <f t="shared" si="5"/>
        <v>Leve</v>
      </c>
      <c r="AM19" s="611">
        <f t="shared" si="6"/>
        <v>0</v>
      </c>
      <c r="AN19" s="613" t="str">
        <f t="shared" si="7"/>
        <v>Bajo</v>
      </c>
      <c r="AO19" s="598" t="s">
        <v>134</v>
      </c>
      <c r="AP19" s="641" t="s">
        <v>436</v>
      </c>
      <c r="AQ19" s="642" t="s">
        <v>437</v>
      </c>
      <c r="AR19" s="601">
        <v>45687</v>
      </c>
      <c r="AS19" s="614"/>
      <c r="AT19" s="603"/>
      <c r="AU19" s="603"/>
      <c r="AV19" s="614"/>
      <c r="AW19" s="603"/>
      <c r="AX19" s="603"/>
      <c r="AY19" s="603"/>
      <c r="AZ19" s="614"/>
      <c r="BA19" s="603"/>
      <c r="BB19" s="603"/>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row>
    <row r="20" spans="4:80" s="198" customFormat="1" ht="130.5" customHeight="1" x14ac:dyDescent="0.25">
      <c r="D20" s="199">
        <v>3</v>
      </c>
      <c r="E20" s="621" t="s">
        <v>219</v>
      </c>
      <c r="F20" s="621" t="s">
        <v>132</v>
      </c>
      <c r="G20" s="621" t="s">
        <v>313</v>
      </c>
      <c r="H20" s="621" t="s">
        <v>228</v>
      </c>
      <c r="I20" s="589" t="s">
        <v>406</v>
      </c>
      <c r="J20" s="603"/>
      <c r="K20" s="589" t="s">
        <v>412</v>
      </c>
      <c r="L20" s="589" t="s">
        <v>413</v>
      </c>
      <c r="M20" s="603" t="s">
        <v>122</v>
      </c>
      <c r="N20" s="603" t="s">
        <v>233</v>
      </c>
      <c r="O20" s="603" t="s">
        <v>235</v>
      </c>
      <c r="P20" s="643">
        <v>365</v>
      </c>
      <c r="Q20" s="622" t="str">
        <f t="shared" si="11"/>
        <v>Media</v>
      </c>
      <c r="R20" s="611">
        <f t="shared" si="12"/>
        <v>0.6</v>
      </c>
      <c r="S20" s="623" t="s">
        <v>146</v>
      </c>
      <c r="T20" s="611" t="str">
        <f ca="1">IF(NOT(ISERROR(MATCH(S20,'[2]Tabla Impacto'!$B$221:$B$223,0))),'[2]Tabla Impacto'!$F$223&amp;"Por favor no seleccionar los criterios de impacto(Afectación Económica o presupuestal y Pérdida Reputacional)",S20)</f>
        <v xml:space="preserve">     Entre 10 y 50 SMLMV </v>
      </c>
      <c r="U20" s="624" t="str">
        <f ca="1">IF(OR(T20='[3]Tabla Impacto'!$C$11,T20='[3]Tabla Impacto'!$D$11),"Leve",IF(OR(T20='[3]Tabla Impacto'!$C$12,T20='[3]Tabla Impacto'!$D$12),"Menor",IF(OR(T20='[3]Tabla Impacto'!$C$13,T20='[3]Tabla Impacto'!$D$13),"Moderado",IF(OR(T20='[3]Tabla Impacto'!$C$14,T20='[3]Tabla Impacto'!$D$14),"Mayor",IF(OR(T20='[3]Tabla Impacto'!$C$15,T20='[3]Tabla Impacto'!$D$15),"Catastrófico","")))))</f>
        <v>Menor</v>
      </c>
      <c r="V20" s="611">
        <f t="shared" ca="1" si="13"/>
        <v>0.4</v>
      </c>
      <c r="W20" s="622" t="str">
        <f t="shared" ca="1" si="14"/>
        <v>Moderado</v>
      </c>
      <c r="X20" s="628">
        <v>1</v>
      </c>
      <c r="Y20" s="636" t="s">
        <v>423</v>
      </c>
      <c r="Z20" s="636" t="s">
        <v>449</v>
      </c>
      <c r="AA20" s="609" t="str">
        <f t="shared" si="2"/>
        <v>Probabilidad</v>
      </c>
      <c r="AB20" s="610" t="s">
        <v>14</v>
      </c>
      <c r="AC20" s="610" t="s">
        <v>9</v>
      </c>
      <c r="AD20" s="611" t="str">
        <f t="shared" si="3"/>
        <v>40%</v>
      </c>
      <c r="AE20" s="598" t="s">
        <v>429</v>
      </c>
      <c r="AF20" s="610" t="s">
        <v>22</v>
      </c>
      <c r="AG20" s="610" t="s">
        <v>118</v>
      </c>
      <c r="AH20" s="591" t="s">
        <v>430</v>
      </c>
      <c r="AI20" s="631">
        <f>IFERROR(IF(AA20="Probabilidad",(R20-(+R20*AD20)),IF(AA20="Impacto",R20,"")),"")</f>
        <v>0.36</v>
      </c>
      <c r="AJ20" s="613" t="str">
        <f t="shared" si="4"/>
        <v>Baja</v>
      </c>
      <c r="AK20" s="611">
        <f t="shared" si="15"/>
        <v>0.36</v>
      </c>
      <c r="AL20" s="613" t="str">
        <f t="shared" ca="1" si="5"/>
        <v>Menor</v>
      </c>
      <c r="AM20" s="611">
        <f t="shared" ca="1" si="6"/>
        <v>0.4</v>
      </c>
      <c r="AN20" s="613" t="str">
        <f t="shared" ca="1" si="7"/>
        <v>Moderado</v>
      </c>
      <c r="AO20" s="598" t="s">
        <v>134</v>
      </c>
      <c r="AP20" s="589" t="s">
        <v>438</v>
      </c>
      <c r="AQ20" s="632" t="s">
        <v>432</v>
      </c>
      <c r="AR20" s="601">
        <v>45687</v>
      </c>
      <c r="AS20" s="614"/>
      <c r="AT20" s="603"/>
      <c r="AU20" s="603"/>
      <c r="AV20" s="614"/>
      <c r="AW20" s="603"/>
      <c r="AX20" s="603"/>
      <c r="AY20" s="603"/>
      <c r="AZ20" s="614"/>
      <c r="BA20" s="603"/>
      <c r="BB20" s="603"/>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row>
    <row r="21" spans="4:80" s="198" customFormat="1" ht="73.5" customHeight="1" x14ac:dyDescent="0.25">
      <c r="D21" s="586">
        <v>4</v>
      </c>
      <c r="E21" s="590" t="s">
        <v>219</v>
      </c>
      <c r="F21" s="590" t="s">
        <v>132</v>
      </c>
      <c r="G21" s="590" t="s">
        <v>313</v>
      </c>
      <c r="H21" s="590" t="s">
        <v>226</v>
      </c>
      <c r="I21" s="625" t="s">
        <v>407</v>
      </c>
      <c r="J21" s="603"/>
      <c r="K21" s="625" t="s">
        <v>414</v>
      </c>
      <c r="L21" s="625" t="s">
        <v>415</v>
      </c>
      <c r="M21" s="592" t="s">
        <v>122</v>
      </c>
      <c r="N21" s="592" t="s">
        <v>233</v>
      </c>
      <c r="O21" s="592" t="s">
        <v>235</v>
      </c>
      <c r="P21" s="627">
        <v>12</v>
      </c>
      <c r="Q21" s="593" t="str">
        <f t="shared" ref="Q21:Q22" si="16">IF(P21&lt;=0,"",IF(P21&lt;=2,"Muy Baja",IF(P21&lt;=24,"Baja",IF(P21&lt;=500,"Media",IF(P21&lt;=5000,"Alta","Muy Alta")))))</f>
        <v>Baja</v>
      </c>
      <c r="R21" s="594">
        <f t="shared" ref="R21:R22" si="17">IF(Q21="","",IF(Q21="Muy Baja",0.2,IF(Q21="Baja",0.4,IF(Q21="Media",0.6,IF(Q21="Alta",0.8,IF(Q21="Muy Alta",1,))))))</f>
        <v>0.4</v>
      </c>
      <c r="S21" s="595" t="s">
        <v>145</v>
      </c>
      <c r="T21" s="594" t="str">
        <f ca="1">IF(NOT(ISERROR(MATCH(S21,'[2]Tabla Impacto'!$B$221:$B$223,0))),'[2]Tabla Impacto'!$F$223&amp;"Por favor no seleccionar los criterios de impacto(Afectación Económica o presupuestal y Pérdida Reputacional)",S21)</f>
        <v xml:space="preserve">     Entre 50 y 100 SMLMV </v>
      </c>
      <c r="U21" s="596" t="str">
        <f ca="1">IF(OR(T21='[3]Tabla Impacto'!$C$11,T21='[3]Tabla Impacto'!$D$11),"Leve",IF(OR(T21='[3]Tabla Impacto'!$C$12,T21='[3]Tabla Impacto'!$D$12),"Menor",IF(OR(T21='[3]Tabla Impacto'!$C$13,T21='[3]Tabla Impacto'!$D$13),"Moderado",IF(OR(T21='[3]Tabla Impacto'!$C$14,T21='[3]Tabla Impacto'!$D$14),"Mayor",IF(OR(T21='[3]Tabla Impacto'!$C$15,T21='[3]Tabla Impacto'!$D$15),"Catastrófico","")))))</f>
        <v>Moderado</v>
      </c>
      <c r="V21" s="594">
        <f t="shared" ref="V21:V22" ca="1" si="18">IF(U21="","",IF(U21="Leve",0.2,IF(U21="Menor",0.4,IF(U21="Moderado",0.6,IF(U21="Mayor",0.8,IF(U21="Catastrófico",1,))))))</f>
        <v>0.6</v>
      </c>
      <c r="W21" s="593" t="str">
        <f t="shared" ref="W21:W22" ca="1" si="19">IF(OR(AND(Q21="Muy Baja",U21="Leve"),AND(Q21="Muy Baja",U21="Menor"),AND(Q21="Baja",U21="Leve")),"Bajo",IF(OR(AND(Q21="Muy baja",U21="Moderado"),AND(Q21="Baja",U21="Menor"),AND(Q21="Baja",U21="Moderado"),AND(Q21="Media",U21="Leve"),AND(Q21="Media",U21="Menor"),AND(Q21="Media",U21="Moderado"),AND(Q21="Alta",U21="Leve"),AND(Q21="Alta",U21="Menor")),"Moderado",IF(OR(AND(Q21="Muy Baja",U21="Mayor"),AND(Q21="Baja",U21="Mayor"),AND(Q21="Media",U21="Mayor"),AND(Q21="Alta",U21="Moderado"),AND(Q21="Alta",U21="Mayor"),AND(Q21="Muy Alta",U21="Leve"),AND(Q21="Muy Alta",U21="Menor"),AND(Q21="Muy Alta",U21="Moderado"),AND(Q21="Muy Alta",U21="Mayor")),"Alto",IF(OR(AND(Q21="Muy Baja",U21="Catastrófico"),AND(Q21="Baja",U21="Catastrófico"),AND(Q21="Media",U21="Catastrófico"),AND(Q21="Alta",U21="Catastrófico"),AND(Q21="Muy Alta",U21="Catastrófico")),"Extremo",""))))</f>
        <v>Moderado</v>
      </c>
      <c r="X21" s="628">
        <v>1</v>
      </c>
      <c r="Y21" s="636" t="s">
        <v>424</v>
      </c>
      <c r="Z21" s="636" t="s">
        <v>450</v>
      </c>
      <c r="AA21" s="609" t="str">
        <f t="shared" ref="AA21:AA22" si="20">IF(OR(AB21="Preventivo",AB21="Detectivo"),"Probabilidad",IF(AB21="Correctivo","Impacto",""))</f>
        <v>Probabilidad</v>
      </c>
      <c r="AB21" s="610" t="s">
        <v>14</v>
      </c>
      <c r="AC21" s="610" t="s">
        <v>9</v>
      </c>
      <c r="AD21" s="611" t="str">
        <f t="shared" ref="AD21:AD22" si="21">IF(AND(AB21="Preventivo",AC21="Automático"),"50%",IF(AND(AB21="Preventivo",AC21="Manual"),"40%",IF(AND(AB21="Detectivo",AC21="Automático"),"40%",IF(AND(AB21="Detectivo",AC21="Manual"),"30%",IF(AND(AB21="Correctivo",AC21="Automático"),"35%",IF(AND(AB21="Correctivo",AC21="Manual"),"25%",""))))))</f>
        <v>40%</v>
      </c>
      <c r="AE21" s="598" t="s">
        <v>429</v>
      </c>
      <c r="AF21" s="610" t="s">
        <v>22</v>
      </c>
      <c r="AG21" s="610" t="s">
        <v>118</v>
      </c>
      <c r="AH21" s="591" t="s">
        <v>430</v>
      </c>
      <c r="AI21" s="631">
        <f>IFERROR(IF(AA21="Probabilidad",(R21-(+R21*AD21)),IF(AA21="Impacto",R21,"")),"")</f>
        <v>0.24</v>
      </c>
      <c r="AJ21" s="613" t="str">
        <f t="shared" ref="AJ21:AJ22" si="22">IFERROR(IF(AI21="","",IF(AI21&lt;=0.2,"Muy Baja",IF(AI21&lt;=0.4,"Baja",IF(AI21&lt;=0.6,"Media",IF(AI21&lt;=0.8,"Alta","Muy Alta"))))),"")</f>
        <v>Baja</v>
      </c>
      <c r="AK21" s="611">
        <f t="shared" ref="AK21:AK22" si="23">+AI21</f>
        <v>0.24</v>
      </c>
      <c r="AL21" s="613" t="str">
        <f t="shared" ref="AL21:AL22" ca="1" si="24">IFERROR(IF(AM21="","",IF(AM21&lt;=0.2,"Leve",IF(AM21&lt;=0.4,"Menor",IF(AM21&lt;=0.6,"Moderado",IF(AM21&lt;=0.8,"Mayor","Catastrófico"))))),"")</f>
        <v>Moderado</v>
      </c>
      <c r="AM21" s="611">
        <f t="shared" ref="AM21:AM22" ca="1" si="25">IFERROR(IF(AA21="Impacto",(V21-(+V21*AD21)),IF(AA21="Probabilidad",V21,"")),"")</f>
        <v>0.6</v>
      </c>
      <c r="AN21" s="613" t="str">
        <f t="shared" ref="AN21:AN22" ca="1" si="26">IFERROR(IF(OR(AND(AJ21="Muy Baja",AL21="Leve"),AND(AJ21="Muy Baja",AL21="Menor"),AND(AJ21="Baja",AL21="Leve")),"Bajo",IF(OR(AND(AJ21="Muy baja",AL21="Moderado"),AND(AJ21="Baja",AL21="Menor"),AND(AJ21="Baja",AL21="Moderado"),AND(AJ21="Media",AL21="Leve"),AND(AJ21="Media",AL21="Menor"),AND(AJ21="Media",AL21="Moderado"),AND(AJ21="Alta",AL21="Leve"),AND(AJ21="Alta",AL21="Menor")),"Moderado",IF(OR(AND(AJ21="Muy Baja",AL21="Mayor"),AND(AJ21="Baja",AL21="Mayor"),AND(AJ21="Media",AL21="Mayor"),AND(AJ21="Alta",AL21="Moderado"),AND(AJ21="Alta",AL21="Mayor"),AND(AJ21="Muy Alta",AL21="Leve"),AND(AJ21="Muy Alta",AL21="Menor"),AND(AJ21="Muy Alta",AL21="Moderado"),AND(AJ21="Muy Alta",AL21="Mayor")),"Alto",IF(OR(AND(AJ21="Muy Baja",AL21="Catastrófico"),AND(AJ21="Baja",AL21="Catastrófico"),AND(AJ21="Media",AL21="Catastrófico"),AND(AJ21="Alta",AL21="Catastrófico"),AND(AJ21="Muy Alta",AL21="Catastrófico")),"Extremo","")))),"")</f>
        <v>Moderado</v>
      </c>
      <c r="AO21" s="598" t="s">
        <v>134</v>
      </c>
      <c r="AP21" s="589" t="s">
        <v>439</v>
      </c>
      <c r="AQ21" s="589" t="s">
        <v>432</v>
      </c>
      <c r="AR21" s="601">
        <v>45687</v>
      </c>
      <c r="AS21" s="614"/>
      <c r="AT21" s="603"/>
      <c r="AU21" s="603"/>
      <c r="AV21" s="614"/>
      <c r="AW21" s="603"/>
      <c r="AX21" s="603"/>
      <c r="AY21" s="603"/>
      <c r="AZ21" s="614"/>
      <c r="BA21" s="603"/>
      <c r="BB21" s="603"/>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row>
    <row r="22" spans="4:80" s="198" customFormat="1" ht="106.5" customHeight="1" x14ac:dyDescent="0.25">
      <c r="D22" s="588"/>
      <c r="E22" s="615"/>
      <c r="F22" s="615"/>
      <c r="G22" s="615"/>
      <c r="H22" s="615"/>
      <c r="I22" s="637"/>
      <c r="J22" s="603"/>
      <c r="K22" s="637"/>
      <c r="L22" s="637"/>
      <c r="M22" s="616"/>
      <c r="N22" s="616"/>
      <c r="O22" s="616"/>
      <c r="P22" s="639"/>
      <c r="Q22" s="617"/>
      <c r="R22" s="618"/>
      <c r="S22" s="619"/>
      <c r="T22" s="618"/>
      <c r="U22" s="620"/>
      <c r="V22" s="606"/>
      <c r="W22" s="617"/>
      <c r="X22" s="628">
        <v>2</v>
      </c>
      <c r="Y22" s="636" t="s">
        <v>425</v>
      </c>
      <c r="Z22" s="636" t="s">
        <v>451</v>
      </c>
      <c r="AA22" s="609" t="str">
        <f t="shared" si="20"/>
        <v>Probabilidad</v>
      </c>
      <c r="AB22" s="610" t="s">
        <v>14</v>
      </c>
      <c r="AC22" s="610" t="s">
        <v>9</v>
      </c>
      <c r="AD22" s="611" t="str">
        <f t="shared" si="21"/>
        <v>40%</v>
      </c>
      <c r="AE22" s="598" t="s">
        <v>429</v>
      </c>
      <c r="AF22" s="610" t="s">
        <v>22</v>
      </c>
      <c r="AG22" s="610" t="s">
        <v>118</v>
      </c>
      <c r="AH22" s="591" t="s">
        <v>430</v>
      </c>
      <c r="AI22" s="612">
        <f>IFERROR(IF(AND(AA21="Probabilidad",AA22="Probabilidad"),(AK21-(+AK21*AD22)),IF(AA22="Probabilidad",(S21-(+S21*AA22)),IF(AA22="Impacto",AK21,""))),"")</f>
        <v>0.14399999999999999</v>
      </c>
      <c r="AJ22" s="613" t="str">
        <f t="shared" si="22"/>
        <v>Muy Baja</v>
      </c>
      <c r="AK22" s="611">
        <f t="shared" si="23"/>
        <v>0.14399999999999999</v>
      </c>
      <c r="AL22" s="613" t="str">
        <f t="shared" si="24"/>
        <v>Leve</v>
      </c>
      <c r="AM22" s="611">
        <f t="shared" si="25"/>
        <v>0</v>
      </c>
      <c r="AN22" s="613" t="str">
        <f t="shared" si="26"/>
        <v>Bajo</v>
      </c>
      <c r="AO22" s="598" t="s">
        <v>134</v>
      </c>
      <c r="AP22" s="589" t="s">
        <v>440</v>
      </c>
      <c r="AQ22" s="589" t="s">
        <v>432</v>
      </c>
      <c r="AR22" s="601">
        <v>45687</v>
      </c>
      <c r="AS22" s="614"/>
      <c r="AT22" s="603"/>
      <c r="AU22" s="603"/>
      <c r="AV22" s="614"/>
      <c r="AW22" s="603"/>
      <c r="AX22" s="603"/>
      <c r="AY22" s="603"/>
      <c r="AZ22" s="614"/>
      <c r="BA22" s="603"/>
      <c r="BB22" s="603"/>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row>
    <row r="23" spans="4:80" s="198" customFormat="1" ht="102" customHeight="1" x14ac:dyDescent="0.25">
      <c r="D23" s="199">
        <v>5</v>
      </c>
      <c r="E23" s="621" t="s">
        <v>219</v>
      </c>
      <c r="F23" s="621" t="s">
        <v>132</v>
      </c>
      <c r="G23" s="621" t="s">
        <v>313</v>
      </c>
      <c r="H23" s="621" t="s">
        <v>226</v>
      </c>
      <c r="I23" s="589" t="s">
        <v>408</v>
      </c>
      <c r="J23" s="603"/>
      <c r="K23" s="589" t="s">
        <v>416</v>
      </c>
      <c r="L23" s="589" t="s">
        <v>417</v>
      </c>
      <c r="M23" s="603" t="s">
        <v>122</v>
      </c>
      <c r="N23" s="603" t="s">
        <v>233</v>
      </c>
      <c r="O23" s="603" t="s">
        <v>235</v>
      </c>
      <c r="P23" s="643">
        <v>365</v>
      </c>
      <c r="Q23" s="622" t="str">
        <f t="shared" si="11"/>
        <v>Media</v>
      </c>
      <c r="R23" s="611">
        <f t="shared" si="12"/>
        <v>0.6</v>
      </c>
      <c r="S23" s="623" t="s">
        <v>142</v>
      </c>
      <c r="T23" s="611" t="str">
        <f ca="1">IF(NOT(ISERROR(MATCH(S23,'[2]Tabla Impacto'!$B$221:$B$223,0))),'[2]Tabla Impacto'!$F$223&amp;"Por favor no seleccionar los criterios de impacto(Afectación Económica o presupuestal y Pérdida Reputacional)",S23)</f>
        <v xml:space="preserve">     Afectación menor a 10 SMLMV .</v>
      </c>
      <c r="U23" s="624" t="str">
        <f ca="1">IF(OR(T23='[3]Tabla Impacto'!$C$11,T23='[3]Tabla Impacto'!$D$11),"Leve",IF(OR(T23='[3]Tabla Impacto'!$C$12,T23='[3]Tabla Impacto'!$D$12),"Menor",IF(OR(T23='[3]Tabla Impacto'!$C$13,T23='[3]Tabla Impacto'!$D$13),"Moderado",IF(OR(T23='[3]Tabla Impacto'!$C$14,T23='[3]Tabla Impacto'!$D$14),"Mayor",IF(OR(T23='[3]Tabla Impacto'!$C$15,T23='[3]Tabla Impacto'!$D$15),"Catastrófico","")))))</f>
        <v>Leve</v>
      </c>
      <c r="V23" s="644"/>
      <c r="W23" s="622" t="str">
        <f t="shared" ca="1" si="14"/>
        <v>Moderado</v>
      </c>
      <c r="X23" s="628">
        <v>1</v>
      </c>
      <c r="Y23" s="636" t="s">
        <v>426</v>
      </c>
      <c r="Z23" s="636" t="s">
        <v>427</v>
      </c>
      <c r="AA23" s="609" t="str">
        <f t="shared" si="2"/>
        <v>Probabilidad</v>
      </c>
      <c r="AB23" s="610" t="s">
        <v>14</v>
      </c>
      <c r="AC23" s="610" t="s">
        <v>9</v>
      </c>
      <c r="AD23" s="611" t="str">
        <f t="shared" si="3"/>
        <v>40%</v>
      </c>
      <c r="AE23" s="598" t="s">
        <v>429</v>
      </c>
      <c r="AF23" s="610" t="s">
        <v>22</v>
      </c>
      <c r="AG23" s="610" t="s">
        <v>118</v>
      </c>
      <c r="AH23" s="591" t="s">
        <v>430</v>
      </c>
      <c r="AI23" s="631">
        <f>IFERROR(IF(AA23="Probabilidad",(R23-(+R23*AD23)),IF(AA23="Impacto",R23,"")),"")</f>
        <v>0.36</v>
      </c>
      <c r="AJ23" s="613" t="str">
        <f t="shared" si="4"/>
        <v>Baja</v>
      </c>
      <c r="AK23" s="611">
        <f t="shared" si="15"/>
        <v>0.36</v>
      </c>
      <c r="AL23" s="613" t="str">
        <f t="shared" si="5"/>
        <v>Leve</v>
      </c>
      <c r="AM23" s="611">
        <f t="shared" si="6"/>
        <v>0</v>
      </c>
      <c r="AN23" s="613" t="str">
        <f t="shared" si="7"/>
        <v>Bajo</v>
      </c>
      <c r="AO23" s="598" t="s">
        <v>134</v>
      </c>
      <c r="AP23" s="645" t="s">
        <v>436</v>
      </c>
      <c r="AQ23" s="646" t="s">
        <v>437</v>
      </c>
      <c r="AR23" s="601">
        <v>45687</v>
      </c>
      <c r="AS23" s="614"/>
      <c r="AT23" s="603"/>
      <c r="AU23" s="603"/>
      <c r="AV23" s="614"/>
      <c r="AW23" s="603"/>
      <c r="AX23" s="603"/>
      <c r="AY23" s="603"/>
      <c r="AZ23" s="614"/>
      <c r="BA23" s="603"/>
      <c r="BB23" s="603"/>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row>
    <row r="24" spans="4:80" s="198" customFormat="1" ht="165" customHeight="1" x14ac:dyDescent="0.25">
      <c r="D24" s="199">
        <v>6</v>
      </c>
      <c r="E24" s="621" t="s">
        <v>219</v>
      </c>
      <c r="F24" s="621" t="s">
        <v>131</v>
      </c>
      <c r="G24" s="621" t="s">
        <v>313</v>
      </c>
      <c r="H24" s="621" t="s">
        <v>226</v>
      </c>
      <c r="I24" s="589" t="s">
        <v>409</v>
      </c>
      <c r="J24" s="603"/>
      <c r="K24" s="589" t="s">
        <v>418</v>
      </c>
      <c r="L24" s="589" t="s">
        <v>452</v>
      </c>
      <c r="M24" s="603" t="s">
        <v>122</v>
      </c>
      <c r="N24" s="603" t="s">
        <v>233</v>
      </c>
      <c r="O24" s="603" t="s">
        <v>235</v>
      </c>
      <c r="P24" s="643">
        <v>2</v>
      </c>
      <c r="Q24" s="622" t="str">
        <f t="shared" si="11"/>
        <v>Muy Baja</v>
      </c>
      <c r="R24" s="611">
        <f t="shared" si="12"/>
        <v>0.2</v>
      </c>
      <c r="S24" s="623" t="s">
        <v>149</v>
      </c>
      <c r="T24" s="611" t="str">
        <f ca="1">IF(NOT(ISERROR(MATCH(S24,'[2]Tabla Impacto'!$B$221:$B$223,0))),'[2]Tabla Impacto'!$F$223&amp;"Por favor no seleccionar los criterios de impacto(Afectación Económica o presupuestal y Pérdida Reputacional)",S24)</f>
        <v xml:space="preserve">     El riesgo afecta la imagen de alguna área de la organización</v>
      </c>
      <c r="U24" s="624" t="str">
        <f ca="1">IF(OR(T24='[3]Tabla Impacto'!$C$11,T24='[3]Tabla Impacto'!$D$11),"Leve",IF(OR(T24='[3]Tabla Impacto'!$C$12,T24='[3]Tabla Impacto'!$D$12),"Menor",IF(OR(T24='[3]Tabla Impacto'!$C$13,T24='[3]Tabla Impacto'!$D$13),"Moderado",IF(OR(T24='[3]Tabla Impacto'!$C$14,T24='[3]Tabla Impacto'!$D$14),"Mayor",IF(OR(T24='[3]Tabla Impacto'!$C$15,T24='[3]Tabla Impacto'!$D$15),"Catastrófico","")))))</f>
        <v>Leve</v>
      </c>
      <c r="V24" s="644"/>
      <c r="W24" s="622" t="str">
        <f t="shared" ca="1" si="14"/>
        <v>Bajo</v>
      </c>
      <c r="X24" s="628">
        <v>1</v>
      </c>
      <c r="Y24" s="636" t="s">
        <v>428</v>
      </c>
      <c r="Z24" s="636" t="s">
        <v>453</v>
      </c>
      <c r="AA24" s="609" t="str">
        <f t="shared" si="2"/>
        <v>Probabilidad</v>
      </c>
      <c r="AB24" s="610" t="s">
        <v>14</v>
      </c>
      <c r="AC24" s="610" t="s">
        <v>9</v>
      </c>
      <c r="AD24" s="611" t="str">
        <f t="shared" si="3"/>
        <v>40%</v>
      </c>
      <c r="AE24" s="610" t="s">
        <v>429</v>
      </c>
      <c r="AF24" s="610" t="s">
        <v>22</v>
      </c>
      <c r="AG24" s="610" t="s">
        <v>118</v>
      </c>
      <c r="AH24" s="603" t="s">
        <v>430</v>
      </c>
      <c r="AI24" s="647">
        <f>IFERROR(IF(AA24="Probabilidad",(R24-(+R24*AD24)),IF(AA24="Impacto",R24,"")),"")</f>
        <v>0.12</v>
      </c>
      <c r="AJ24" s="613" t="str">
        <f t="shared" si="4"/>
        <v>Muy Baja</v>
      </c>
      <c r="AK24" s="611">
        <f t="shared" si="15"/>
        <v>0.12</v>
      </c>
      <c r="AL24" s="613" t="str">
        <f t="shared" si="5"/>
        <v>Leve</v>
      </c>
      <c r="AM24" s="611">
        <f t="shared" si="6"/>
        <v>0</v>
      </c>
      <c r="AN24" s="613" t="str">
        <f t="shared" si="7"/>
        <v>Bajo</v>
      </c>
      <c r="AO24" s="610" t="s">
        <v>134</v>
      </c>
      <c r="AP24" s="589" t="s">
        <v>441</v>
      </c>
      <c r="AQ24" s="632" t="s">
        <v>442</v>
      </c>
      <c r="AR24" s="614">
        <v>45687</v>
      </c>
      <c r="AS24" s="614"/>
      <c r="AT24" s="603"/>
      <c r="AU24" s="603"/>
      <c r="AV24" s="614"/>
      <c r="AW24" s="603"/>
      <c r="AX24" s="603"/>
      <c r="AY24" s="603"/>
      <c r="AZ24" s="614"/>
      <c r="BA24" s="603"/>
      <c r="BB24" s="603"/>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row>
    <row r="25" spans="4:80" ht="49.5" customHeight="1" x14ac:dyDescent="0.2">
      <c r="D25" s="201"/>
      <c r="E25" s="202"/>
      <c r="F25" s="202"/>
      <c r="G25" s="202"/>
      <c r="H25" s="202"/>
      <c r="I25" s="266" t="s">
        <v>393</v>
      </c>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7"/>
    </row>
    <row r="27" spans="4:80" ht="15.75" x14ac:dyDescent="0.2">
      <c r="D27" s="109"/>
      <c r="E27" s="110"/>
      <c r="F27" s="110"/>
      <c r="G27" s="110"/>
      <c r="H27" s="110"/>
      <c r="I27" s="110"/>
      <c r="J27" s="110"/>
      <c r="K27" s="110"/>
      <c r="L27" s="110"/>
      <c r="M27" s="181"/>
      <c r="N27" s="181"/>
      <c r="O27" s="181"/>
      <c r="Q27" s="111"/>
      <c r="R27" s="110"/>
      <c r="S27" s="110"/>
      <c r="T27" s="110"/>
      <c r="U27" s="110"/>
      <c r="V27" s="110"/>
      <c r="W27" s="110"/>
      <c r="X27" s="110"/>
      <c r="Y27" s="110"/>
      <c r="Z27" s="110"/>
      <c r="AA27" s="112"/>
      <c r="AB27" s="112"/>
      <c r="AC27" s="110"/>
      <c r="AD27" s="110"/>
      <c r="AE27" s="110"/>
      <c r="AF27" s="110"/>
      <c r="AG27" s="110"/>
      <c r="AH27" s="110"/>
      <c r="AI27" s="110"/>
      <c r="AJ27" s="110"/>
      <c r="AK27" s="110"/>
      <c r="AL27" s="110"/>
      <c r="AM27" s="110"/>
      <c r="AN27" s="110"/>
      <c r="AO27" s="113"/>
      <c r="AP27" s="113"/>
      <c r="AQ27" s="110"/>
      <c r="AR27" s="110"/>
      <c r="AS27" s="110"/>
      <c r="AT27" s="110"/>
      <c r="AU27" s="110"/>
      <c r="AV27" s="110"/>
      <c r="AW27" s="110"/>
    </row>
    <row r="28" spans="4:80" ht="18" x14ac:dyDescent="0.2">
      <c r="D28" s="262" t="s">
        <v>401</v>
      </c>
      <c r="E28" s="262"/>
      <c r="F28" s="262"/>
      <c r="G28" s="262"/>
      <c r="H28" s="262"/>
      <c r="I28" s="262"/>
      <c r="J28" s="262"/>
      <c r="K28" s="262"/>
      <c r="L28" s="262"/>
      <c r="M28" s="181"/>
      <c r="N28" s="181"/>
      <c r="O28" s="181"/>
      <c r="P28" s="259" t="s">
        <v>391</v>
      </c>
      <c r="Q28" s="260"/>
      <c r="R28" s="260"/>
      <c r="S28" s="261"/>
      <c r="T28" s="110"/>
      <c r="U28" s="110"/>
      <c r="V28" s="110"/>
      <c r="W28" s="110"/>
      <c r="X28" s="110"/>
      <c r="Y28" s="110"/>
      <c r="Z28" s="113"/>
      <c r="AA28" s="112"/>
      <c r="AB28" s="112"/>
      <c r="AC28" s="110"/>
      <c r="AD28" s="112"/>
      <c r="AE28" s="112"/>
      <c r="AF28" s="110"/>
      <c r="AG28" s="110"/>
      <c r="AH28" s="110"/>
      <c r="AI28" s="110"/>
      <c r="AJ28" s="110"/>
      <c r="AK28" s="110"/>
      <c r="AL28" s="110"/>
      <c r="AM28" s="110"/>
      <c r="AN28" s="110"/>
      <c r="AO28" s="110"/>
      <c r="AP28" s="110"/>
      <c r="AQ28" s="110"/>
      <c r="AR28" s="110"/>
      <c r="AS28" s="110"/>
      <c r="AT28" s="110"/>
      <c r="AU28" s="110"/>
      <c r="AV28" s="110"/>
      <c r="AW28" s="110"/>
    </row>
    <row r="29" spans="4:80" ht="15" thickBot="1" x14ac:dyDescent="0.25">
      <c r="D29" s="181"/>
      <c r="E29" s="181"/>
      <c r="F29" s="181"/>
      <c r="G29" s="181"/>
      <c r="H29" s="181"/>
      <c r="I29" s="181"/>
      <c r="J29" s="181"/>
      <c r="K29" s="181"/>
      <c r="M29" s="181"/>
      <c r="N29" s="181"/>
      <c r="O29" s="181"/>
      <c r="Q29" s="183" t="str">
        <f>+IFERROR(VLOOKUP(M29,$M$184:$Q$188,3,FALSE)*VLOOKUP(P29,$P$184:$Q$188,3,FALSE),"")</f>
        <v/>
      </c>
      <c r="AA29" s="183"/>
      <c r="AB29" s="203"/>
      <c r="AD29" s="203"/>
      <c r="AE29" s="203"/>
      <c r="AF29" s="204"/>
      <c r="AG29" s="204"/>
      <c r="AH29" s="204"/>
      <c r="AI29" s="204"/>
      <c r="AJ29" s="204"/>
      <c r="AK29" s="114"/>
      <c r="AL29" s="114"/>
      <c r="AM29" s="204"/>
      <c r="AN29" s="205"/>
      <c r="AR29" s="204"/>
      <c r="AT29" s="204"/>
      <c r="AV29" s="204"/>
    </row>
    <row r="30" spans="4:80" ht="17.45" customHeight="1" thickTop="1" thickBot="1" x14ac:dyDescent="0.25">
      <c r="D30" s="257" t="s">
        <v>207</v>
      </c>
      <c r="E30" s="257"/>
      <c r="F30" s="257"/>
      <c r="G30" s="257"/>
      <c r="H30" s="257"/>
      <c r="I30" s="257"/>
      <c r="J30" s="257"/>
      <c r="K30" s="257"/>
      <c r="L30" s="180" t="s">
        <v>208</v>
      </c>
      <c r="M30" s="257" t="s">
        <v>209</v>
      </c>
      <c r="N30" s="257"/>
      <c r="O30" s="257"/>
      <c r="P30" s="257"/>
      <c r="Q30" s="257"/>
      <c r="R30" s="257"/>
      <c r="S30" s="257"/>
      <c r="T30" s="118"/>
      <c r="U30" s="258" t="s">
        <v>210</v>
      </c>
      <c r="V30" s="258"/>
      <c r="W30" s="258"/>
      <c r="X30" s="257" t="s">
        <v>211</v>
      </c>
      <c r="Y30" s="257"/>
      <c r="Z30" s="257"/>
      <c r="AA30" s="257"/>
      <c r="AB30" s="258">
        <v>1</v>
      </c>
      <c r="AC30" s="258"/>
      <c r="AD30" s="258"/>
      <c r="AE30" s="258"/>
      <c r="AF30" s="117"/>
      <c r="AG30" s="117"/>
      <c r="AH30" s="117"/>
      <c r="AI30" s="117"/>
      <c r="AJ30" s="117"/>
      <c r="AK30" s="117"/>
      <c r="AL30" s="117"/>
      <c r="AM30" s="117"/>
      <c r="AN30" s="117"/>
      <c r="AO30" s="117"/>
      <c r="AP30" s="117"/>
      <c r="AQ30" s="117"/>
      <c r="AR30" s="117"/>
      <c r="AS30" s="117"/>
      <c r="AT30" s="117"/>
      <c r="AU30" s="117"/>
      <c r="AV30" s="117"/>
      <c r="AW30" s="115"/>
    </row>
    <row r="31" spans="4:80" ht="36.75" customHeight="1" thickTop="1" x14ac:dyDescent="0.25">
      <c r="D31" s="293" t="s">
        <v>394</v>
      </c>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row>
  </sheetData>
  <dataConsolidate/>
  <mergeCells count="129">
    <mergeCell ref="W21:W22"/>
    <mergeCell ref="S21:S22"/>
    <mergeCell ref="T21:T22"/>
    <mergeCell ref="U21:U22"/>
    <mergeCell ref="V21:V22"/>
    <mergeCell ref="G18:G19"/>
    <mergeCell ref="H18:H19"/>
    <mergeCell ref="Q21:Q22"/>
    <mergeCell ref="R21:R22"/>
    <mergeCell ref="E21:E22"/>
    <mergeCell ref="F21:F22"/>
    <mergeCell ref="G21:G22"/>
    <mergeCell ref="H21:H22"/>
    <mergeCell ref="M21:M22"/>
    <mergeCell ref="N21:N22"/>
    <mergeCell ref="O21:O22"/>
    <mergeCell ref="V15:V17"/>
    <mergeCell ref="W15:W17"/>
    <mergeCell ref="M18:M19"/>
    <mergeCell ref="N18:N19"/>
    <mergeCell ref="O18:O19"/>
    <mergeCell ref="Q18:Q19"/>
    <mergeCell ref="R18:R19"/>
    <mergeCell ref="S18:S19"/>
    <mergeCell ref="T18:T19"/>
    <mergeCell ref="U18:U19"/>
    <mergeCell ref="V18:V19"/>
    <mergeCell ref="W18:W19"/>
    <mergeCell ref="Q15:Q17"/>
    <mergeCell ref="R15:R17"/>
    <mergeCell ref="S15:S17"/>
    <mergeCell ref="T15:T17"/>
    <mergeCell ref="U15:U17"/>
    <mergeCell ref="K18:K19"/>
    <mergeCell ref="L18:L19"/>
    <mergeCell ref="K21:K22"/>
    <mergeCell ref="L21:L22"/>
    <mergeCell ref="P15:P17"/>
    <mergeCell ref="P18:P19"/>
    <mergeCell ref="P21:P22"/>
    <mergeCell ref="M15:M17"/>
    <mergeCell ref="N15:N17"/>
    <mergeCell ref="O15:O17"/>
    <mergeCell ref="I18:I19"/>
    <mergeCell ref="I21:I22"/>
    <mergeCell ref="G15:G17"/>
    <mergeCell ref="H15:H17"/>
    <mergeCell ref="I15:I17"/>
    <mergeCell ref="K15:K17"/>
    <mergeCell ref="L15:L17"/>
    <mergeCell ref="D15:D17"/>
    <mergeCell ref="D18:D19"/>
    <mergeCell ref="D21:D22"/>
    <mergeCell ref="E15:E17"/>
    <mergeCell ref="F15:F17"/>
    <mergeCell ref="E18:E19"/>
    <mergeCell ref="F18:F19"/>
    <mergeCell ref="D31:AE31"/>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5:AU25"/>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X30:AA30"/>
    <mergeCell ref="AB30:AE30"/>
    <mergeCell ref="D30:K30"/>
    <mergeCell ref="P28:S28"/>
    <mergeCell ref="M30:S30"/>
    <mergeCell ref="U30:W30"/>
    <mergeCell ref="D28:L28"/>
    <mergeCell ref="X12:AG12"/>
    <mergeCell ref="X13:X14"/>
    <mergeCell ref="Y13:Y14"/>
    <mergeCell ref="AP13:AP14"/>
    <mergeCell ref="AI12:AO12"/>
    <mergeCell ref="AB13:AG13"/>
  </mergeCells>
  <conditionalFormatting sqref="Q15 Q18 AJ15:AJ24 Q20:Q21 Q23:Q24">
    <cfRule type="cellIs" dxfId="30" priority="62" operator="equal">
      <formula>"Muy Alta"</formula>
    </cfRule>
    <cfRule type="cellIs" dxfId="29" priority="63" operator="equal">
      <formula>"Alta"</formula>
    </cfRule>
    <cfRule type="cellIs" dxfId="28" priority="64" operator="equal">
      <formula>"Media"</formula>
    </cfRule>
    <cfRule type="cellIs" dxfId="27" priority="65" operator="equal">
      <formula>"Baja"</formula>
    </cfRule>
    <cfRule type="cellIs" dxfId="26" priority="66" operator="equal">
      <formula>"Muy Baja"</formula>
    </cfRule>
  </conditionalFormatting>
  <conditionalFormatting sqref="T15 T18 T20:T21 T23:T24">
    <cfRule type="containsText" dxfId="25" priority="38" operator="containsText" text="❌">
      <formula>NOT(ISERROR(SEARCH("❌",T15)))</formula>
    </cfRule>
  </conditionalFormatting>
  <conditionalFormatting sqref="AN15:AN24 W15 W18 W20:W21 W23:W24">
    <cfRule type="cellIs" dxfId="24" priority="53" operator="equal">
      <formula>"Extremo"</formula>
    </cfRule>
    <cfRule type="cellIs" dxfId="23" priority="54" operator="equal">
      <formula>"Alto"</formula>
    </cfRule>
    <cfRule type="cellIs" dxfId="22" priority="55" operator="equal">
      <formula>"Moderado"</formula>
    </cfRule>
    <cfRule type="cellIs" dxfId="21" priority="56" operator="equal">
      <formula>"Bajo"</formula>
    </cfRule>
  </conditionalFormatting>
  <conditionalFormatting sqref="AK27:AK29">
    <cfRule type="cellIs" dxfId="20" priority="26" stopIfTrue="1" operator="equal">
      <formula>#REF!</formula>
    </cfRule>
    <cfRule type="cellIs" dxfId="19" priority="27" operator="equal">
      <formula>#REF!</formula>
    </cfRule>
    <cfRule type="cellIs" dxfId="18" priority="28" operator="equal">
      <formula>#REF!</formula>
    </cfRule>
  </conditionalFormatting>
  <conditionalFormatting sqref="AL15:AL24">
    <cfRule type="cellIs" dxfId="17" priority="43" operator="equal">
      <formula>"Catastrófico"</formula>
    </cfRule>
    <cfRule type="cellIs" dxfId="16" priority="44" operator="equal">
      <formula>"Mayor"</formula>
    </cfRule>
    <cfRule type="cellIs" dxfId="15" priority="45" operator="equal">
      <formula>"Moderado"</formula>
    </cfRule>
    <cfRule type="cellIs" dxfId="14" priority="46" operator="equal">
      <formula>"Menor"</formula>
    </cfRule>
    <cfRule type="cellIs" dxfId="13" priority="47" operator="equal">
      <formula>"Leve"</formula>
    </cfRule>
  </conditionalFormatting>
  <conditionalFormatting sqref="AL27:AL29">
    <cfRule type="cellIs" dxfId="12" priority="29" stopIfTrue="1" operator="equal">
      <formula>#REF!</formula>
    </cfRule>
    <cfRule type="cellIs" dxfId="11" priority="30" stopIfTrue="1" operator="equal">
      <formula>#REF!</formula>
    </cfRule>
    <cfRule type="cellIs" dxfId="10" priority="31" stopIfTrue="1" operator="equal">
      <formula>#REF!</formula>
    </cfRule>
  </conditionalFormatting>
  <conditionalFormatting sqref="U15 U18 U20:U21 U23:U24">
    <cfRule type="cellIs" dxfId="4" priority="1" operator="equal">
      <formula>"Catastrófico"</formula>
    </cfRule>
    <cfRule type="cellIs" dxfId="3" priority="2" operator="equal">
      <formula>"Mayor"</formula>
    </cfRule>
    <cfRule type="cellIs" dxfId="2" priority="3" operator="equal">
      <formula>"Moderado"</formula>
    </cfRule>
    <cfRule type="cellIs" dxfId="1" priority="4" operator="equal">
      <formula>"Menor"</formula>
    </cfRule>
    <cfRule type="cellIs" dxfId="0" priority="5" operator="equal">
      <formula>"Leve"</formula>
    </cfRule>
  </conditionalFormatting>
  <dataValidations count="6">
    <dataValidation type="list" allowBlank="1" showInputMessage="1" showErrorMessage="1" sqref="L27" xr:uid="{61DF7E04-DE5E-4FE1-A38F-8A138AA87D58}">
      <formula1>$L$184:$L$193</formula1>
    </dataValidation>
    <dataValidation type="list" allowBlank="1" showInputMessage="1" showErrorMessage="1" sqref="L29 AK29:AL29" xr:uid="{66A41BD7-B090-4403-937D-0435537D31DA}">
      <formula1>#REF!</formula1>
    </dataValidation>
    <dataValidation type="list" allowBlank="1" showInputMessage="1" showErrorMessage="1" sqref="AA29" xr:uid="{3BD557FD-BAB0-4660-A45C-D7AACD9880D7}">
      <formula1>$S$184:$S$185</formula1>
    </dataValidation>
    <dataValidation type="list" allowBlank="1" showInputMessage="1" showErrorMessage="1" sqref="P29" xr:uid="{6EC8CB42-9310-43CD-8FAB-388F6EFE7B5E}">
      <formula1>$P$184:$P$188</formula1>
    </dataValidation>
    <dataValidation type="list" allowBlank="1" showInputMessage="1" showErrorMessage="1" sqref="M29:O29" xr:uid="{681E5490-2B09-494D-9B90-359A2E8F22F3}">
      <formula1>$M$184:$M$188</formula1>
    </dataValidation>
    <dataValidation type="list" allowBlank="1" showInputMessage="1" showErrorMessage="1" sqref="AV29 AT29 AR29 AB29 AD29:AJ29" xr:uid="{208EF431-1729-4D5C-B151-F6757CBBD462}">
      <formula1>$AR$184:$AR$191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r:uid="{5E056D49-2A01-4844-9657-EAFD8E3B5A80}">
          <x14:formula1>
            <xm:f>'Opciones Tratamiento'!$B$13:$B$19</xm:f>
          </x14:formula1>
          <xm:sqref>M15 M18 M20:M21 M23:M24</xm:sqref>
        </x14:dataValidation>
        <x14:dataValidation type="list" allowBlank="1" showInputMessage="1" showErrorMessage="1" xr:uid="{EF0C0067-1765-4F11-A967-1A801D325D81}">
          <x14:formula1>
            <xm:f>'Tabla Impacto'!$F$210:$F$221</xm:f>
          </x14:formula1>
          <xm:sqref>S15 S18 S20:S21 S23:S24</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AR15:AR24</xm:sqref>
        </x14:dataValidation>
        <x14:dataValidation type="list" allowBlank="1" showInputMessage="1" showErrorMessage="1" xr:uid="{9E41A0A5-9033-48F4-A523-E78EEE31291B}">
          <x14:formula1>
            <xm:f>Listas!$B$2:$B$7</xm:f>
          </x14:formula1>
          <xm:sqref>H15 H18 H20:H21 H23:H24</xm:sqref>
        </x14:dataValidation>
        <x14:dataValidation type="list" allowBlank="1" showInputMessage="1" showErrorMessage="1" xr:uid="{E1211B7A-6A4E-4A48-9C6D-50DFE53A34CF}">
          <x14:formula1>
            <xm:f>Listas!$C$2:$C$6</xm:f>
          </x14:formula1>
          <xm:sqref>N15 N18 N20:N21 N23:N24</xm:sqref>
        </x14:dataValidation>
        <x14:dataValidation type="list" allowBlank="1" showInputMessage="1" showErrorMessage="1" xr:uid="{B88BA28A-2600-4BF8-8D1C-1591DFA3694A}">
          <x14:formula1>
            <xm:f>Listas!$D$2:$D$5</xm:f>
          </x14:formula1>
          <xm:sqref>O15 O18 O20:O21 O23:O24</xm:sqref>
        </x14:dataValidation>
        <x14:dataValidation type="list" allowBlank="1" showInputMessage="1" showErrorMessage="1" xr:uid="{C1C18457-6497-4468-A0EC-5756D2A505AB}">
          <x14:formula1>
            <xm:f>Hoja2!$B$3:$B$18</xm:f>
          </x14:formula1>
          <xm:sqref>E15 E18 E20:E21 E23:E24</xm:sqref>
        </x14:dataValidation>
        <x14:dataValidation type="list" allowBlank="1" showInputMessage="1" showErrorMessage="1" xr:uid="{30B1B799-4F7E-4DF0-8163-3420DCED9D9B}">
          <x14:formula1>
            <xm:f>Hoja2!$D$3:$D$21</xm:f>
          </x14:formula1>
          <xm:sqref>F15 F18 F20:F21 F23:F24</xm:sqref>
        </x14:dataValidation>
        <x14:dataValidation type="list" allowBlank="1" showInputMessage="1" showErrorMessage="1" xr:uid="{4543C4BE-F1CB-4CCC-8B32-CEE48E0F43C3}">
          <x14:formula1>
            <xm:f>Hoja2!$E$3:$E$23</xm:f>
          </x14:formula1>
          <xm:sqref>G15 G18 G20:G21 G23:G24</xm:sqref>
        </x14:dataValidation>
        <x14:dataValidation type="list" allowBlank="1" showInputMessage="1" showErrorMessage="1" xr:uid="{FFA9F3EB-8AAC-4371-8BA9-EA5BFF31F870}">
          <x14:formula1>
            <xm:f>'Opciones Tratamiento'!$B$9:$B$10</xm:f>
          </x14:formula1>
          <xm:sqref>AX15:AY24 BB15:BB24 AU15:AU24</xm:sqref>
        </x14:dataValidation>
        <x14:dataValidation type="list" allowBlank="1" showInputMessage="1" showErrorMessage="1" xr:uid="{2F8B922F-A596-4F43-8DB5-EB88E0211184}">
          <x14:formula1>
            <xm:f>'Tabla Valoración controles'!$D$4:$D$6</xm:f>
          </x14:formula1>
          <xm:sqref>AB15:AB24</xm:sqref>
        </x14:dataValidation>
        <x14:dataValidation type="list" allowBlank="1" showInputMessage="1" showErrorMessage="1" xr:uid="{DC38EDB2-F7BD-4E7B-9DDA-3C58EAD78CC5}">
          <x14:formula1>
            <xm:f>'Tabla Valoración controles'!$D$7:$D$8</xm:f>
          </x14:formula1>
          <xm:sqref>AC15:AC24</xm:sqref>
        </x14:dataValidation>
        <x14:dataValidation type="list" allowBlank="1" showInputMessage="1" showErrorMessage="1" xr:uid="{7CEE6D34-E894-4B07-9738-58E7887FE090}">
          <x14:formula1>
            <xm:f>'Tabla Valoración controles'!$D$11:$D$12</xm:f>
          </x14:formula1>
          <xm:sqref>AF15:AF24</xm:sqref>
        </x14:dataValidation>
        <x14:dataValidation type="list" allowBlank="1" showInputMessage="1" showErrorMessage="1" xr:uid="{B39FB738-8E70-4C89-BE00-31B6F6BC10CA}">
          <x14:formula1>
            <xm:f>'Tabla Valoración controles'!$D$13:$D$14</xm:f>
          </x14:formula1>
          <xm:sqref>AG15:AG24</xm:sqref>
        </x14:dataValidation>
        <x14:dataValidation type="list" allowBlank="1" showInputMessage="1" showErrorMessage="1" xr:uid="{BCC5CE02-71F3-4D30-B2B6-0BC8D084AB56}">
          <x14:formula1>
            <xm:f>'Opciones Tratamiento'!$B$2:$B$5</xm:f>
          </x14:formula1>
          <xm:sqref>AO15:AO24</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AV15:AV24 AS15:AS24</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AW15:AW24 AZ15:AZ24 AT15:AT24</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BA15:BA24</xm:sqref>
        </x14:dataValidation>
        <x14:dataValidation type="custom" allowBlank="1" showInputMessage="1" showErrorMessage="1" error="Recuerde que las acciones se generan bajo la medida de mitigar el riesgo" xr:uid="{AF67EA35-5C89-4DF9-9D98-56AAD4804099}">
          <x14:formula1>
            <xm:f>IF(OR(AO24='C:\Users\plandeaccion\Downloads\[mapaderiesgorecursosfisicos22.xlsx]Opciones Tratamiento'!#REF!,AO24='C:\Users\plandeaccion\Downloads\[mapaderiesgorecursosfisicos22.xlsx]Opciones Tratamiento'!#REF!,AO24='C:\Users\plandeaccion\Downloads\[mapaderiesgorecursosfisicos22.xlsx]Opciones Tratamiento'!#REF!),ISBLANK(AO24),ISTEXT(AO24))</xm:f>
          </x14:formula1>
          <xm:sqref>AQ24</xm:sqref>
        </x14:dataValidation>
        <x14:dataValidation type="custom" allowBlank="1" showInputMessage="1" showErrorMessage="1" error="Recuerde que las acciones se generan bajo la medida de mitigar el riesgo" xr:uid="{EE61B23E-737B-4A57-B116-D92163F1494E}">
          <x14:formula1>
            <xm:f>IF(OR(AO15='C:\Users\ANDRES\Downloads\[Matriz de riesgos_RECURSOS FÍSICOS 2022 (1).xlsx]Opciones Tratamiento'!#REF!,AO15='C:\Users\ANDRES\Downloads\[Matriz de riesgos_RECURSOS FÍSICOS 2022 (1).xlsx]Opciones Tratamiento'!#REF!,AO15='C:\Users\ANDRES\Downloads\[Matriz de riesgos_RECURSOS FÍSICOS 2022 (1).xlsx]Opciones Tratamiento'!#REF!),ISBLANK(AO15),ISTEXT(AO15))</xm:f>
          </x14:formula1>
          <xm:sqref>AQ23 AQ15:AQ19</xm:sqref>
        </x14:dataValidation>
        <x14:dataValidation type="custom" allowBlank="1" showInputMessage="1" showErrorMessage="1" error="Recuerde que las acciones se generan bajo la medida de mitigar el riesgo" xr:uid="{99028BBD-4517-420A-AA9A-2AC274E779A2}">
          <x14:formula1>
            <xm:f>IF(OR(AO15='C:\Users\ANDRES\Downloads\[Matriz de riesgos_RECURSOS FÍSICOS 2022 (1).xlsx]Opciones Tratamiento'!#REF!,AO15='C:\Users\ANDRES\Downloads\[Matriz de riesgos_RECURSOS FÍSICOS 2022 (1).xlsx]Opciones Tratamiento'!#REF!,AO15='C:\Users\ANDRES\Downloads\[Matriz de riesgos_RECURSOS FÍSICOS 2022 (1).xlsx]Opciones Tratamiento'!#REF!),ISBLANK(AO15),ISTEXT(AO15))</xm:f>
          </x14:formula1>
          <xm:sqref>AP23 AP15:AP19</xm:sqref>
        </x14:dataValidation>
        <x14:dataValidation type="custom" allowBlank="1" showInputMessage="1" showErrorMessage="1" error="Recuerde que las acciones se generan bajo la medida de mitigar el riesgo" xr:uid="{D9FD8983-4A40-4CFE-97A6-0A4F87D34974}">
          <x14:formula1>
            <xm:f>IF(OR(AO21='[mapaderiesgorecursosfisicos24.xlsx]Opciones Tratamiento'!#REF!,AO21='[mapaderiesgorecursosfisicos24.xlsx]Opciones Tratamiento'!#REF!,AO21='[mapaderiesgorecursosfisicos24.xlsx]Opciones Tratamiento'!#REF!),ISBLANK(AO21),ISTEXT(AO21))</xm:f>
          </x14:formula1>
          <xm:sqref>AP21:AP22 AP24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8" sqref="D8"/>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11" t="s">
        <v>137</v>
      </c>
      <c r="C1" s="311"/>
      <c r="D1" s="311"/>
      <c r="E1" s="311"/>
      <c r="F1" s="311"/>
      <c r="G1" s="311"/>
      <c r="H1" s="311"/>
      <c r="I1" s="311"/>
      <c r="J1" s="311"/>
      <c r="L1" s="311" t="s">
        <v>139</v>
      </c>
      <c r="M1" s="311"/>
      <c r="N1" s="311"/>
      <c r="O1" s="311"/>
      <c r="P1" s="311"/>
      <c r="Q1" s="311"/>
      <c r="R1" s="311"/>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12" t="s">
        <v>318</v>
      </c>
      <c r="D2" s="313"/>
    </row>
    <row r="3" spans="3:4" x14ac:dyDescent="0.25">
      <c r="C3" s="314"/>
      <c r="D3" s="315"/>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28" t="s">
        <v>251</v>
      </c>
      <c r="E2" s="329"/>
      <c r="F2" s="329"/>
      <c r="G2" s="329"/>
      <c r="H2" s="329"/>
      <c r="I2" s="329"/>
      <c r="J2" s="329"/>
      <c r="K2" s="330"/>
      <c r="L2" s="319" t="s">
        <v>205</v>
      </c>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1"/>
      <c r="AP2" s="251" t="s">
        <v>250</v>
      </c>
      <c r="AQ2" s="316"/>
      <c r="AR2" s="316"/>
      <c r="AS2" s="316"/>
      <c r="AT2" s="316"/>
      <c r="AU2" s="316"/>
      <c r="AV2" s="224"/>
    </row>
    <row r="3" spans="1:101" x14ac:dyDescent="0.25">
      <c r="D3" s="331"/>
      <c r="E3" s="332"/>
      <c r="F3" s="332"/>
      <c r="G3" s="332"/>
      <c r="H3" s="332"/>
      <c r="I3" s="332"/>
      <c r="J3" s="332"/>
      <c r="K3" s="333"/>
      <c r="L3" s="322"/>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4"/>
      <c r="AP3" s="252" t="s">
        <v>264</v>
      </c>
      <c r="AQ3" s="317"/>
      <c r="AR3" s="317"/>
      <c r="AS3" s="317"/>
      <c r="AT3" s="317"/>
      <c r="AU3" s="317"/>
      <c r="AV3" s="226"/>
    </row>
    <row r="4" spans="1:101" x14ac:dyDescent="0.25">
      <c r="D4" s="331"/>
      <c r="E4" s="332"/>
      <c r="F4" s="332"/>
      <c r="G4" s="332"/>
      <c r="H4" s="332"/>
      <c r="I4" s="332"/>
      <c r="J4" s="332"/>
      <c r="K4" s="333"/>
      <c r="L4" s="322"/>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4"/>
      <c r="AP4" s="252" t="s">
        <v>389</v>
      </c>
      <c r="AQ4" s="317" t="s">
        <v>263</v>
      </c>
      <c r="AR4" s="317"/>
      <c r="AS4" s="317"/>
      <c r="AT4" s="317"/>
      <c r="AU4" s="317"/>
      <c r="AV4" s="226"/>
    </row>
    <row r="5" spans="1:101" ht="15.75" thickBot="1" x14ac:dyDescent="0.3">
      <c r="D5" s="334"/>
      <c r="E5" s="335"/>
      <c r="F5" s="335"/>
      <c r="G5" s="335"/>
      <c r="H5" s="335"/>
      <c r="I5" s="335"/>
      <c r="J5" s="335"/>
      <c r="K5" s="336"/>
      <c r="L5" s="325"/>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7"/>
      <c r="AP5" s="253" t="s">
        <v>245</v>
      </c>
      <c r="AQ5" s="318" t="s">
        <v>245</v>
      </c>
      <c r="AR5" s="318"/>
      <c r="AS5" s="318"/>
      <c r="AT5" s="318"/>
      <c r="AU5" s="318"/>
      <c r="AV5" s="228"/>
    </row>
    <row r="7" spans="1:101" ht="18" customHeight="1" x14ac:dyDescent="0.25">
      <c r="C7" s="69"/>
      <c r="D7" s="427" t="s">
        <v>157</v>
      </c>
      <c r="E7" s="427"/>
      <c r="F7" s="427"/>
      <c r="G7" s="427"/>
      <c r="H7" s="427"/>
      <c r="I7" s="427"/>
      <c r="J7" s="427"/>
      <c r="K7" s="427"/>
      <c r="L7" s="382" t="s">
        <v>2</v>
      </c>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00" t="s">
        <v>266</v>
      </c>
      <c r="B8" s="300"/>
      <c r="C8" s="301"/>
      <c r="D8" s="427"/>
      <c r="E8" s="427"/>
      <c r="F8" s="427"/>
      <c r="G8" s="427"/>
      <c r="H8" s="427"/>
      <c r="I8" s="427"/>
      <c r="J8" s="427"/>
      <c r="K8" s="427"/>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27"/>
      <c r="E9" s="427"/>
      <c r="F9" s="427"/>
      <c r="G9" s="427"/>
      <c r="H9" s="427"/>
      <c r="I9" s="427"/>
      <c r="J9" s="427"/>
      <c r="K9" s="427"/>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37" t="s">
        <v>4</v>
      </c>
      <c r="E11" s="337"/>
      <c r="F11" s="338"/>
      <c r="G11" s="375" t="s">
        <v>115</v>
      </c>
      <c r="H11" s="376"/>
      <c r="I11" s="376"/>
      <c r="J11" s="376"/>
      <c r="K11" s="376"/>
      <c r="L11" s="384" t="str">
        <f ca="1">IF(AND('Mapa final'!$Q$15="Muy Alta",'Mapa final'!$U$15="Leve"),CONCATENATE("R",'Mapa final'!$A$15),"")</f>
        <v/>
      </c>
      <c r="M11" s="385"/>
      <c r="N11" s="385" t="str">
        <f>IF(AND('Mapa final'!$L$16="Muy Alta",'Mapa final'!$P$16="Leve"),CONCATENATE("R",'Mapa final'!$A$16),"")</f>
        <v/>
      </c>
      <c r="O11" s="385"/>
      <c r="P11" s="385" t="str">
        <f>IF(AND('Mapa final'!$L$17="Muy Alta",'Mapa final'!$P$17="Leve"),CONCATENATE("R",'Mapa final'!$A$17),"")</f>
        <v/>
      </c>
      <c r="Q11" s="398"/>
      <c r="R11" s="384" t="str">
        <f ca="1">IF(AND('Mapa final'!$Q$15="Muy Alta",'Mapa final'!$U$15="Menor"),CONCATENATE("R",'Mapa final'!$A$15),"")</f>
        <v/>
      </c>
      <c r="S11" s="385"/>
      <c r="T11" s="385" t="str">
        <f>IF(AND('Mapa final'!$Q$16="Muy Alta",'Mapa final'!$U$16="Menor"),CONCATENATE("R",'Mapa final'!$A$16),"")</f>
        <v/>
      </c>
      <c r="U11" s="385"/>
      <c r="V11" s="385" t="str">
        <f>IF(AND('Mapa final'!$Q$17="Muy Alta",'Mapa final'!$U$17="Menor"),CONCATENATE("R",'Mapa final'!$A$17),"")</f>
        <v/>
      </c>
      <c r="W11" s="385"/>
      <c r="X11" s="384" t="str">
        <f ca="1">IF(AND('Mapa final'!$Q$15="Muy Alta",'Mapa final'!$U$15="Moderado"),CONCATENATE("R",'Mapa final'!$A$15),"")</f>
        <v/>
      </c>
      <c r="Y11" s="385"/>
      <c r="Z11" s="385" t="str">
        <f>IF(AND('Mapa final'!Q$16="Muy Alta",'Mapa final'!$U$16="Moderado"),CONCATENATE("R",'Mapa final'!$A$16),"")</f>
        <v/>
      </c>
      <c r="AA11" s="385"/>
      <c r="AB11" s="385" t="str">
        <f>IF(AND('Mapa final'!$Q$17="Muy Alta",'Mapa final'!$U$17="Moderado"),CONCATENATE("R",'Mapa final'!$A$17),"")</f>
        <v/>
      </c>
      <c r="AC11" s="385"/>
      <c r="AD11" s="384" t="str">
        <f ca="1">IF(AND('Mapa final'!$Q$15="Muy Alta",'Mapa final'!$U$15="Mayor"),CONCATENATE("R",'Mapa final'!$A$15),"")</f>
        <v/>
      </c>
      <c r="AE11" s="385"/>
      <c r="AF11" s="385" t="str">
        <f>IF(AND('Mapa final'!$Q$16="Muy Alta",'Mapa final'!$U$16="Mayor"),CONCATENATE("R",'Mapa final'!$A$16),"")</f>
        <v/>
      </c>
      <c r="AG11" s="385"/>
      <c r="AH11" s="385" t="str">
        <f>IF(AND('Mapa final'!$Q$17="Muy Alta",'Mapa final'!$U$17="Mayor"),CONCATENATE("R",'Mapa final'!$A$17),"")</f>
        <v/>
      </c>
      <c r="AI11" s="385"/>
      <c r="AJ11" s="403" t="str">
        <f ca="1">IF(AND('Mapa final'!$Q$15="Muy Alta",'Mapa final'!$U$15="Catastrófico"),CONCATENATE("R",'Mapa final'!$A$15),"")</f>
        <v/>
      </c>
      <c r="AK11" s="404"/>
      <c r="AL11" s="404" t="str">
        <f>IF(AND('Mapa final'!$Q$16="Muy Alta",'Mapa final'!$U$16="Catastrófico"),CONCATENATE("R",'Mapa final'!$A$16),"")</f>
        <v/>
      </c>
      <c r="AM11" s="404"/>
      <c r="AN11" s="404" t="str">
        <f>IF(AND('Mapa final'!$Q$17="Muy Alta",'Mapa final'!$U$17="Catastrófico"),CONCATENATE("R",'Mapa final'!$A$17),"")</f>
        <v/>
      </c>
      <c r="AO11" s="405"/>
      <c r="AQ11" s="339" t="s">
        <v>78</v>
      </c>
      <c r="AR11" s="340"/>
      <c r="AS11" s="340"/>
      <c r="AT11" s="340"/>
      <c r="AU11" s="340"/>
      <c r="AV11" s="341"/>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37"/>
      <c r="E12" s="337"/>
      <c r="F12" s="338"/>
      <c r="G12" s="377"/>
      <c r="H12" s="378"/>
      <c r="I12" s="378"/>
      <c r="J12" s="378"/>
      <c r="K12" s="379"/>
      <c r="L12" s="386"/>
      <c r="M12" s="383"/>
      <c r="N12" s="383"/>
      <c r="O12" s="383"/>
      <c r="P12" s="383"/>
      <c r="Q12" s="391"/>
      <c r="R12" s="386"/>
      <c r="S12" s="383"/>
      <c r="T12" s="383"/>
      <c r="U12" s="383"/>
      <c r="V12" s="383"/>
      <c r="W12" s="383"/>
      <c r="X12" s="386"/>
      <c r="Y12" s="383"/>
      <c r="Z12" s="383"/>
      <c r="AA12" s="383"/>
      <c r="AB12" s="383"/>
      <c r="AC12" s="383"/>
      <c r="AD12" s="386"/>
      <c r="AE12" s="383"/>
      <c r="AF12" s="383"/>
      <c r="AG12" s="383"/>
      <c r="AH12" s="383"/>
      <c r="AI12" s="383"/>
      <c r="AJ12" s="400"/>
      <c r="AK12" s="401"/>
      <c r="AL12" s="401"/>
      <c r="AM12" s="401"/>
      <c r="AN12" s="401"/>
      <c r="AO12" s="402"/>
      <c r="AP12" s="69"/>
      <c r="AQ12" s="342"/>
      <c r="AR12" s="343"/>
      <c r="AS12" s="343"/>
      <c r="AT12" s="343"/>
      <c r="AU12" s="343"/>
      <c r="AV12" s="344"/>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37"/>
      <c r="E13" s="337"/>
      <c r="F13" s="338"/>
      <c r="G13" s="377"/>
      <c r="H13" s="378"/>
      <c r="I13" s="378"/>
      <c r="J13" s="378"/>
      <c r="K13" s="379"/>
      <c r="L13" s="386" t="str">
        <f ca="1">IF(AND('Mapa final'!$Q$18="Muy Alta",'Mapa final'!$U$18="Leve"),CONCATENATE("R",'Mapa final'!$A$18),"")</f>
        <v/>
      </c>
      <c r="M13" s="383"/>
      <c r="N13" s="383" t="str">
        <f>IF(AND('Mapa final'!$L$19="Muy Alta",'Mapa final'!$P$19="Leve"),CONCATENATE("R",'Mapa final'!$A$19),"")</f>
        <v/>
      </c>
      <c r="O13" s="383"/>
      <c r="P13" s="383" t="str">
        <f>IF(AND('Mapa final'!$L$20="Muy Alta",'Mapa final'!$P$20="Leve"),CONCATENATE("R",'Mapa final'!$A$20),"")</f>
        <v/>
      </c>
      <c r="Q13" s="391"/>
      <c r="R13" s="386" t="str">
        <f ca="1">IF(AND('Mapa final'!$Q$18="Muy Alta",'Mapa final'!$U$18="Menor"),CONCATENATE("R",'Mapa final'!$A$18),"")</f>
        <v/>
      </c>
      <c r="S13" s="383"/>
      <c r="T13" s="383" t="str">
        <f>IF(AND('Mapa final'!$Q$19="Muy Alta",'Mapa final'!$U$19="Menor"),CONCATENATE("R",'Mapa final'!$A$19),"")</f>
        <v/>
      </c>
      <c r="U13" s="383"/>
      <c r="V13" s="383" t="str">
        <f ca="1">IF(AND('Mapa final'!$Q$20="Muy Alta",'Mapa final'!$U$20="Menor"),CONCATENATE("R",'Mapa final'!$A$20),"")</f>
        <v/>
      </c>
      <c r="W13" s="383"/>
      <c r="X13" s="386" t="str">
        <f ca="1">IF(AND('Mapa final'!$Q$18="Muy Alta",'Mapa final'!$U$18="Moderado"),CONCATENATE("R",'Mapa final'!$A$18),"")</f>
        <v/>
      </c>
      <c r="Y13" s="383"/>
      <c r="Z13" s="383" t="str">
        <f>IF(AND('Mapa final'!$Q$19="Muy Alta",'Mapa final'!$U$19="Moderado"),CONCATENATE("R",'Mapa final'!$A$19),"")</f>
        <v/>
      </c>
      <c r="AA13" s="383"/>
      <c r="AB13" s="383" t="str">
        <f ca="1">IF(AND('Mapa final'!$Q$20="Muy Alta",'Mapa final'!$U$20="Moderado"),CONCATENATE("R",'Mapa final'!$A$20),"")</f>
        <v/>
      </c>
      <c r="AC13" s="383"/>
      <c r="AD13" s="386" t="str">
        <f ca="1">IF(AND('Mapa final'!$Q$18="Muy Alta",'Mapa final'!$U$18="Mayor"),CONCATENATE("R",'Mapa final'!$A$18),"")</f>
        <v/>
      </c>
      <c r="AE13" s="383"/>
      <c r="AF13" s="383" t="str">
        <f>IF(AND('Mapa final'!$Q$19="Muy Alta",'Mapa final'!$U$19="Mayor"),CONCATENATE("R",'Mapa final'!$A$19),"")</f>
        <v/>
      </c>
      <c r="AG13" s="383"/>
      <c r="AH13" s="383" t="str">
        <f ca="1">IF(AND('Mapa final'!$Q$20="Muy Alta",'Mapa final'!$U$20="Mayor"),CONCATENATE("R",'Mapa final'!$A$20),"")</f>
        <v/>
      </c>
      <c r="AI13" s="383"/>
      <c r="AJ13" s="400" t="str">
        <f ca="1">IF(AND('Mapa final'!$Q$18="Muy Alta",'Mapa final'!$U$18="Catastrófico"),CONCATENATE("R",'Mapa final'!$A$18),"")</f>
        <v/>
      </c>
      <c r="AK13" s="401"/>
      <c r="AL13" s="401" t="str">
        <f>IF(AND('Mapa final'!$Q$19="Muy Alta",'Mapa final'!$U$19="Catastrófico"),CONCATENATE("R",'Mapa final'!$A$19),"")</f>
        <v/>
      </c>
      <c r="AM13" s="401"/>
      <c r="AN13" s="401" t="str">
        <f>IF(AND('Mapa final'!$Q$20="Muy Alta",'Mapa final'!$L$20="Catastrófico"),CONCATENATE("R",'Mapa final'!$A$20),"")</f>
        <v/>
      </c>
      <c r="AO13" s="402"/>
      <c r="AP13" s="69"/>
      <c r="AQ13" s="342"/>
      <c r="AR13" s="343"/>
      <c r="AS13" s="343"/>
      <c r="AT13" s="343"/>
      <c r="AU13" s="343"/>
      <c r="AV13" s="344"/>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37"/>
      <c r="E14" s="337"/>
      <c r="F14" s="338"/>
      <c r="G14" s="377"/>
      <c r="H14" s="378"/>
      <c r="I14" s="378"/>
      <c r="J14" s="378"/>
      <c r="K14" s="379"/>
      <c r="L14" s="386"/>
      <c r="M14" s="383"/>
      <c r="N14" s="383"/>
      <c r="O14" s="383"/>
      <c r="P14" s="383"/>
      <c r="Q14" s="391"/>
      <c r="R14" s="386"/>
      <c r="S14" s="383"/>
      <c r="T14" s="383"/>
      <c r="U14" s="383"/>
      <c r="V14" s="383"/>
      <c r="W14" s="383"/>
      <c r="X14" s="386"/>
      <c r="Y14" s="383"/>
      <c r="Z14" s="383"/>
      <c r="AA14" s="383"/>
      <c r="AB14" s="383"/>
      <c r="AC14" s="383"/>
      <c r="AD14" s="386"/>
      <c r="AE14" s="383"/>
      <c r="AF14" s="383"/>
      <c r="AG14" s="383"/>
      <c r="AH14" s="383"/>
      <c r="AI14" s="383"/>
      <c r="AJ14" s="400"/>
      <c r="AK14" s="401"/>
      <c r="AL14" s="401"/>
      <c r="AM14" s="401"/>
      <c r="AN14" s="401"/>
      <c r="AO14" s="402"/>
      <c r="AP14" s="69"/>
      <c r="AQ14" s="342"/>
      <c r="AR14" s="343"/>
      <c r="AS14" s="343"/>
      <c r="AT14" s="343"/>
      <c r="AU14" s="343"/>
      <c r="AV14" s="344"/>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37"/>
      <c r="E15" s="337"/>
      <c r="F15" s="338"/>
      <c r="G15" s="377"/>
      <c r="H15" s="378"/>
      <c r="I15" s="378"/>
      <c r="J15" s="378"/>
      <c r="K15" s="379"/>
      <c r="L15" s="386" t="str">
        <f ca="1">IF(AND('Mapa final'!$Q$23="Muy Alta",'Mapa final'!$U$23="Leve"),CONCATENATE("R",'Mapa final'!$A$23),"")</f>
        <v/>
      </c>
      <c r="M15" s="383"/>
      <c r="N15" s="383" t="str">
        <f>IF(AND('Mapa final'!$L$24="Muy Alta",'Mapa final'!$P$24="Leve"),CONCATENATE("R",'Mapa final'!$A$24),"")</f>
        <v/>
      </c>
      <c r="O15" s="383"/>
      <c r="P15" s="383" t="str">
        <f>IF(AND('Mapa final'!$L$25="Muy Alta",'Mapa final'!$P$25="Leve"),CONCATENATE("R",'Mapa final'!$A$25),"")</f>
        <v/>
      </c>
      <c r="Q15" s="391"/>
      <c r="R15" s="386" t="str">
        <f ca="1">IF(AND('Mapa final'!$Q$23="Muy Alta",'Mapa final'!$U$23="Menor"),CONCATENATE("R",'Mapa final'!$A$23),"")</f>
        <v/>
      </c>
      <c r="S15" s="383"/>
      <c r="T15" s="383" t="str">
        <f ca="1">IF(AND('Mapa final'!$LR$24="Muy Alta",'Mapa final'!$U$24="Menor"),CONCATENATE("R",'Mapa final'!$A$24),"")</f>
        <v/>
      </c>
      <c r="U15" s="383"/>
      <c r="V15" s="383" t="str">
        <f>IF(AND('Mapa final'!$Q$25="Muy Alta",'Mapa final'!$U$25="Menor"),CONCATENATE("R",'Mapa final'!$A$25),"")</f>
        <v/>
      </c>
      <c r="W15" s="383"/>
      <c r="X15" s="386" t="str">
        <f ca="1">IF(AND('Mapa final'!$Q$23="Muy Alta",'Mapa final'!$U$23="Moderado"),CONCATENATE("R",'Mapa final'!$A$23),"")</f>
        <v/>
      </c>
      <c r="Y15" s="383"/>
      <c r="Z15" s="383" t="str">
        <f ca="1">IF(AND('Mapa final'!$Q$24="Muy Alta",'Mapa final'!$U$24="Moderado"),CONCATENATE("R",'Mapa final'!$A$24),"")</f>
        <v/>
      </c>
      <c r="AA15" s="383"/>
      <c r="AB15" s="383" t="str">
        <f>IF(AND('Mapa final'!$Q$25="Muy Alta",'Mapa final'!$U$25="Moderado"),CONCATENATE("R",'Mapa final'!$A$25),"")</f>
        <v/>
      </c>
      <c r="AC15" s="383"/>
      <c r="AD15" s="386" t="str">
        <f ca="1">IF(AND('Mapa final'!$Q$23="Muy Alta",'Mapa final'!$U$23="Mayor"),CONCATENATE("R",'Mapa final'!$A$23),"")</f>
        <v/>
      </c>
      <c r="AE15" s="383"/>
      <c r="AF15" s="383" t="str">
        <f ca="1">IF(AND('Mapa final'!$Q$24="Muy Alta",'Mapa final'!$U$24="Mayor"),CONCATENATE("R",'Mapa final'!$A$24),"")</f>
        <v/>
      </c>
      <c r="AG15" s="383"/>
      <c r="AH15" s="383" t="str">
        <f>IF(AND('Mapa final'!$Q$25="Muy Alta",'Mapa final'!$U$25="Mayor"),CONCATENATE("R",'Mapa final'!$A$25),"")</f>
        <v/>
      </c>
      <c r="AI15" s="383"/>
      <c r="AJ15" s="400" t="str">
        <f ca="1">IF(AND('Mapa final'!$Q$23="Muy Alta",'Mapa final'!$U$23="Catastrófico"),CONCATENATE("R",'Mapa final'!$A$23),"")</f>
        <v/>
      </c>
      <c r="AK15" s="401"/>
      <c r="AL15" s="401" t="str">
        <f ca="1">IF(AND('Mapa final'!$Q$24="Muy Alta",'Mapa final'!$U$24="Catastrófico"),CONCATENATE("R",'Mapa final'!$A$24),"")</f>
        <v/>
      </c>
      <c r="AM15" s="401"/>
      <c r="AN15" s="401" t="str">
        <f>IF(AND('Mapa final'!$Q$25="Muy Alta",'Mapa final'!$U$25="Catastrófico"),CONCATENATE("R",'Mapa final'!$A$25),"")</f>
        <v/>
      </c>
      <c r="AO15" s="402"/>
      <c r="AP15" s="69"/>
      <c r="AQ15" s="342"/>
      <c r="AR15" s="343"/>
      <c r="AS15" s="343"/>
      <c r="AT15" s="343"/>
      <c r="AU15" s="343"/>
      <c r="AV15" s="344"/>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37"/>
      <c r="E16" s="337"/>
      <c r="F16" s="338"/>
      <c r="G16" s="377"/>
      <c r="H16" s="378"/>
      <c r="I16" s="378"/>
      <c r="J16" s="378"/>
      <c r="K16" s="379"/>
      <c r="L16" s="386"/>
      <c r="M16" s="383"/>
      <c r="N16" s="383"/>
      <c r="O16" s="383"/>
      <c r="P16" s="383"/>
      <c r="Q16" s="391"/>
      <c r="R16" s="386"/>
      <c r="S16" s="383"/>
      <c r="T16" s="383"/>
      <c r="U16" s="383"/>
      <c r="V16" s="383"/>
      <c r="W16" s="383"/>
      <c r="X16" s="386"/>
      <c r="Y16" s="383"/>
      <c r="Z16" s="383"/>
      <c r="AA16" s="383"/>
      <c r="AB16" s="383"/>
      <c r="AC16" s="383"/>
      <c r="AD16" s="386"/>
      <c r="AE16" s="383"/>
      <c r="AF16" s="383"/>
      <c r="AG16" s="383"/>
      <c r="AH16" s="383"/>
      <c r="AI16" s="383"/>
      <c r="AJ16" s="400"/>
      <c r="AK16" s="401"/>
      <c r="AL16" s="401"/>
      <c r="AM16" s="401"/>
      <c r="AN16" s="401"/>
      <c r="AO16" s="402"/>
      <c r="AP16" s="69"/>
      <c r="AQ16" s="342"/>
      <c r="AR16" s="343"/>
      <c r="AS16" s="343"/>
      <c r="AT16" s="343"/>
      <c r="AU16" s="343"/>
      <c r="AV16" s="344"/>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37"/>
      <c r="E17" s="337"/>
      <c r="F17" s="338"/>
      <c r="G17" s="377"/>
      <c r="H17" s="378"/>
      <c r="I17" s="378"/>
      <c r="J17" s="378"/>
      <c r="K17" s="379"/>
      <c r="L17" s="386" t="str">
        <f>IF(AND('Mapa final'!$Q$26="Muy Alta",'Mapa final'!$U$26="Leve"),CONCATENATE("R",'Mapa final'!$A$26),"")</f>
        <v/>
      </c>
      <c r="M17" s="383"/>
      <c r="N17" s="383" t="str">
        <f>IF(AND('Mapa final'!$L$27="Muy Alta",'Mapa final'!$P$27="Leve"),CONCATENATE("R",'Mapa final'!$A$27),"")</f>
        <v/>
      </c>
      <c r="O17" s="383"/>
      <c r="P17" s="383" t="str">
        <f>IF(AND('Mapa final'!$L$28="Muy Alta",'Mapa final'!$P$28="Leve"),CONCATENATE("R",'Mapa final'!$A$28),"")</f>
        <v/>
      </c>
      <c r="Q17" s="391"/>
      <c r="R17" s="386" t="str">
        <f>IF(AND('Mapa final'!$Q$26="Muy Alta",'Mapa final'!$U$26="Menor"),CONCATENATE("R",'Mapa final'!$A$26),"")</f>
        <v/>
      </c>
      <c r="S17" s="383"/>
      <c r="T17" s="383" t="str">
        <f>IF(AND('Mapa final'!$Q$27="Muy Alta",'Mapa final'!$U$27="Menor"),CONCATENATE("R",'Mapa final'!$A$27),"")</f>
        <v/>
      </c>
      <c r="U17" s="383"/>
      <c r="V17" s="383" t="str">
        <f>IF(AND('Mapa final'!$Q$28="Muy Alta",'Mapa final'!$U$28="Menor"),CONCATENATE("R",'Mapa final'!$A$28),"")</f>
        <v/>
      </c>
      <c r="W17" s="383"/>
      <c r="X17" s="386" t="str">
        <f>IF(AND('Mapa final'!$Q$26="Muy Alta",'Mapa final'!$U$26="Moderado"),CONCATENATE("R",'Mapa final'!$A$26),"")</f>
        <v/>
      </c>
      <c r="Y17" s="383"/>
      <c r="Z17" s="383" t="str">
        <f>IF(AND('Mapa final'!$Q$27="Muy Alta",'Mapa final'!$U$27="Moderado"),CONCATENATE("R",'Mapa final'!$A$27),"")</f>
        <v/>
      </c>
      <c r="AA17" s="383"/>
      <c r="AB17" s="383" t="str">
        <f>IF(AND('Mapa final'!$Q$28="Muy Alta",'Mapa final'!$U$28="Moderado"),CONCATENATE("R",'Mapa final'!$A$28),"")</f>
        <v/>
      </c>
      <c r="AC17" s="383"/>
      <c r="AD17" s="386" t="str">
        <f>IF(AND('Mapa final'!$Q$26="Muy Alta",'Mapa final'!$U$26="Mayor"),CONCATENATE("R",'Mapa final'!$A$26),"")</f>
        <v/>
      </c>
      <c r="AE17" s="383"/>
      <c r="AF17" s="383" t="str">
        <f>IF(AND('Mapa final'!$Q$27="Muy Alta",'Mapa final'!$U$27="Mayor"),CONCATENATE("R",'Mapa final'!$A$27),"")</f>
        <v/>
      </c>
      <c r="AG17" s="383"/>
      <c r="AH17" s="383" t="str">
        <f>IF(AND('Mapa final'!$Q$28="Muy Alta",'Mapa final'!$U$28="Mayor"),CONCATENATE("R",'Mapa final'!$A$28),"")</f>
        <v/>
      </c>
      <c r="AI17" s="383"/>
      <c r="AJ17" s="400" t="str">
        <f>IF(AND('Mapa final'!$Q$26="Muy Alta",'Mapa final'!$U$26="Catastrófico"),CONCATENATE("R",'Mapa final'!$A$26),"")</f>
        <v/>
      </c>
      <c r="AK17" s="401"/>
      <c r="AL17" s="401" t="str">
        <f>IF(AND('Mapa final'!$Q$27="Muy Alta",'Mapa final'!$U$27="Catastrófico"),CONCATENATE("R",'Mapa final'!$A$27),"")</f>
        <v/>
      </c>
      <c r="AM17" s="401"/>
      <c r="AN17" s="401" t="str">
        <f>IF(AND('Mapa final'!$Q$28="Muy Alta",'Mapa final'!$U$28="Catastrófico"),CONCATENATE("R",'Mapa final'!$A$28),"")</f>
        <v/>
      </c>
      <c r="AO17" s="402"/>
      <c r="AP17" s="69"/>
      <c r="AQ17" s="342"/>
      <c r="AR17" s="343"/>
      <c r="AS17" s="343"/>
      <c r="AT17" s="343"/>
      <c r="AU17" s="343"/>
      <c r="AV17" s="344"/>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37"/>
      <c r="E18" s="337"/>
      <c r="F18" s="338"/>
      <c r="G18" s="380"/>
      <c r="H18" s="381"/>
      <c r="I18" s="381"/>
      <c r="J18" s="381"/>
      <c r="K18" s="381"/>
      <c r="L18" s="397"/>
      <c r="M18" s="392"/>
      <c r="N18" s="392"/>
      <c r="O18" s="392"/>
      <c r="P18" s="392"/>
      <c r="Q18" s="393"/>
      <c r="R18" s="397"/>
      <c r="S18" s="392"/>
      <c r="T18" s="392"/>
      <c r="U18" s="392"/>
      <c r="V18" s="392"/>
      <c r="W18" s="392"/>
      <c r="X18" s="386"/>
      <c r="Y18" s="383"/>
      <c r="Z18" s="383"/>
      <c r="AA18" s="383"/>
      <c r="AB18" s="383"/>
      <c r="AC18" s="383"/>
      <c r="AD18" s="386"/>
      <c r="AE18" s="383"/>
      <c r="AF18" s="383"/>
      <c r="AG18" s="383"/>
      <c r="AH18" s="383"/>
      <c r="AI18" s="383"/>
      <c r="AJ18" s="400"/>
      <c r="AK18" s="401"/>
      <c r="AL18" s="401"/>
      <c r="AM18" s="401"/>
      <c r="AN18" s="401"/>
      <c r="AO18" s="402"/>
      <c r="AP18" s="69"/>
      <c r="AQ18" s="345"/>
      <c r="AR18" s="346"/>
      <c r="AS18" s="346"/>
      <c r="AT18" s="346"/>
      <c r="AU18" s="346"/>
      <c r="AV18" s="347"/>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37"/>
      <c r="E19" s="337"/>
      <c r="F19" s="338"/>
      <c r="G19" s="375" t="s">
        <v>114</v>
      </c>
      <c r="H19" s="376"/>
      <c r="I19" s="376"/>
      <c r="J19" s="376"/>
      <c r="K19" s="376"/>
      <c r="L19" s="414" t="str">
        <f ca="1">IF(AND('Mapa final'!$Q$15="Alta",'Mapa final'!$U$15="Leve"),CONCATENATE("R",'Mapa final'!$A$15),"")</f>
        <v/>
      </c>
      <c r="M19" s="415"/>
      <c r="N19" s="415" t="str">
        <f>IF(AND('Mapa final'!$L$16="Alta",'Mapa final'!$P$16="Leve"),CONCATENATE("R",'Mapa final'!$A$16),"")</f>
        <v/>
      </c>
      <c r="O19" s="415"/>
      <c r="P19" s="415" t="str">
        <f>IF(AND('Mapa final'!$L$17="Alta",'Mapa final'!$P$17="Leve"),CONCATENATE("R",'Mapa final'!$A$17),"")</f>
        <v/>
      </c>
      <c r="Q19" s="416"/>
      <c r="R19" s="414" t="str">
        <f ca="1">IF(AND('Mapa final'!$Q$15="Alta",'Mapa final'!$U$15="Menor"),CONCATENATE("R",'Mapa final'!$A$15),"")</f>
        <v/>
      </c>
      <c r="S19" s="415"/>
      <c r="T19" s="395" t="str">
        <f>IF(AND('Mapa final'!$Q$16="Alta",'Mapa final'!$U$16="Menor"),CONCATENATE("R",'Mapa final'!$A$16),"")</f>
        <v/>
      </c>
      <c r="U19" s="395"/>
      <c r="V19" s="395" t="str">
        <f>IF(AND('Mapa final'!$Q$17="Alta",'Mapa final'!$U$17="Menor"),CONCATENATE("R",'Mapa final'!$A$17),"")</f>
        <v/>
      </c>
      <c r="W19" s="395"/>
      <c r="X19" s="384" t="str">
        <f ca="1">IF(AND('Mapa final'!$Q$15="Alta",'Mapa final'!$U$15="Moderado"),CONCATENATE("R",'Mapa final'!$A$15),"")</f>
        <v/>
      </c>
      <c r="Y19" s="385"/>
      <c r="Z19" s="385" t="str">
        <f>IF(AND('Mapa final'!Q$16="Alta",'Mapa final'!$U$16="Moderado"),CONCATENATE("R",'Mapa final'!$A$16),"")</f>
        <v/>
      </c>
      <c r="AA19" s="385"/>
      <c r="AB19" s="385" t="str">
        <f>IF(AND('Mapa final'!$Q$17="Alta",'Mapa final'!$U$17="Moderado"),CONCATENATE("R",'Mapa final'!$A$17),"")</f>
        <v/>
      </c>
      <c r="AC19" s="385"/>
      <c r="AD19" s="384" t="str">
        <f ca="1">IF(AND('Mapa final'!$Q$15="Alta",'Mapa final'!$U$15="Mayor"),CONCATENATE("R",'Mapa final'!$A$15),"")</f>
        <v/>
      </c>
      <c r="AE19" s="385"/>
      <c r="AF19" s="385" t="str">
        <f>IF(AND('Mapa final'!$Q$16="Alta",'Mapa final'!$U$16="Mayor"),CONCATENATE("R",'Mapa final'!$A$16),"")</f>
        <v/>
      </c>
      <c r="AG19" s="385"/>
      <c r="AH19" s="385" t="str">
        <f>IF(AND('Mapa final'!$Q$17="Alta",'Mapa final'!$U$17="Mayor"),CONCATENATE("R",'Mapa final'!$A$17),"")</f>
        <v/>
      </c>
      <c r="AI19" s="385"/>
      <c r="AJ19" s="403" t="str">
        <f ca="1">IF(AND('Mapa final'!$Q$15="Alta",'Mapa final'!$U$15="Catastrófico"),CONCATENATE("R",'Mapa final'!$A$15),"")</f>
        <v/>
      </c>
      <c r="AK19" s="404"/>
      <c r="AL19" s="404" t="str">
        <f>IF(AND('Mapa final'!$Q$16="Alta",'Mapa final'!$U$16="Catastrófico"),CONCATENATE("R",'Mapa final'!$A$16),"")</f>
        <v/>
      </c>
      <c r="AM19" s="404"/>
      <c r="AN19" s="404" t="str">
        <f>IF(AND('Mapa final'!$Q$17="Alta",'Mapa final'!$U$17="Catastrófico"),CONCATENATE("R",'Mapa final'!$A$17),"")</f>
        <v/>
      </c>
      <c r="AO19" s="405"/>
      <c r="AP19" s="69"/>
      <c r="AQ19" s="348" t="s">
        <v>79</v>
      </c>
      <c r="AR19" s="349"/>
      <c r="AS19" s="349"/>
      <c r="AT19" s="349"/>
      <c r="AU19" s="349"/>
      <c r="AV19" s="350"/>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37"/>
      <c r="E20" s="337"/>
      <c r="F20" s="338"/>
      <c r="G20" s="377"/>
      <c r="H20" s="378"/>
      <c r="I20" s="378"/>
      <c r="J20" s="378"/>
      <c r="K20" s="378"/>
      <c r="L20" s="394"/>
      <c r="M20" s="395"/>
      <c r="N20" s="395"/>
      <c r="O20" s="395"/>
      <c r="P20" s="395"/>
      <c r="Q20" s="410"/>
      <c r="R20" s="394"/>
      <c r="S20" s="395"/>
      <c r="T20" s="417"/>
      <c r="U20" s="417"/>
      <c r="V20" s="417"/>
      <c r="W20" s="417"/>
      <c r="X20" s="386"/>
      <c r="Y20" s="383"/>
      <c r="Z20" s="383"/>
      <c r="AA20" s="383"/>
      <c r="AB20" s="383"/>
      <c r="AC20" s="383"/>
      <c r="AD20" s="386"/>
      <c r="AE20" s="383"/>
      <c r="AF20" s="383"/>
      <c r="AG20" s="383"/>
      <c r="AH20" s="383"/>
      <c r="AI20" s="383"/>
      <c r="AJ20" s="400"/>
      <c r="AK20" s="401"/>
      <c r="AL20" s="401"/>
      <c r="AM20" s="401"/>
      <c r="AN20" s="401"/>
      <c r="AO20" s="402"/>
      <c r="AP20" s="69"/>
      <c r="AQ20" s="351"/>
      <c r="AR20" s="352"/>
      <c r="AS20" s="352"/>
      <c r="AT20" s="352"/>
      <c r="AU20" s="352"/>
      <c r="AV20" s="353"/>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37"/>
      <c r="E21" s="337"/>
      <c r="F21" s="338"/>
      <c r="G21" s="377"/>
      <c r="H21" s="378"/>
      <c r="I21" s="378"/>
      <c r="J21" s="378"/>
      <c r="K21" s="378"/>
      <c r="L21" s="394" t="str">
        <f ca="1">IF(AND('Mapa final'!$Q$18="Alta",'Mapa final'!$U$18="Leve"),CONCATENATE("R",'Mapa final'!$A$18),"")</f>
        <v/>
      </c>
      <c r="M21" s="395"/>
      <c r="N21" s="395" t="str">
        <f>IF(AND('Mapa final'!$L$19="Alta",'Mapa final'!$P$19="Leve"),CONCATENATE("R",'Mapa final'!$A$19),"")</f>
        <v/>
      </c>
      <c r="O21" s="395"/>
      <c r="P21" s="395" t="str">
        <f>IF(AND('Mapa final'!$L$20="Alta",'Mapa final'!$P$20="Leve"),CONCATENATE("R",'Mapa final'!$A$20),"")</f>
        <v/>
      </c>
      <c r="Q21" s="410"/>
      <c r="R21" s="394" t="str">
        <f ca="1">IF(AND('Mapa final'!$Q$18="Alta",'Mapa final'!$U$18="Menor"),CONCATENATE("R",'Mapa final'!$A$18),"")</f>
        <v/>
      </c>
      <c r="S21" s="395"/>
      <c r="T21" s="395" t="str">
        <f>IF(AND('Mapa final'!$Q$19="Alta",'Mapa final'!$U$19="Menor"),CONCATENATE("R",'Mapa final'!$A$19),"")</f>
        <v/>
      </c>
      <c r="U21" s="395"/>
      <c r="V21" s="395" t="str">
        <f ca="1">IF(AND('Mapa final'!$Q$20="Alta",'Mapa final'!$U$20="Menor"),CONCATENATE("R",'Mapa final'!$A$20),"")</f>
        <v/>
      </c>
      <c r="W21" s="395"/>
      <c r="X21" s="386" t="str">
        <f ca="1">IF(AND('Mapa final'!$Q$18="Alta",'Mapa final'!$U$18="Moderado"),CONCATENATE("R",'Mapa final'!$A$18),"")</f>
        <v/>
      </c>
      <c r="Y21" s="383"/>
      <c r="Z21" s="383" t="str">
        <f>IF(AND('Mapa final'!$Q$19="Alta",'Mapa final'!$U$19="Moderado"),CONCATENATE("R",'Mapa final'!$A$19),"")</f>
        <v/>
      </c>
      <c r="AA21" s="383"/>
      <c r="AB21" s="383" t="str">
        <f ca="1">IF(AND('Mapa final'!$Q$20="Alta",'Mapa final'!$U$20="Moderado"),CONCATENATE("R",'Mapa final'!$A$20),"")</f>
        <v/>
      </c>
      <c r="AC21" s="383"/>
      <c r="AD21" s="386" t="str">
        <f ca="1">IF(AND('Mapa final'!$Q$18="Alta",'Mapa final'!$U$18="Mayor"),CONCATENATE("R",'Mapa final'!$A$18),"")</f>
        <v/>
      </c>
      <c r="AE21" s="383"/>
      <c r="AF21" s="383" t="str">
        <f>IF(AND('Mapa final'!$Q$19="Alta",'Mapa final'!$U$19="Mayor"),CONCATENATE("R",'Mapa final'!$A$19),"")</f>
        <v/>
      </c>
      <c r="AG21" s="383"/>
      <c r="AH21" s="383" t="str">
        <f ca="1">IF(AND('Mapa final'!$Q$20="Alta",'Mapa final'!$U$20="Mayor"),CONCATENATE("R",'Mapa final'!$A$20),"")</f>
        <v/>
      </c>
      <c r="AI21" s="383"/>
      <c r="AJ21" s="400" t="str">
        <f ca="1">IF(AND('Mapa final'!$Q$18="Alta",'Mapa final'!$U$18="Catastrófico"),CONCATENATE("R",'Mapa final'!$A$18),"")</f>
        <v/>
      </c>
      <c r="AK21" s="401"/>
      <c r="AL21" s="401" t="str">
        <f>IF(AND('Mapa final'!$Q$19="Alta",'Mapa final'!$U$19="Catastrófico"),CONCATENATE("R",'Mapa final'!$A$19),"")</f>
        <v/>
      </c>
      <c r="AM21" s="401"/>
      <c r="AN21" s="401" t="str">
        <f>IF(AND('Mapa final'!$Q$20="Alta",'Mapa final'!$L$20="Catastrófico"),CONCATENATE("R",'Mapa final'!$A$20),"")</f>
        <v/>
      </c>
      <c r="AO21" s="402"/>
      <c r="AP21" s="69"/>
      <c r="AQ21" s="351"/>
      <c r="AR21" s="352"/>
      <c r="AS21" s="352"/>
      <c r="AT21" s="352"/>
      <c r="AU21" s="352"/>
      <c r="AV21" s="353"/>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37"/>
      <c r="E22" s="337"/>
      <c r="F22" s="338"/>
      <c r="G22" s="377"/>
      <c r="H22" s="378"/>
      <c r="I22" s="378"/>
      <c r="J22" s="378"/>
      <c r="K22" s="378"/>
      <c r="L22" s="394"/>
      <c r="M22" s="395"/>
      <c r="N22" s="395"/>
      <c r="O22" s="395"/>
      <c r="P22" s="395"/>
      <c r="Q22" s="410"/>
      <c r="R22" s="394"/>
      <c r="S22" s="395"/>
      <c r="T22" s="417"/>
      <c r="U22" s="417"/>
      <c r="V22" s="417"/>
      <c r="W22" s="417"/>
      <c r="X22" s="386"/>
      <c r="Y22" s="383"/>
      <c r="Z22" s="383"/>
      <c r="AA22" s="383"/>
      <c r="AB22" s="383"/>
      <c r="AC22" s="383"/>
      <c r="AD22" s="386"/>
      <c r="AE22" s="383"/>
      <c r="AF22" s="383"/>
      <c r="AG22" s="383"/>
      <c r="AH22" s="383"/>
      <c r="AI22" s="383"/>
      <c r="AJ22" s="400"/>
      <c r="AK22" s="401"/>
      <c r="AL22" s="401"/>
      <c r="AM22" s="401"/>
      <c r="AN22" s="401"/>
      <c r="AO22" s="402"/>
      <c r="AP22" s="69"/>
      <c r="AQ22" s="351"/>
      <c r="AR22" s="352"/>
      <c r="AS22" s="352"/>
      <c r="AT22" s="352"/>
      <c r="AU22" s="352"/>
      <c r="AV22" s="353"/>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37"/>
      <c r="E23" s="337"/>
      <c r="F23" s="338"/>
      <c r="G23" s="377"/>
      <c r="H23" s="378"/>
      <c r="I23" s="378"/>
      <c r="J23" s="378"/>
      <c r="K23" s="378"/>
      <c r="L23" s="394" t="str">
        <f ca="1">IF(AND('Mapa final'!$Q$23="Alta",'Mapa final'!$U$23="Leve"),CONCATENATE("R",'Mapa final'!$A$23),"")</f>
        <v/>
      </c>
      <c r="M23" s="395"/>
      <c r="N23" s="395" t="str">
        <f>IF(AND('Mapa final'!$L$24="Alta",'Mapa final'!$P$24="Leve"),CONCATENATE("R",'Mapa final'!$A$24),"")</f>
        <v/>
      </c>
      <c r="O23" s="395"/>
      <c r="P23" s="395" t="str">
        <f>IF(AND('Mapa final'!$L$25="Alta",'Mapa final'!$P$25="Leve"),CONCATENATE("R",'Mapa final'!$A$25),"")</f>
        <v/>
      </c>
      <c r="Q23" s="410"/>
      <c r="R23" s="394" t="str">
        <f ca="1">IF(AND('Mapa final'!$Q$23="Alta",'Mapa final'!$U$23="Menor"),CONCATENATE("R",'Mapa final'!$A$23),"")</f>
        <v/>
      </c>
      <c r="S23" s="395"/>
      <c r="T23" s="395" t="str">
        <f ca="1">IF(AND('Mapa final'!$LR$24="Alta",'Mapa final'!$U$24="Menor"),CONCATENATE("R",'Mapa final'!$A$24),"")</f>
        <v/>
      </c>
      <c r="U23" s="395"/>
      <c r="V23" s="395" t="str">
        <f>IF(AND('Mapa final'!$Q$25="Alta",'Mapa final'!$U$25="Menor"),CONCATENATE("R",'Mapa final'!$A$25),"")</f>
        <v/>
      </c>
      <c r="W23" s="395"/>
      <c r="X23" s="386" t="str">
        <f ca="1">IF(AND('Mapa final'!$Q$23="Alta",'Mapa final'!$U$23="Moderado"),CONCATENATE("R",'Mapa final'!$A$23),"")</f>
        <v/>
      </c>
      <c r="Y23" s="383"/>
      <c r="Z23" s="383" t="str">
        <f ca="1">IF(AND('Mapa final'!$Q$24="Alta",'Mapa final'!$U$24="Moderado"),CONCATENATE("R",'Mapa final'!$A$24),"")</f>
        <v/>
      </c>
      <c r="AA23" s="383"/>
      <c r="AB23" s="383" t="str">
        <f>IF(AND('Mapa final'!$Q$25="Alta",'Mapa final'!$U$25="Moderado"),CONCATENATE("R",'Mapa final'!$A$25),"")</f>
        <v/>
      </c>
      <c r="AC23" s="383"/>
      <c r="AD23" s="386" t="str">
        <f ca="1">IF(AND('Mapa final'!$Q$23="Alta",'Mapa final'!$U$23="Mayor"),CONCATENATE("R",'Mapa final'!$A$23),"")</f>
        <v/>
      </c>
      <c r="AE23" s="383"/>
      <c r="AF23" s="383" t="str">
        <f ca="1">IF(AND('Mapa final'!$Q$24="Alta",'Mapa final'!$U$24="Mayor"),CONCATENATE("R",'Mapa final'!$A$24),"")</f>
        <v/>
      </c>
      <c r="AG23" s="383"/>
      <c r="AH23" s="383" t="str">
        <f>IF(AND('Mapa final'!$Q$25="Alta",'Mapa final'!$U$25="Mayor"),CONCATENATE("R",'Mapa final'!$A$25),"")</f>
        <v/>
      </c>
      <c r="AI23" s="383"/>
      <c r="AJ23" s="400" t="str">
        <f ca="1">IF(AND('Mapa final'!$Q$23="Alta",'Mapa final'!$U$23="Catastrófico"),CONCATENATE("R",'Mapa final'!$A$23),"")</f>
        <v/>
      </c>
      <c r="AK23" s="401"/>
      <c r="AL23" s="401" t="str">
        <f ca="1">IF(AND('Mapa final'!$Q$24="Alta",'Mapa final'!$U$24="Catastrófico"),CONCATENATE("R",'Mapa final'!$A$24),"")</f>
        <v/>
      </c>
      <c r="AM23" s="401"/>
      <c r="AN23" s="401" t="str">
        <f>IF(AND('Mapa final'!$Q$25="Alta",'Mapa final'!$U$25="Catastrófico"),CONCATENATE("R",'Mapa final'!$A$25),"")</f>
        <v/>
      </c>
      <c r="AO23" s="402"/>
      <c r="AP23" s="69"/>
      <c r="AQ23" s="351"/>
      <c r="AR23" s="352"/>
      <c r="AS23" s="352"/>
      <c r="AT23" s="352"/>
      <c r="AU23" s="352"/>
      <c r="AV23" s="353"/>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37"/>
      <c r="E24" s="337"/>
      <c r="F24" s="338"/>
      <c r="G24" s="377"/>
      <c r="H24" s="378"/>
      <c r="I24" s="378"/>
      <c r="J24" s="378"/>
      <c r="K24" s="378"/>
      <c r="L24" s="394"/>
      <c r="M24" s="395"/>
      <c r="N24" s="395"/>
      <c r="O24" s="395"/>
      <c r="P24" s="395"/>
      <c r="Q24" s="410"/>
      <c r="R24" s="394"/>
      <c r="S24" s="395"/>
      <c r="T24" s="417"/>
      <c r="U24" s="417"/>
      <c r="V24" s="417"/>
      <c r="W24" s="417"/>
      <c r="X24" s="386"/>
      <c r="Y24" s="383"/>
      <c r="Z24" s="383"/>
      <c r="AA24" s="383"/>
      <c r="AB24" s="383"/>
      <c r="AC24" s="383"/>
      <c r="AD24" s="386"/>
      <c r="AE24" s="383"/>
      <c r="AF24" s="383"/>
      <c r="AG24" s="383"/>
      <c r="AH24" s="383"/>
      <c r="AI24" s="383"/>
      <c r="AJ24" s="400"/>
      <c r="AK24" s="401"/>
      <c r="AL24" s="401"/>
      <c r="AM24" s="401"/>
      <c r="AN24" s="401"/>
      <c r="AO24" s="402"/>
      <c r="AP24" s="69"/>
      <c r="AQ24" s="351"/>
      <c r="AR24" s="352"/>
      <c r="AS24" s="352"/>
      <c r="AT24" s="352"/>
      <c r="AU24" s="352"/>
      <c r="AV24" s="353"/>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37"/>
      <c r="E25" s="337"/>
      <c r="F25" s="338"/>
      <c r="G25" s="377"/>
      <c r="H25" s="378"/>
      <c r="I25" s="378"/>
      <c r="J25" s="378"/>
      <c r="K25" s="378"/>
      <c r="L25" s="394" t="str">
        <f>IF(AND('Mapa final'!$Q$26="Alta",'Mapa final'!$U$26="Leve"),CONCATENATE("R",'Mapa final'!$A$26),"")</f>
        <v/>
      </c>
      <c r="M25" s="395"/>
      <c r="N25" s="395" t="str">
        <f>IF(AND('Mapa final'!$L$27="Alta",'Mapa final'!$P$27="Leve"),CONCATENATE("R",'Mapa final'!$A$27),"")</f>
        <v/>
      </c>
      <c r="O25" s="395"/>
      <c r="P25" s="395" t="str">
        <f>IF(AND('Mapa final'!$L$28="Alta",'Mapa final'!$P$28="Leve"),CONCATENATE("R",'Mapa final'!$A$28),"")</f>
        <v/>
      </c>
      <c r="Q25" s="410"/>
      <c r="R25" s="394" t="str">
        <f>IF(AND('Mapa final'!$Q$26="Alta",'Mapa final'!$U$26="Menor"),CONCATENATE("R",'Mapa final'!$A$26),"")</f>
        <v/>
      </c>
      <c r="S25" s="395"/>
      <c r="T25" s="395" t="str">
        <f>IF(AND('Mapa final'!$Q$27="Alta",'Mapa final'!$U$27="Menor"),CONCATENATE("R",'Mapa final'!$A$27),"")</f>
        <v/>
      </c>
      <c r="U25" s="395"/>
      <c r="V25" s="395" t="str">
        <f>IF(AND('Mapa final'!$Q$28="Alta",'Mapa final'!$U$28="Menor"),CONCATENATE("R",'Mapa final'!$A$28),"")</f>
        <v/>
      </c>
      <c r="W25" s="395"/>
      <c r="X25" s="386" t="str">
        <f>IF(AND('Mapa final'!$Q$26="Alta",'Mapa final'!$U$26="Moderado"),CONCATENATE("R",'Mapa final'!$A$26),"")</f>
        <v/>
      </c>
      <c r="Y25" s="383"/>
      <c r="Z25" s="383" t="str">
        <f>IF(AND('Mapa final'!$Q$27="Alta",'Mapa final'!$U$27="Moderado"),CONCATENATE("R",'Mapa final'!$A$27),"")</f>
        <v/>
      </c>
      <c r="AA25" s="383"/>
      <c r="AB25" s="383" t="str">
        <f>IF(AND('Mapa final'!$Q$28="Alta",'Mapa final'!$U$28="Moderado"),CONCATENATE("R",'Mapa final'!$A$28),"")</f>
        <v/>
      </c>
      <c r="AC25" s="383"/>
      <c r="AD25" s="386" t="str">
        <f>IF(AND('Mapa final'!$Q$26="Alta",'Mapa final'!$U$26="Mayor"),CONCATENATE("R",'Mapa final'!$A$26),"")</f>
        <v/>
      </c>
      <c r="AE25" s="383"/>
      <c r="AF25" s="383" t="str">
        <f>IF(AND('Mapa final'!$Q$27="Alta",'Mapa final'!$U$27="Mayor"),CONCATENATE("R",'Mapa final'!$A$27),"")</f>
        <v/>
      </c>
      <c r="AG25" s="383"/>
      <c r="AH25" s="383" t="str">
        <f>IF(AND('Mapa final'!$Q$28="Alta",'Mapa final'!$U$28="Mayor"),CONCATENATE("R",'Mapa final'!$A$28),"")</f>
        <v/>
      </c>
      <c r="AI25" s="383"/>
      <c r="AJ25" s="400" t="str">
        <f>IF(AND('Mapa final'!$Q$26="Alta",'Mapa final'!$U$26="Catastrófico"),CONCATENATE("R",'Mapa final'!$A$26),"")</f>
        <v/>
      </c>
      <c r="AK25" s="401"/>
      <c r="AL25" s="401" t="str">
        <f>IF(AND('Mapa final'!$Q$27="Alta",'Mapa final'!$U$27="Catastrófico"),CONCATENATE("R",'Mapa final'!$A$27),"")</f>
        <v/>
      </c>
      <c r="AM25" s="401"/>
      <c r="AN25" s="401" t="str">
        <f>IF(AND('Mapa final'!$Q$28="Alta",'Mapa final'!$U$28="Catastrófico"),CONCATENATE("R",'Mapa final'!$A$28),"")</f>
        <v/>
      </c>
      <c r="AO25" s="402"/>
      <c r="AP25" s="69"/>
      <c r="AQ25" s="351"/>
      <c r="AR25" s="352"/>
      <c r="AS25" s="352"/>
      <c r="AT25" s="352"/>
      <c r="AU25" s="352"/>
      <c r="AV25" s="353"/>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37"/>
      <c r="E26" s="337"/>
      <c r="F26" s="338"/>
      <c r="G26" s="380"/>
      <c r="H26" s="381"/>
      <c r="I26" s="381"/>
      <c r="J26" s="381"/>
      <c r="K26" s="381"/>
      <c r="L26" s="411"/>
      <c r="M26" s="412"/>
      <c r="N26" s="412"/>
      <c r="O26" s="412"/>
      <c r="P26" s="412"/>
      <c r="Q26" s="413"/>
      <c r="R26" s="411"/>
      <c r="S26" s="412"/>
      <c r="T26" s="417"/>
      <c r="U26" s="417"/>
      <c r="V26" s="417"/>
      <c r="W26" s="417"/>
      <c r="X26" s="386"/>
      <c r="Y26" s="383"/>
      <c r="Z26" s="383"/>
      <c r="AA26" s="383"/>
      <c r="AB26" s="383"/>
      <c r="AC26" s="383"/>
      <c r="AD26" s="386"/>
      <c r="AE26" s="383"/>
      <c r="AF26" s="383"/>
      <c r="AG26" s="383"/>
      <c r="AH26" s="383"/>
      <c r="AI26" s="383"/>
      <c r="AJ26" s="400"/>
      <c r="AK26" s="401"/>
      <c r="AL26" s="401"/>
      <c r="AM26" s="401"/>
      <c r="AN26" s="401"/>
      <c r="AO26" s="402"/>
      <c r="AP26" s="69"/>
      <c r="AQ26" s="354"/>
      <c r="AR26" s="355"/>
      <c r="AS26" s="355"/>
      <c r="AT26" s="355"/>
      <c r="AU26" s="355"/>
      <c r="AV26" s="356"/>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37"/>
      <c r="E27" s="337"/>
      <c r="F27" s="338"/>
      <c r="G27" s="375" t="s">
        <v>116</v>
      </c>
      <c r="H27" s="376"/>
      <c r="I27" s="376"/>
      <c r="J27" s="376"/>
      <c r="K27" s="376"/>
      <c r="L27" s="414" t="str">
        <f ca="1">IF(AND('Mapa final'!$Q$15="Media",'Mapa final'!$U$15="Leve"),CONCATENATE("R",'Mapa final'!$A$15),"")</f>
        <v/>
      </c>
      <c r="M27" s="415"/>
      <c r="N27" s="415" t="str">
        <f>IF(AND('Mapa final'!$L$16="Media",'Mapa final'!$P$16="Leve"),CONCATENATE("R",'Mapa final'!$A$16),"")</f>
        <v/>
      </c>
      <c r="O27" s="415"/>
      <c r="P27" s="415" t="str">
        <f>IF(AND('Mapa final'!$Q$17="Media",'Mapa final'!$U$17="leve"),CONCATENATE("R",'Mapa final'!$D$17),"")</f>
        <v/>
      </c>
      <c r="Q27" s="415"/>
      <c r="R27" s="414" t="str">
        <f ca="1">IF(AND('Mapa final'!$Q$15="Media",'Mapa final'!$U$15="Menor"),CONCATENATE("R",'Mapa final'!$A$15),"")</f>
        <v/>
      </c>
      <c r="S27" s="415"/>
      <c r="T27" s="415" t="str">
        <f>IF(AND('Mapa final'!$Q$16="Media",'Mapa final'!$U$16="Menor"),CONCATENATE("R",'Mapa final'!$A$16),"")</f>
        <v/>
      </c>
      <c r="U27" s="415"/>
      <c r="V27" s="415" t="str">
        <f>IF(AND('Mapa final'!$Q$17="Media",'Mapa final'!$U$17="Menor"),CONCATENATE("R",'Mapa final'!$A$17),"")</f>
        <v/>
      </c>
      <c r="W27" s="416"/>
      <c r="X27" s="414" t="str">
        <f ca="1">IF(AND('Mapa final'!$Q$15="Media",'Mapa final'!$U$15="Moderado"),CONCATENATE("R",'Mapa final'!$D$15),"")</f>
        <v>R1</v>
      </c>
      <c r="Y27" s="415"/>
      <c r="Z27" s="415" t="str">
        <f>IF(AND('Mapa final'!Q$16="Media",'Mapa final'!$U$16="Moderado"),CONCATENATE("R",'Mapa final'!$A$16),"")</f>
        <v/>
      </c>
      <c r="AA27" s="415"/>
      <c r="AB27" s="415" t="str">
        <f>IF(AND('Mapa final'!$Q$17="Media",'Mapa final'!$U$17="Moderado"),CONCATENATE("R",'Mapa final'!$A$17),"")</f>
        <v/>
      </c>
      <c r="AC27" s="415"/>
      <c r="AD27" s="384" t="str">
        <f ca="1">IF(AND('Mapa final'!$Q$15="Media",'Mapa final'!$U$15="Mayor"),CONCATENATE("R",'Mapa final'!$D$15),"")</f>
        <v/>
      </c>
      <c r="AE27" s="385"/>
      <c r="AF27" s="385" t="str">
        <f>IF(AND('Mapa final'!$Q$16="Media",'Mapa final'!$U$16="Mayor"),CONCATENATE("R",'Mapa final'!$A$16),"")</f>
        <v/>
      </c>
      <c r="AG27" s="385"/>
      <c r="AH27" s="385" t="str">
        <f>IF(AND('Mapa final'!$Q$17="Media",'Mapa final'!$U$17="Mayor"),CONCATENATE("R",'Mapa final'!$A$17),"")</f>
        <v/>
      </c>
      <c r="AI27" s="385"/>
      <c r="AJ27" s="403" t="str">
        <f ca="1">IF(AND('Mapa final'!$Q$15="Media",'Mapa final'!$U$15="Catastrófico"),CONCATENATE("R",'Mapa final'!$A$15),"")</f>
        <v/>
      </c>
      <c r="AK27" s="404"/>
      <c r="AL27" s="404" t="str">
        <f>IF(AND('Mapa final'!$Q$16="Media",'Mapa final'!$U$16="Catastrófico"),CONCATENATE("R",'Mapa final'!$A$16),"")</f>
        <v/>
      </c>
      <c r="AM27" s="404"/>
      <c r="AN27" s="404" t="str">
        <f>IF(AND('Mapa final'!$Q$17="Media",'Mapa final'!$U$17="Catastrófico"),CONCATENATE("R",'Mapa final'!$A$17),"")</f>
        <v/>
      </c>
      <c r="AO27" s="405"/>
      <c r="AP27" s="69"/>
      <c r="AQ27" s="357" t="s">
        <v>80</v>
      </c>
      <c r="AR27" s="358"/>
      <c r="AS27" s="358"/>
      <c r="AT27" s="358"/>
      <c r="AU27" s="358"/>
      <c r="AV27" s="35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37"/>
      <c r="E28" s="337"/>
      <c r="F28" s="338"/>
      <c r="G28" s="377"/>
      <c r="H28" s="378"/>
      <c r="I28" s="378"/>
      <c r="J28" s="378"/>
      <c r="K28" s="379"/>
      <c r="L28" s="394"/>
      <c r="M28" s="395"/>
      <c r="N28" s="395"/>
      <c r="O28" s="395"/>
      <c r="P28" s="395"/>
      <c r="Q28" s="395"/>
      <c r="R28" s="394"/>
      <c r="S28" s="395"/>
      <c r="T28" s="395"/>
      <c r="U28" s="395"/>
      <c r="V28" s="395"/>
      <c r="W28" s="410"/>
      <c r="X28" s="394"/>
      <c r="Y28" s="395"/>
      <c r="Z28" s="395"/>
      <c r="AA28" s="395"/>
      <c r="AB28" s="395"/>
      <c r="AC28" s="395"/>
      <c r="AD28" s="386"/>
      <c r="AE28" s="383"/>
      <c r="AF28" s="383"/>
      <c r="AG28" s="383"/>
      <c r="AH28" s="383"/>
      <c r="AI28" s="383"/>
      <c r="AJ28" s="400"/>
      <c r="AK28" s="401"/>
      <c r="AL28" s="401"/>
      <c r="AM28" s="401"/>
      <c r="AN28" s="401"/>
      <c r="AO28" s="402"/>
      <c r="AP28" s="69"/>
      <c r="AQ28" s="360"/>
      <c r="AR28" s="361"/>
      <c r="AS28" s="361"/>
      <c r="AT28" s="361"/>
      <c r="AU28" s="361"/>
      <c r="AV28" s="362"/>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37"/>
      <c r="E29" s="337"/>
      <c r="F29" s="338"/>
      <c r="G29" s="377"/>
      <c r="H29" s="378"/>
      <c r="I29" s="378"/>
      <c r="J29" s="378"/>
      <c r="K29" s="379"/>
      <c r="L29" s="394" t="str">
        <f ca="1">IF(AND('Mapa final'!$Q$18="Media",'Mapa final'!$U$18="Leve"),CONCATENATE("R",'Mapa final'!$A$18),"")</f>
        <v/>
      </c>
      <c r="M29" s="395"/>
      <c r="N29" s="395" t="str">
        <f>IF(AND('Mapa final'!$L$19="Media",'Mapa final'!$P$19="Leve"),CONCATENATE("R",'Mapa final'!$A$19),"")</f>
        <v/>
      </c>
      <c r="O29" s="395"/>
      <c r="P29" s="395" t="str">
        <f>IF(AND('Mapa final'!$L$20="Media",'Mapa final'!$P$20="Leve"),CONCATENATE("R",'Mapa final'!$A$20),"")</f>
        <v/>
      </c>
      <c r="Q29" s="395"/>
      <c r="R29" s="394" t="str">
        <f ca="1">IF(AND('Mapa final'!$Q$18="Media",'Mapa final'!$U$18="Menor"),CONCATENATE("R",'Mapa final'!$A$18),"")</f>
        <v/>
      </c>
      <c r="S29" s="395"/>
      <c r="T29" s="395" t="str">
        <f>IF(AND('Mapa final'!$Q$19="Media",'Mapa final'!$U$19="Menor"),CONCATENATE("R",'Mapa final'!$A$19),"")</f>
        <v/>
      </c>
      <c r="U29" s="395"/>
      <c r="V29" s="395" t="str">
        <f ca="1">IF(AND('Mapa final'!$Q$20="Media",'Mapa final'!$U$20="Menor"),CONCATENATE("R",'Mapa final'!$D$20),"")</f>
        <v>R3</v>
      </c>
      <c r="W29" s="410"/>
      <c r="X29" s="394" t="str">
        <f ca="1">IF(AND('Mapa final'!$Q$18="Media",'Mapa final'!$U$18="Moderado"),CONCATENATE("R",'Mapa final'!$A$18),"")</f>
        <v/>
      </c>
      <c r="Y29" s="395"/>
      <c r="Z29" s="395" t="str">
        <f>IF(AND('Mapa final'!$Q$19="Media",'Mapa final'!$U$19="Moderado"),CONCATENATE("R",'Mapa final'!$A$19),"")</f>
        <v/>
      </c>
      <c r="AA29" s="395"/>
      <c r="AB29" s="395" t="str">
        <f ca="1">IF(AND('Mapa final'!$Q$20="Media",'Mapa final'!$U$20="Moderado"),CONCATENATE("R",'Mapa final'!$A$20),"")</f>
        <v/>
      </c>
      <c r="AC29" s="395"/>
      <c r="AD29" s="386" t="str">
        <f ca="1">IF(AND('Mapa final'!$Q$18="Media",'Mapa final'!$U$18="Mayor"),CONCATENATE("R",'Mapa final'!$D$18),"")</f>
        <v>R2</v>
      </c>
      <c r="AE29" s="383"/>
      <c r="AF29" s="383" t="str">
        <f>IF(AND('Mapa final'!$Q$19="Media",'Mapa final'!$U$19="Mayor"),CONCATENATE("R",'Mapa final'!$A$19),"")</f>
        <v/>
      </c>
      <c r="AG29" s="383"/>
      <c r="AH29" s="383" t="str">
        <f ca="1">IF(AND('Mapa final'!$Q$20="Media",'Mapa final'!$U$20="Mayor"),CONCATENATE("R",'Mapa final'!$A$20),"")</f>
        <v/>
      </c>
      <c r="AI29" s="383"/>
      <c r="AJ29" s="400" t="str">
        <f ca="1">IF(AND('Mapa final'!$Q$18="Media",'Mapa final'!$U$18="Catastrófico"),CONCATENATE("R",'Mapa final'!$A$18),"")</f>
        <v/>
      </c>
      <c r="AK29" s="401"/>
      <c r="AL29" s="401" t="str">
        <f>IF(AND('Mapa final'!$Q$19="Media",'Mapa final'!$U$19="Catastrófico"),CONCATENATE("R",'Mapa final'!$A$19),"")</f>
        <v/>
      </c>
      <c r="AM29" s="401"/>
      <c r="AN29" s="401" t="str">
        <f>IF(AND('Mapa final'!$Q$20="Media",'Mapa final'!$L$20="Catastrófico"),CONCATENATE("R",'Mapa final'!$A$20),"")</f>
        <v/>
      </c>
      <c r="AO29" s="402"/>
      <c r="AP29" s="69"/>
      <c r="AQ29" s="360"/>
      <c r="AR29" s="361"/>
      <c r="AS29" s="361"/>
      <c r="AT29" s="361"/>
      <c r="AU29" s="361"/>
      <c r="AV29" s="362"/>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37"/>
      <c r="E30" s="337"/>
      <c r="F30" s="338"/>
      <c r="G30" s="377"/>
      <c r="H30" s="378"/>
      <c r="I30" s="378"/>
      <c r="J30" s="378"/>
      <c r="K30" s="379"/>
      <c r="L30" s="394"/>
      <c r="M30" s="395"/>
      <c r="N30" s="395"/>
      <c r="O30" s="395"/>
      <c r="P30" s="395"/>
      <c r="Q30" s="395"/>
      <c r="R30" s="394"/>
      <c r="S30" s="395"/>
      <c r="T30" s="395"/>
      <c r="U30" s="395"/>
      <c r="V30" s="395"/>
      <c r="W30" s="410"/>
      <c r="X30" s="394"/>
      <c r="Y30" s="395"/>
      <c r="Z30" s="395"/>
      <c r="AA30" s="395"/>
      <c r="AB30" s="395"/>
      <c r="AC30" s="395"/>
      <c r="AD30" s="386"/>
      <c r="AE30" s="383"/>
      <c r="AF30" s="383"/>
      <c r="AG30" s="383"/>
      <c r="AH30" s="383"/>
      <c r="AI30" s="383"/>
      <c r="AJ30" s="400"/>
      <c r="AK30" s="401"/>
      <c r="AL30" s="401"/>
      <c r="AM30" s="401"/>
      <c r="AN30" s="401"/>
      <c r="AO30" s="402"/>
      <c r="AP30" s="69"/>
      <c r="AQ30" s="360"/>
      <c r="AR30" s="361"/>
      <c r="AS30" s="361"/>
      <c r="AT30" s="361"/>
      <c r="AU30" s="361"/>
      <c r="AV30" s="362"/>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37"/>
      <c r="E31" s="337"/>
      <c r="F31" s="338"/>
      <c r="G31" s="377"/>
      <c r="H31" s="378"/>
      <c r="I31" s="378"/>
      <c r="J31" s="378"/>
      <c r="K31" s="379"/>
      <c r="L31" s="394" t="str">
        <f ca="1">IF(AND('Mapa final'!$Q$21="Media",'Mapa final'!$U$21="Leve"),CONCATENATE("R",'Mapa final'!$D$21),"")</f>
        <v/>
      </c>
      <c r="M31" s="395"/>
      <c r="N31" s="395" t="str">
        <f>IF(AND('Mapa final'!$L$24="Media",'Mapa final'!$P$24="Leve"),CONCATENATE("R",'Mapa final'!$A$24),"")</f>
        <v/>
      </c>
      <c r="O31" s="395"/>
      <c r="P31" s="395" t="str">
        <f ca="1">IF(AND('Mapa final'!$Q$23="Media",'Mapa final'!$U$23="Leve"),CONCATENATE("R",'Mapa final'!$D$23),"")</f>
        <v>R5</v>
      </c>
      <c r="Q31" s="395"/>
      <c r="R31" s="394" t="str">
        <f ca="1">IF(AND('Mapa final'!$Q$21="Media",'Mapa final'!$U$21="Menor"),CONCATENATE("R",'Mapa final'!$D$21),"")</f>
        <v/>
      </c>
      <c r="S31" s="395"/>
      <c r="T31" s="395" t="str">
        <f ca="1">IF(AND('Mapa final'!$LR$24="Media",'Mapa final'!$U$24="Menor"),CONCATENATE("R",'Mapa final'!$A$24),"")</f>
        <v/>
      </c>
      <c r="U31" s="395"/>
      <c r="V31" s="395" t="str">
        <f>IF(AND('Mapa final'!$Q$25="Media",'Mapa final'!$U$25="Menor"),CONCATENATE("R",'Mapa final'!$A$25),"")</f>
        <v/>
      </c>
      <c r="W31" s="410"/>
      <c r="X31" s="394" t="str">
        <f ca="1">IF(AND('Mapa final'!$Q$21="Media",'Mapa final'!$U$21="Moderado"),CONCATENATE("R",'Mapa final'!$A$21),"")</f>
        <v/>
      </c>
      <c r="Y31" s="395"/>
      <c r="Z31" s="395" t="str">
        <f ca="1">IF(AND('Mapa final'!$Q$24="Media",'Mapa final'!$U$24="Moderado"),CONCATENATE("R",'Mapa final'!$A$24),"")</f>
        <v/>
      </c>
      <c r="AA31" s="395"/>
      <c r="AB31" s="395" t="str">
        <f>IF(AND('Mapa final'!$Q$25="Media",'Mapa final'!$U$25="Moderado"),CONCATENATE("R",'Mapa final'!$A$25),"")</f>
        <v/>
      </c>
      <c r="AC31" s="395"/>
      <c r="AD31" s="386" t="str">
        <f ca="1">IF(AND('Mapa final'!$Q$23="Media",'Mapa final'!$U$23="Mayor"),CONCATENATE("R",'Mapa final'!$A$23),"")</f>
        <v/>
      </c>
      <c r="AE31" s="383"/>
      <c r="AF31" s="383" t="str">
        <f ca="1">IF(AND('Mapa final'!$Q$24="Media",'Mapa final'!$U$24="Mayor"),CONCATENATE("R",'Mapa final'!$A$24),"")</f>
        <v/>
      </c>
      <c r="AG31" s="383"/>
      <c r="AH31" s="383" t="str">
        <f>IF(AND('Mapa final'!$Q$25="Media",'Mapa final'!$U$25="Mayor"),CONCATENATE("R",'Mapa final'!$A$25),"")</f>
        <v/>
      </c>
      <c r="AI31" s="383"/>
      <c r="AJ31" s="400" t="str">
        <f ca="1">IF(AND('Mapa final'!$Q$23="Media",'Mapa final'!$U$23="Catastrófico"),CONCATENATE("R",'Mapa final'!$A$23),"")</f>
        <v/>
      </c>
      <c r="AK31" s="401"/>
      <c r="AL31" s="401" t="str">
        <f ca="1">IF(AND('Mapa final'!$Q$24="Media",'Mapa final'!$U$24="Catastrófico"),CONCATENATE("R",'Mapa final'!$A$24),"")</f>
        <v/>
      </c>
      <c r="AM31" s="401"/>
      <c r="AN31" s="401" t="str">
        <f>IF(AND('Mapa final'!$Q$25="Media",'Mapa final'!$U$25="Catastrófico"),CONCATENATE("R",'Mapa final'!$A$25),"")</f>
        <v/>
      </c>
      <c r="AO31" s="402"/>
      <c r="AP31" s="69"/>
      <c r="AQ31" s="360"/>
      <c r="AR31" s="361"/>
      <c r="AS31" s="361"/>
      <c r="AT31" s="361"/>
      <c r="AU31" s="361"/>
      <c r="AV31" s="362"/>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37"/>
      <c r="E32" s="337"/>
      <c r="F32" s="338"/>
      <c r="G32" s="377"/>
      <c r="H32" s="378"/>
      <c r="I32" s="378"/>
      <c r="J32" s="378"/>
      <c r="K32" s="379"/>
      <c r="L32" s="394"/>
      <c r="M32" s="395"/>
      <c r="N32" s="395"/>
      <c r="O32" s="395"/>
      <c r="P32" s="395"/>
      <c r="Q32" s="395"/>
      <c r="R32" s="394"/>
      <c r="S32" s="395"/>
      <c r="T32" s="395"/>
      <c r="U32" s="395"/>
      <c r="V32" s="395"/>
      <c r="W32" s="410"/>
      <c r="X32" s="394"/>
      <c r="Y32" s="395"/>
      <c r="Z32" s="395"/>
      <c r="AA32" s="395"/>
      <c r="AB32" s="395"/>
      <c r="AC32" s="395"/>
      <c r="AD32" s="386"/>
      <c r="AE32" s="383"/>
      <c r="AF32" s="383"/>
      <c r="AG32" s="383"/>
      <c r="AH32" s="383"/>
      <c r="AI32" s="383"/>
      <c r="AJ32" s="400"/>
      <c r="AK32" s="401"/>
      <c r="AL32" s="401"/>
      <c r="AM32" s="401"/>
      <c r="AN32" s="401"/>
      <c r="AO32" s="402"/>
      <c r="AP32" s="69"/>
      <c r="AQ32" s="360"/>
      <c r="AR32" s="361"/>
      <c r="AS32" s="361"/>
      <c r="AT32" s="361"/>
      <c r="AU32" s="361"/>
      <c r="AV32" s="362"/>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37"/>
      <c r="E33" s="337"/>
      <c r="F33" s="338"/>
      <c r="G33" s="377"/>
      <c r="H33" s="378"/>
      <c r="I33" s="378"/>
      <c r="J33" s="378"/>
      <c r="K33" s="379"/>
      <c r="L33" s="394" t="str">
        <f>IF(AND('Mapa final'!$Q$26="Mediaa",'Mapa final'!$U$26="Leve"),CONCATENATE("R",'Mapa final'!$A$26),"")</f>
        <v/>
      </c>
      <c r="M33" s="395"/>
      <c r="N33" s="395" t="str">
        <f>IF(AND('Mapa final'!$L$27="Media",'Mapa final'!$P$27="Leve"),CONCATENATE("R",'Mapa final'!$A$27),"")</f>
        <v/>
      </c>
      <c r="O33" s="395"/>
      <c r="P33" s="395" t="str">
        <f>IF(AND('Mapa final'!$L$28="Media",'Mapa final'!$P$28="Leve"),CONCATENATE("R",'Mapa final'!$A$28),"")</f>
        <v/>
      </c>
      <c r="Q33" s="395"/>
      <c r="R33" s="394" t="str">
        <f>IF(AND('Mapa final'!$Q$26="Media",'Mapa final'!$U$26="Menor"),CONCATENATE("R",'Mapa final'!$A$26),"")</f>
        <v/>
      </c>
      <c r="S33" s="395"/>
      <c r="T33" s="395" t="str">
        <f>IF(AND('Mapa final'!$Q$27="Media",'Mapa final'!$U$27="Menor"),CONCATENATE("R",'Mapa final'!$A$27),"")</f>
        <v/>
      </c>
      <c r="U33" s="395"/>
      <c r="V33" s="395" t="str">
        <f>IF(AND('Mapa final'!$Q$28="Media",'Mapa final'!$U$28="Menor"),CONCATENATE("R",'Mapa final'!$A$28),"")</f>
        <v/>
      </c>
      <c r="W33" s="410"/>
      <c r="X33" s="394" t="str">
        <f>IF(AND('Mapa final'!$Q$26="Media",'Mapa final'!$U$26="Moderado"),CONCATENATE("R",'Mapa final'!$A$26),"")</f>
        <v/>
      </c>
      <c r="Y33" s="395"/>
      <c r="Z33" s="395" t="str">
        <f>IF(AND('Mapa final'!$Q$27="Media",'Mapa final'!$U$27="Moderado"),CONCATENATE("R",'Mapa final'!$A$27),"")</f>
        <v/>
      </c>
      <c r="AA33" s="395"/>
      <c r="AB33" s="395" t="str">
        <f>IF(AND('Mapa final'!$Q$28="Media",'Mapa final'!$U$28="Moderado"),CONCATENATE("R",'Mapa final'!$A$28),"")</f>
        <v/>
      </c>
      <c r="AC33" s="395"/>
      <c r="AD33" s="386" t="str">
        <f>IF(AND('Mapa final'!$Q$26="Media",'Mapa final'!$U$26="Mayor"),CONCATENATE("R",'Mapa final'!$A$26),"")</f>
        <v/>
      </c>
      <c r="AE33" s="383"/>
      <c r="AF33" s="383" t="str">
        <f>IF(AND('Mapa final'!$Q$27="Media",'Mapa final'!$U$27="Mayor"),CONCATENATE("R",'Mapa final'!$A$27),"")</f>
        <v/>
      </c>
      <c r="AG33" s="383"/>
      <c r="AH33" s="383" t="str">
        <f>IF(AND('Mapa final'!$Q$28="Media",'Mapa final'!$U$28="Mayor"),CONCATENATE("R",'Mapa final'!$A$28),"")</f>
        <v/>
      </c>
      <c r="AI33" s="383"/>
      <c r="AJ33" s="400" t="str">
        <f>IF(AND('Mapa final'!$Q$26="Media",'Mapa final'!$U$26="Catastrófico"),CONCATENATE("R",'Mapa final'!$A$26),"")</f>
        <v/>
      </c>
      <c r="AK33" s="401"/>
      <c r="AL33" s="401" t="str">
        <f>IF(AND('Mapa final'!$Q$27="Media",'Mapa final'!$U$27="Catastrófico"),CONCATENATE("R",'Mapa final'!$A$27),"")</f>
        <v/>
      </c>
      <c r="AM33" s="401"/>
      <c r="AN33" s="401" t="str">
        <f>IF(AND('Mapa final'!$Q$28="Media",'Mapa final'!$U$28="Catastrófico"),CONCATENATE("R",'Mapa final'!$A$28),"")</f>
        <v/>
      </c>
      <c r="AO33" s="402"/>
      <c r="AP33" s="69"/>
      <c r="AQ33" s="360"/>
      <c r="AR33" s="361"/>
      <c r="AS33" s="361"/>
      <c r="AT33" s="361"/>
      <c r="AU33" s="361"/>
      <c r="AV33" s="362"/>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37"/>
      <c r="E34" s="337"/>
      <c r="F34" s="338"/>
      <c r="G34" s="380"/>
      <c r="H34" s="381"/>
      <c r="I34" s="381"/>
      <c r="J34" s="381"/>
      <c r="K34" s="381"/>
      <c r="L34" s="411"/>
      <c r="M34" s="412"/>
      <c r="N34" s="412"/>
      <c r="O34" s="412"/>
      <c r="P34" s="412"/>
      <c r="Q34" s="412"/>
      <c r="R34" s="411"/>
      <c r="S34" s="412"/>
      <c r="T34" s="412"/>
      <c r="U34" s="412"/>
      <c r="V34" s="412"/>
      <c r="W34" s="413"/>
      <c r="X34" s="411"/>
      <c r="Y34" s="412"/>
      <c r="Z34" s="412"/>
      <c r="AA34" s="412"/>
      <c r="AB34" s="412"/>
      <c r="AC34" s="412"/>
      <c r="AD34" s="397"/>
      <c r="AE34" s="392"/>
      <c r="AF34" s="392"/>
      <c r="AG34" s="392"/>
      <c r="AH34" s="392"/>
      <c r="AI34" s="392"/>
      <c r="AJ34" s="400"/>
      <c r="AK34" s="401"/>
      <c r="AL34" s="401"/>
      <c r="AM34" s="401"/>
      <c r="AN34" s="401"/>
      <c r="AO34" s="402"/>
      <c r="AP34" s="69"/>
      <c r="AQ34" s="363"/>
      <c r="AR34" s="364"/>
      <c r="AS34" s="364"/>
      <c r="AT34" s="364"/>
      <c r="AU34" s="364"/>
      <c r="AV34" s="365"/>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37"/>
      <c r="E35" s="337"/>
      <c r="F35" s="338"/>
      <c r="G35" s="375" t="s">
        <v>113</v>
      </c>
      <c r="H35" s="376"/>
      <c r="I35" s="376"/>
      <c r="J35" s="376"/>
      <c r="K35" s="376"/>
      <c r="L35" s="424" t="str">
        <f ca="1">IF(AND('Mapa final'!$Q$15="Baja",'Mapa final'!$U$15="Leve"),CONCATENATE("R",'Mapa final'!$D$15),"")</f>
        <v/>
      </c>
      <c r="M35" s="425"/>
      <c r="N35" s="425" t="str">
        <f>IF(AND('Mapa final'!$L$16="Baja",'Mapa final'!$P$16="Leve"),CONCATENATE("R",'Mapa final'!$D$16),"")</f>
        <v/>
      </c>
      <c r="O35" s="425"/>
      <c r="P35" s="425" t="str">
        <f>IF(AND('Mapa final'!$L$17="Baja",'Mapa final'!$P$17="Leve"),CONCATENATE("R",'Mapa final'!$D$17),"")</f>
        <v/>
      </c>
      <c r="Q35" s="426"/>
      <c r="R35" s="414" t="str">
        <f ca="1">IF(AND('Mapa final'!$Q$15="Baja",'Mapa final'!$U$15="Menor"),CONCATENATE("R",'Mapa final'!$A$15),"")</f>
        <v/>
      </c>
      <c r="S35" s="415"/>
      <c r="T35" s="395" t="str">
        <f>IF(AND('Mapa final'!$Q$16="Baja",'Mapa final'!$U$16="Menor"),CONCATENATE("R",'Mapa final'!$A$16),"")</f>
        <v/>
      </c>
      <c r="U35" s="395"/>
      <c r="V35" s="395" t="str">
        <f>IF(AND('Mapa final'!$Q$17="Baja",'Mapa final'!$U$17="Menor"),CONCATENATE("R",'Mapa final'!$A$17),"")</f>
        <v/>
      </c>
      <c r="W35" s="410"/>
      <c r="X35" s="394" t="str">
        <f ca="1">IF(AND('Mapa final'!$Q$15="Baja",'Mapa final'!$U$15="Moderado"),CONCATENATE("R",'Mapa final'!$A$15),"")</f>
        <v/>
      </c>
      <c r="Y35" s="395"/>
      <c r="Z35" s="395" t="str">
        <f>IF(AND('Mapa final'!Q$16="Baja",'Mapa final'!$U$16="Moderado"),CONCATENATE("R",'Mapa final'!$A$16),"")</f>
        <v/>
      </c>
      <c r="AA35" s="395"/>
      <c r="AB35" s="395" t="str">
        <f>IF(AND('Mapa final'!$Q$17="Baja",'Mapa final'!$U$17="Moderado"),CONCATENATE("R",'Mapa final'!$A$17),"")</f>
        <v/>
      </c>
      <c r="AC35" s="410"/>
      <c r="AD35" s="386" t="str">
        <f ca="1">IF(AND('Mapa final'!$Q$15="Baja",'Mapa final'!$U$15="Mayor"),CONCATENATE("R",'Mapa final'!$A$15),"")</f>
        <v/>
      </c>
      <c r="AE35" s="383"/>
      <c r="AF35" s="383" t="str">
        <f>IF(AND('Mapa final'!$Q$16="Baja",'Mapa final'!$U$16="Mayor"),CONCATENATE("R",'Mapa final'!$A$16),"")</f>
        <v/>
      </c>
      <c r="AG35" s="383"/>
      <c r="AH35" s="383" t="str">
        <f>IF(AND('Mapa final'!$Q$17="Baja",'Mapa final'!$U$17="Mayor"),CONCATENATE("R",'Mapa final'!$A$17),"")</f>
        <v/>
      </c>
      <c r="AI35" s="383"/>
      <c r="AJ35" s="403" t="str">
        <f ca="1">IF(AND('Mapa final'!$Q$15="Baja",'Mapa final'!$U$15="Catastrófico"),CONCATENATE("R",'Mapa final'!$A$15),"")</f>
        <v/>
      </c>
      <c r="AK35" s="404"/>
      <c r="AL35" s="404" t="str">
        <f>IF(AND('Mapa final'!$Q$16="Baja",'Mapa final'!$U$16="Catastrófico"),CONCATENATE("R",'Mapa final'!$A$16),"")</f>
        <v/>
      </c>
      <c r="AM35" s="404"/>
      <c r="AN35" s="404" t="str">
        <f>IF(AND('Mapa final'!$Q$17="Baja",'Mapa final'!$U$17="Catastrófico"),CONCATENATE("R",'Mapa final'!$A$17),"")</f>
        <v/>
      </c>
      <c r="AO35" s="405"/>
      <c r="AP35" s="69"/>
      <c r="AQ35" s="366" t="s">
        <v>81</v>
      </c>
      <c r="AR35" s="367"/>
      <c r="AS35" s="367"/>
      <c r="AT35" s="367"/>
      <c r="AU35" s="367"/>
      <c r="AV35" s="368"/>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37"/>
      <c r="E36" s="337"/>
      <c r="F36" s="338"/>
      <c r="G36" s="377"/>
      <c r="H36" s="378"/>
      <c r="I36" s="378"/>
      <c r="J36" s="378"/>
      <c r="K36" s="378"/>
      <c r="L36" s="420"/>
      <c r="M36" s="418"/>
      <c r="N36" s="418"/>
      <c r="O36" s="418"/>
      <c r="P36" s="418"/>
      <c r="Q36" s="419"/>
      <c r="R36" s="394"/>
      <c r="S36" s="395"/>
      <c r="T36" s="417"/>
      <c r="U36" s="417"/>
      <c r="V36" s="417"/>
      <c r="W36" s="410"/>
      <c r="X36" s="394"/>
      <c r="Y36" s="417"/>
      <c r="Z36" s="417"/>
      <c r="AA36" s="417"/>
      <c r="AB36" s="417"/>
      <c r="AC36" s="410"/>
      <c r="AD36" s="386"/>
      <c r="AE36" s="399"/>
      <c r="AF36" s="399"/>
      <c r="AG36" s="399"/>
      <c r="AH36" s="399"/>
      <c r="AI36" s="383"/>
      <c r="AJ36" s="400"/>
      <c r="AK36" s="401"/>
      <c r="AL36" s="401"/>
      <c r="AM36" s="401"/>
      <c r="AN36" s="401"/>
      <c r="AO36" s="402"/>
      <c r="AP36" s="69"/>
      <c r="AQ36" s="369"/>
      <c r="AR36" s="370"/>
      <c r="AS36" s="370"/>
      <c r="AT36" s="370"/>
      <c r="AU36" s="370"/>
      <c r="AV36" s="371"/>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37"/>
      <c r="E37" s="337"/>
      <c r="F37" s="338"/>
      <c r="G37" s="377"/>
      <c r="H37" s="378"/>
      <c r="I37" s="378"/>
      <c r="J37" s="378"/>
      <c r="K37" s="378"/>
      <c r="L37" s="420" t="str">
        <f ca="1">IF(AND('Mapa final'!$Q$18="Baja",'Mapa final'!$U$18="Leve"),CONCATENATE("R",'Mapa final'!$D$18),"")</f>
        <v/>
      </c>
      <c r="M37" s="418"/>
      <c r="N37" s="418" t="str">
        <f>IF(AND('Mapa final'!$L$19="Baja",'Mapa final'!$P$19="Leve"),CONCATENATE("R",'Mapa final'!$D$19),"")</f>
        <v/>
      </c>
      <c r="O37" s="418"/>
      <c r="P37" s="418" t="str">
        <f>IF(AND('Mapa final'!$L$20="Baja",'Mapa final'!$P$20="Leve"),CONCATENATE("R",'Mapa final'!$D$20),"")</f>
        <v/>
      </c>
      <c r="Q37" s="419"/>
      <c r="R37" s="394" t="str">
        <f ca="1">IF(AND('Mapa final'!$Q$18="Baja",'Mapa final'!$U$18="Menor"),CONCATENATE("R",'Mapa final'!$A$18),"")</f>
        <v/>
      </c>
      <c r="S37" s="417"/>
      <c r="T37" s="417" t="str">
        <f>IF(AND('Mapa final'!$Q$19="Baja",'Mapa final'!$U$19="Menor"),CONCATENATE("R",'Mapa final'!$A$19),"")</f>
        <v/>
      </c>
      <c r="U37" s="417"/>
      <c r="V37" s="417" t="str">
        <f ca="1">IF(AND('Mapa final'!$Q$20="Baja",'Mapa final'!$U$20="Menor"),CONCATENATE("R",'Mapa final'!$A$20),"")</f>
        <v/>
      </c>
      <c r="W37" s="410"/>
      <c r="X37" s="394" t="str">
        <f ca="1">IF(AND('Mapa final'!$Q$18="Baja",'Mapa final'!$U$18="Moderado"),CONCATENATE("R",'Mapa final'!$A$18),"")</f>
        <v/>
      </c>
      <c r="Y37" s="417"/>
      <c r="Z37" s="417" t="str">
        <f>IF(AND('Mapa final'!$Q$19="Baja",'Mapa final'!$U$19="Moderado"),CONCATENATE("R",'Mapa final'!$A$19),"")</f>
        <v/>
      </c>
      <c r="AA37" s="417"/>
      <c r="AB37" s="417" t="str">
        <f ca="1">IF(AND('Mapa final'!$Q$20="Baja",'Mapa final'!$U$20="Moderado"),CONCATENATE("R",'Mapa final'!$A$20),"")</f>
        <v/>
      </c>
      <c r="AC37" s="410"/>
      <c r="AD37" s="386" t="str">
        <f ca="1">IF(AND('Mapa final'!$Q$18="Baja",'Mapa final'!$U$18="Mayor"),CONCATENATE("R",'Mapa final'!$A$18),"")</f>
        <v/>
      </c>
      <c r="AE37" s="399"/>
      <c r="AF37" s="399" t="str">
        <f>IF(AND('Mapa final'!$Q$19="Baja",'Mapa final'!$U$19="Mayor"),CONCATENATE("R",'Mapa final'!$A$19),"")</f>
        <v/>
      </c>
      <c r="AG37" s="399"/>
      <c r="AH37" s="399" t="str">
        <f ca="1">IF(AND('Mapa final'!$Q$20="Baja",'Mapa final'!$U$20="Mayor"),CONCATENATE("R",'Mapa final'!$A$20),"")</f>
        <v/>
      </c>
      <c r="AI37" s="383"/>
      <c r="AJ37" s="400" t="str">
        <f ca="1">IF(AND('Mapa final'!$Q$18="Baja",'Mapa final'!$U$18="Catastrófico"),CONCATENATE("R",'Mapa final'!$A$18),"")</f>
        <v/>
      </c>
      <c r="AK37" s="401"/>
      <c r="AL37" s="401" t="str">
        <f>IF(AND('Mapa final'!$Q$19="Baja",'Mapa final'!$U$19="Catastrófico"),CONCATENATE("R",'Mapa final'!$A$19),"")</f>
        <v/>
      </c>
      <c r="AM37" s="401"/>
      <c r="AN37" s="401" t="str">
        <f>IF(AND('Mapa final'!$Q$20="Baja",'Mapa final'!$L$20="Catastrófico"),CONCATENATE("R",'Mapa final'!$A$20),"")</f>
        <v/>
      </c>
      <c r="AO37" s="402"/>
      <c r="AP37" s="69"/>
      <c r="AQ37" s="369"/>
      <c r="AR37" s="370"/>
      <c r="AS37" s="370"/>
      <c r="AT37" s="370"/>
      <c r="AU37" s="370"/>
      <c r="AV37" s="371"/>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37"/>
      <c r="E38" s="337"/>
      <c r="F38" s="338"/>
      <c r="G38" s="377"/>
      <c r="H38" s="378"/>
      <c r="I38" s="378"/>
      <c r="J38" s="378"/>
      <c r="K38" s="378"/>
      <c r="L38" s="420"/>
      <c r="M38" s="418"/>
      <c r="N38" s="418"/>
      <c r="O38" s="418"/>
      <c r="P38" s="418"/>
      <c r="Q38" s="419"/>
      <c r="R38" s="394"/>
      <c r="S38" s="417"/>
      <c r="T38" s="417"/>
      <c r="U38" s="417"/>
      <c r="V38" s="417"/>
      <c r="W38" s="410"/>
      <c r="X38" s="394"/>
      <c r="Y38" s="417"/>
      <c r="Z38" s="417"/>
      <c r="AA38" s="417"/>
      <c r="AB38" s="417"/>
      <c r="AC38" s="410"/>
      <c r="AD38" s="386"/>
      <c r="AE38" s="399"/>
      <c r="AF38" s="399"/>
      <c r="AG38" s="399"/>
      <c r="AH38" s="399"/>
      <c r="AI38" s="383"/>
      <c r="AJ38" s="400"/>
      <c r="AK38" s="401"/>
      <c r="AL38" s="401"/>
      <c r="AM38" s="401"/>
      <c r="AN38" s="401"/>
      <c r="AO38" s="402"/>
      <c r="AP38" s="69"/>
      <c r="AQ38" s="369"/>
      <c r="AR38" s="370"/>
      <c r="AS38" s="370"/>
      <c r="AT38" s="370"/>
      <c r="AU38" s="370"/>
      <c r="AV38" s="371"/>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37"/>
      <c r="E39" s="337"/>
      <c r="F39" s="338"/>
      <c r="G39" s="377"/>
      <c r="H39" s="378"/>
      <c r="I39" s="378"/>
      <c r="J39" s="378"/>
      <c r="K39" s="378"/>
      <c r="L39" s="420" t="str">
        <f ca="1">IF(AND('Mapa final'!$Q$21="Baja",'Mapa final'!$U$21="Leve"),CONCATENATE("R",'Mapa final'!$D$21),"")</f>
        <v/>
      </c>
      <c r="M39" s="418"/>
      <c r="N39" s="418" t="str">
        <f>IF(AND('Mapa final'!$L$22="Baja",'Mapa final'!$P$22="Leve"),CONCATENATE("R",'Mapa final'!$D$22),"")</f>
        <v/>
      </c>
      <c r="O39" s="418"/>
      <c r="P39" s="418" t="str">
        <f>IF(AND('Mapa final'!$L$23="Baja",'Mapa final'!$P$23="Leve"),CONCATENATE("R",'Mapa final'!$D$23),"")</f>
        <v/>
      </c>
      <c r="Q39" s="419"/>
      <c r="R39" s="394" t="str">
        <f ca="1">IF(AND('Mapa final'!$Q$21="Baja",'Mapa final'!$U$21="Menor"),CONCATENATE("R",'Mapa final'!$D$21),"")</f>
        <v/>
      </c>
      <c r="S39" s="417"/>
      <c r="T39" s="417" t="str">
        <f ca="1">IF(AND('Mapa final'!$LR$24="Baja",'Mapa final'!$U$24="Menor"),CONCATENATE("R",'Mapa final'!$A$24),"")</f>
        <v/>
      </c>
      <c r="U39" s="417"/>
      <c r="V39" s="417" t="str">
        <f>IF(AND('Mapa final'!$Q$25="Baja",'Mapa final'!$U$25="Menor"),CONCATENATE("R",'Mapa final'!$A$25),"")</f>
        <v/>
      </c>
      <c r="W39" s="410"/>
      <c r="X39" s="394" t="str">
        <f ca="1">IF(AND('Mapa final'!$Q$21="Baja",'Mapa final'!$U$21="Moderado"),CONCATENATE("R",'Mapa final'!$D$21),"")</f>
        <v>R4</v>
      </c>
      <c r="Y39" s="417"/>
      <c r="Z39" s="417" t="str">
        <f ca="1">IF(AND('Mapa final'!$Q$24="Baja",'Mapa final'!$U$24="Moderado"),CONCATENATE("R",'Mapa final'!$A$24),"")</f>
        <v/>
      </c>
      <c r="AA39" s="417"/>
      <c r="AB39" s="417" t="str">
        <f>IF(AND('Mapa final'!$Q$25="Baja",'Mapa final'!$U$25="Moderado"),CONCATENATE("R",'Mapa final'!$A$25),"")</f>
        <v/>
      </c>
      <c r="AC39" s="410"/>
      <c r="AD39" s="386" t="str">
        <f ca="1">IF(AND('Mapa final'!$Q$23="Baja",'Mapa final'!$U$23="Mayor"),CONCATENATE("R",'Mapa final'!$A$23),"")</f>
        <v/>
      </c>
      <c r="AE39" s="399"/>
      <c r="AF39" s="399" t="str">
        <f ca="1">IF(AND('Mapa final'!$Q$24="Baja",'Mapa final'!$U$24="Mayor"),CONCATENATE("R",'Mapa final'!$A$24),"")</f>
        <v/>
      </c>
      <c r="AG39" s="399"/>
      <c r="AH39" s="399" t="str">
        <f>IF(AND('Mapa final'!$Q$25="Baja",'Mapa final'!$U$25="Mayor"),CONCATENATE("R",'Mapa final'!$A$25),"")</f>
        <v/>
      </c>
      <c r="AI39" s="383"/>
      <c r="AJ39" s="400" t="str">
        <f ca="1">IF(AND('Mapa final'!$Q$23="Baja",'Mapa final'!$U$23="Catastrófico"),CONCATENATE("R",'Mapa final'!$A$23),"")</f>
        <v/>
      </c>
      <c r="AK39" s="401"/>
      <c r="AL39" s="401" t="str">
        <f ca="1">IF(AND('Mapa final'!$Q$24="Baja",'Mapa final'!$U$24="Catastrófico"),CONCATENATE("R",'Mapa final'!$A$24),"")</f>
        <v/>
      </c>
      <c r="AM39" s="401"/>
      <c r="AN39" s="401" t="str">
        <f>IF(AND('Mapa final'!$Q$25="Baja",'Mapa final'!$U$25="Catastrófico"),CONCATENATE("R",'Mapa final'!$A$25),"")</f>
        <v/>
      </c>
      <c r="AO39" s="402"/>
      <c r="AP39" s="69"/>
      <c r="AQ39" s="369"/>
      <c r="AR39" s="370"/>
      <c r="AS39" s="370"/>
      <c r="AT39" s="370"/>
      <c r="AU39" s="370"/>
      <c r="AV39" s="371"/>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37"/>
      <c r="E40" s="337"/>
      <c r="F40" s="338"/>
      <c r="G40" s="377"/>
      <c r="H40" s="378"/>
      <c r="I40" s="378"/>
      <c r="J40" s="378"/>
      <c r="K40" s="378"/>
      <c r="L40" s="420"/>
      <c r="M40" s="418"/>
      <c r="N40" s="418"/>
      <c r="O40" s="418"/>
      <c r="P40" s="418"/>
      <c r="Q40" s="419"/>
      <c r="R40" s="394"/>
      <c r="S40" s="417"/>
      <c r="T40" s="417"/>
      <c r="U40" s="417"/>
      <c r="V40" s="417"/>
      <c r="W40" s="410"/>
      <c r="X40" s="394"/>
      <c r="Y40" s="417"/>
      <c r="Z40" s="417"/>
      <c r="AA40" s="417"/>
      <c r="AB40" s="417"/>
      <c r="AC40" s="410"/>
      <c r="AD40" s="386"/>
      <c r="AE40" s="399"/>
      <c r="AF40" s="399"/>
      <c r="AG40" s="399"/>
      <c r="AH40" s="399"/>
      <c r="AI40" s="383"/>
      <c r="AJ40" s="400"/>
      <c r="AK40" s="401"/>
      <c r="AL40" s="401"/>
      <c r="AM40" s="401"/>
      <c r="AN40" s="401"/>
      <c r="AO40" s="402"/>
      <c r="AP40" s="69"/>
      <c r="AQ40" s="369"/>
      <c r="AR40" s="370"/>
      <c r="AS40" s="370"/>
      <c r="AT40" s="370"/>
      <c r="AU40" s="370"/>
      <c r="AV40" s="371"/>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37"/>
      <c r="E41" s="337"/>
      <c r="F41" s="338"/>
      <c r="G41" s="377"/>
      <c r="H41" s="378"/>
      <c r="I41" s="378"/>
      <c r="J41" s="378"/>
      <c r="K41" s="378"/>
      <c r="L41" s="420" t="str">
        <f ca="1">IF(AND('Mapa final'!$Q$24="Baja",'Mapa final'!$U$24="Leve"),CONCATENATE("R",'Mapa final'!$D$24),"")</f>
        <v/>
      </c>
      <c r="M41" s="418"/>
      <c r="N41" s="418" t="str">
        <f>IF(AND('Mapa final'!$L$25="Baja",'Mapa final'!$P$25="Leve"),CONCATENATE("R",'Mapa final'!$D$25),"")</f>
        <v/>
      </c>
      <c r="O41" s="418"/>
      <c r="P41" s="418" t="str">
        <f>IF(AND('Mapa final'!$L$26="Baja",'Mapa final'!$P$26="Leve"),CONCATENATE("R",'Mapa final'!$D$26),"")</f>
        <v/>
      </c>
      <c r="Q41" s="419"/>
      <c r="R41" s="394" t="str">
        <f>IF(AND('Mapa final'!$Q$26="Baja",'Mapa final'!$U$26="Menor"),CONCATENATE("R",'Mapa final'!$A$26),"")</f>
        <v/>
      </c>
      <c r="S41" s="417"/>
      <c r="T41" s="417" t="str">
        <f>IF(AND('Mapa final'!$Q$27="Baja",'Mapa final'!$U$27="Menor"),CONCATENATE("R",'Mapa final'!$A$27),"")</f>
        <v/>
      </c>
      <c r="U41" s="417"/>
      <c r="V41" s="417" t="str">
        <f>IF(AND('Mapa final'!$Q$28="Baja",'Mapa final'!$U$28="Menor"),CONCATENATE("R",'Mapa final'!$A$28),"")</f>
        <v/>
      </c>
      <c r="W41" s="410"/>
      <c r="X41" s="394" t="str">
        <f>IF(AND('Mapa final'!$Q$26="Baja",'Mapa final'!$U$26="Moderado"),CONCATENATE("R",'Mapa final'!$A$26),"")</f>
        <v/>
      </c>
      <c r="Y41" s="417"/>
      <c r="Z41" s="417" t="str">
        <f>IF(AND('Mapa final'!$Q$27="Baja",'Mapa final'!$U$27="Moderado"),CONCATENATE("R",'Mapa final'!$A$27),"")</f>
        <v/>
      </c>
      <c r="AA41" s="417"/>
      <c r="AB41" s="417" t="str">
        <f>IF(AND('Mapa final'!$Q$28="Baja",'Mapa final'!$U$28="Moderado"),CONCATENATE("R",'Mapa final'!$A$28),"")</f>
        <v/>
      </c>
      <c r="AC41" s="410"/>
      <c r="AD41" s="386" t="str">
        <f>IF(AND('Mapa final'!$Q$26="Baja",'Mapa final'!$U$26="Mayor"),CONCATENATE("R",'Mapa final'!$A$26),"")</f>
        <v/>
      </c>
      <c r="AE41" s="399"/>
      <c r="AF41" s="399" t="str">
        <f>IF(AND('Mapa final'!$Q$27="Baja",'Mapa final'!$U$27="Mayor"),CONCATENATE("R",'Mapa final'!$A$27),"")</f>
        <v/>
      </c>
      <c r="AG41" s="399"/>
      <c r="AH41" s="399" t="str">
        <f>IF(AND('Mapa final'!$Q$28="Baja",'Mapa final'!$U$28="Mayor"),CONCATENATE("R",'Mapa final'!$A$28),"")</f>
        <v/>
      </c>
      <c r="AI41" s="383"/>
      <c r="AJ41" s="400" t="str">
        <f>IF(AND('Mapa final'!$Q$26="Baja",'Mapa final'!$U$26="Catastrófico"),CONCATENATE("R",'Mapa final'!$A$26),"")</f>
        <v/>
      </c>
      <c r="AK41" s="401"/>
      <c r="AL41" s="401" t="str">
        <f>IF(AND('Mapa final'!$Q$27="Baja",'Mapa final'!$U$27="Catastrófico"),CONCATENATE("R",'Mapa final'!$A$27),"")</f>
        <v/>
      </c>
      <c r="AM41" s="401"/>
      <c r="AN41" s="401" t="str">
        <f>IF(AND('Mapa final'!$Q$28="Baja",'Mapa final'!$U$28="Catastrófico"),CONCATENATE("R",'Mapa final'!$A$28),"")</f>
        <v/>
      </c>
      <c r="AO41" s="402"/>
      <c r="AP41" s="69"/>
      <c r="AQ41" s="369"/>
      <c r="AR41" s="370"/>
      <c r="AS41" s="370"/>
      <c r="AT41" s="370"/>
      <c r="AU41" s="370"/>
      <c r="AV41" s="371"/>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37"/>
      <c r="E42" s="337"/>
      <c r="F42" s="338"/>
      <c r="G42" s="380"/>
      <c r="H42" s="381"/>
      <c r="I42" s="381"/>
      <c r="J42" s="381"/>
      <c r="K42" s="381"/>
      <c r="L42" s="421"/>
      <c r="M42" s="422"/>
      <c r="N42" s="422"/>
      <c r="O42" s="422"/>
      <c r="P42" s="422"/>
      <c r="Q42" s="423"/>
      <c r="R42" s="411"/>
      <c r="S42" s="412"/>
      <c r="T42" s="412"/>
      <c r="U42" s="412"/>
      <c r="V42" s="412"/>
      <c r="W42" s="413"/>
      <c r="X42" s="411"/>
      <c r="Y42" s="412"/>
      <c r="Z42" s="412"/>
      <c r="AA42" s="412"/>
      <c r="AB42" s="412"/>
      <c r="AC42" s="413"/>
      <c r="AD42" s="397"/>
      <c r="AE42" s="392"/>
      <c r="AF42" s="392"/>
      <c r="AG42" s="392"/>
      <c r="AH42" s="392"/>
      <c r="AI42" s="392"/>
      <c r="AJ42" s="406"/>
      <c r="AK42" s="407"/>
      <c r="AL42" s="407"/>
      <c r="AM42" s="407"/>
      <c r="AN42" s="407"/>
      <c r="AO42" s="408"/>
      <c r="AP42" s="69"/>
      <c r="AQ42" s="372"/>
      <c r="AR42" s="373"/>
      <c r="AS42" s="373"/>
      <c r="AT42" s="373"/>
      <c r="AU42" s="373"/>
      <c r="AV42" s="374"/>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37"/>
      <c r="E43" s="337"/>
      <c r="F43" s="338"/>
      <c r="G43" s="375" t="s">
        <v>112</v>
      </c>
      <c r="H43" s="376"/>
      <c r="I43" s="376"/>
      <c r="J43" s="376"/>
      <c r="K43" s="376"/>
      <c r="L43" s="424" t="str">
        <f ca="1">IF(AND('Mapa final'!$Q$15="Muy Baja",'Mapa final'!$U$15="Leve"),CONCATENATE("R",'Mapa final'!$A$15),"")</f>
        <v/>
      </c>
      <c r="M43" s="425"/>
      <c r="N43" s="425" t="str">
        <f>IF(AND('Mapa final'!$L$16="Muy Baja",'Mapa final'!$P$16="Leve"),CONCATENATE("R",'Mapa final'!$A$16),"")</f>
        <v/>
      </c>
      <c r="O43" s="425"/>
      <c r="P43" s="425" t="str">
        <f>IF(AND('Mapa final'!$L$17="Muy Baja",'Mapa final'!$P$17="Leve"),CONCATENATE("R",'Mapa final'!$A$17),"")</f>
        <v/>
      </c>
      <c r="Q43" s="426"/>
      <c r="R43" s="424" t="str">
        <f ca="1">IF(AND('Mapa final'!$Q$15="Muy Baja",'Mapa final'!$U$15="Menor"),CONCATENATE("R",'Mapa final'!$A$15),"")</f>
        <v/>
      </c>
      <c r="S43" s="425"/>
      <c r="T43" s="425" t="str">
        <f>IF(AND('Mapa final'!$Q$16="Muy Baja",'Mapa final'!$U$16="Menor"),CONCATENATE("R",'Mapa final'!$A$16),"")</f>
        <v/>
      </c>
      <c r="U43" s="425"/>
      <c r="V43" s="425" t="str">
        <f>IF(AND('Mapa final'!$Q$17="Muy Baja",'Mapa final'!$U$17="Menor"),CONCATENATE("R",'Mapa final'!$A$17),"")</f>
        <v/>
      </c>
      <c r="W43" s="426"/>
      <c r="X43" s="414" t="str">
        <f ca="1">IF(AND('Mapa final'!$Q$15="Muy Baja",'Mapa final'!$U$15="Moderado"),CONCATENATE("R",'Mapa final'!$A$15),"")</f>
        <v/>
      </c>
      <c r="Y43" s="415"/>
      <c r="Z43" s="415" t="str">
        <f>IF(AND('Mapa final'!Q$16="Muy Baja",'Mapa final'!$U$16="Moderado"),CONCATENATE("R",'Mapa final'!$A$16),"")</f>
        <v/>
      </c>
      <c r="AA43" s="415"/>
      <c r="AB43" s="415" t="str">
        <f>IF(AND('Mapa final'!$Q$17="Muy Baja",'Mapa final'!$U$17="Moderado"),CONCATENATE("R",'Mapa final'!$A$17),"")</f>
        <v/>
      </c>
      <c r="AC43" s="416"/>
      <c r="AD43" s="384" t="str">
        <f ca="1">IF(AND('Mapa final'!$Q$15="Muy Baja",'Mapa final'!$U$15="Mayor"),CONCATENATE("R",'Mapa final'!$A$15),"")</f>
        <v/>
      </c>
      <c r="AE43" s="385"/>
      <c r="AF43" s="385" t="str">
        <f>IF(AND('Mapa final'!$Q$16="Muy Baja",'Mapa final'!$U$16="Mayor"),CONCATENATE("R",'Mapa final'!$A$16),"")</f>
        <v/>
      </c>
      <c r="AG43" s="385"/>
      <c r="AH43" s="385" t="str">
        <f>IF(AND('Mapa final'!$Q$17="Muy Baja",'Mapa final'!$U$17="Mayor"),CONCATENATE("R",'Mapa final'!$A$17),"")</f>
        <v/>
      </c>
      <c r="AI43" s="398"/>
      <c r="AJ43" s="400" t="str">
        <f ca="1">IF(AND('Mapa final'!$Q$15="Muy Baja",'Mapa final'!$U$15="Catastrófico"),CONCATENATE("R",'Mapa final'!$A$15),"")</f>
        <v/>
      </c>
      <c r="AK43" s="401"/>
      <c r="AL43" s="401" t="str">
        <f>IF(AND('Mapa final'!$Q$16="Muy Baja",'Mapa final'!$U$16="Catastrófico"),CONCATENATE("R",'Mapa final'!$A$16),"")</f>
        <v/>
      </c>
      <c r="AM43" s="401"/>
      <c r="AN43" s="401" t="str">
        <f>IF(AND('Mapa final'!$Q$17="Muy Baja",'Mapa final'!$U$17="Catastrófico"),CONCATENATE("R",'Mapa final'!$A$17),"")</f>
        <v/>
      </c>
      <c r="AO43" s="402"/>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37"/>
      <c r="E44" s="337"/>
      <c r="F44" s="338"/>
      <c r="G44" s="377"/>
      <c r="H44" s="378"/>
      <c r="I44" s="378"/>
      <c r="J44" s="378"/>
      <c r="K44" s="379"/>
      <c r="L44" s="420"/>
      <c r="M44" s="418"/>
      <c r="N44" s="418"/>
      <c r="O44" s="418"/>
      <c r="P44" s="418"/>
      <c r="Q44" s="419"/>
      <c r="R44" s="420"/>
      <c r="S44" s="418"/>
      <c r="T44" s="428"/>
      <c r="U44" s="428"/>
      <c r="V44" s="428"/>
      <c r="W44" s="419"/>
      <c r="X44" s="394"/>
      <c r="Y44" s="417"/>
      <c r="Z44" s="417"/>
      <c r="AA44" s="417"/>
      <c r="AB44" s="417"/>
      <c r="AC44" s="410"/>
      <c r="AD44" s="386"/>
      <c r="AE44" s="399"/>
      <c r="AF44" s="399"/>
      <c r="AG44" s="399"/>
      <c r="AH44" s="399"/>
      <c r="AI44" s="391"/>
      <c r="AJ44" s="400"/>
      <c r="AK44" s="409"/>
      <c r="AL44" s="409"/>
      <c r="AM44" s="409"/>
      <c r="AN44" s="409"/>
      <c r="AO44" s="402"/>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37"/>
      <c r="E45" s="337"/>
      <c r="F45" s="338"/>
      <c r="G45" s="377"/>
      <c r="H45" s="378"/>
      <c r="I45" s="378"/>
      <c r="J45" s="378"/>
      <c r="K45" s="379"/>
      <c r="L45" s="420" t="str">
        <f ca="1">IF(AND('Mapa final'!$Q$18="Muy Baja",'Mapa final'!$U$18="Leve"),CONCATENATE("R",'Mapa final'!$D$18),"")</f>
        <v/>
      </c>
      <c r="M45" s="418"/>
      <c r="N45" s="418" t="str">
        <f>IF(AND('Mapa final'!$L$19="Muy Baja",'Mapa final'!$P$19="Leve"),CONCATENATE("R",'Mapa final'!$D$19),"")</f>
        <v/>
      </c>
      <c r="O45" s="418"/>
      <c r="P45" s="418" t="str">
        <f>IF(AND('Mapa final'!$L$20="Muy Baja",'Mapa final'!$P$20="Leve"),CONCATENATE("R",'Mapa final'!$D$20),"")</f>
        <v/>
      </c>
      <c r="Q45" s="419"/>
      <c r="R45" s="420" t="str">
        <f ca="1">IF(AND('Mapa final'!$Q$18="Muy Baja",'Mapa final'!$U$18="Menor"),CONCATENATE("R",'Mapa final'!$A$18),"")</f>
        <v/>
      </c>
      <c r="S45" s="418"/>
      <c r="T45" s="428" t="str">
        <f>IF(AND('Mapa final'!$Q$19="Muy Baja",'Mapa final'!$U$19="Menor"),CONCATENATE("R",'Mapa final'!$A$19),"")</f>
        <v/>
      </c>
      <c r="U45" s="428"/>
      <c r="V45" s="428" t="str">
        <f ca="1">IF(AND('Mapa final'!$Q$20="Muy Baja",'Mapa final'!$U$20="Menor"),CONCATENATE("R",'Mapa final'!$A$20),"")</f>
        <v/>
      </c>
      <c r="W45" s="419"/>
      <c r="X45" s="394" t="str">
        <f ca="1">IF(AND('Mapa final'!$Q$18="Muy Baja",'Mapa final'!$U$18="Moderado"),CONCATENATE("R",'Mapa final'!$A$18),"")</f>
        <v/>
      </c>
      <c r="Y45" s="417"/>
      <c r="Z45" s="417" t="str">
        <f>IF(AND('Mapa final'!$Q$19="Muy Baja",'Mapa final'!$U$19="Moderado"),CONCATENATE("R",'Mapa final'!$A$19),"")</f>
        <v/>
      </c>
      <c r="AA45" s="417"/>
      <c r="AB45" s="417" t="str">
        <f ca="1">IF(AND('Mapa final'!$Q$20="Muy Baja",'Mapa final'!$U$20="Moderado"),CONCATENATE("R",'Mapa final'!$A$20),"")</f>
        <v/>
      </c>
      <c r="AC45" s="410"/>
      <c r="AD45" s="386" t="str">
        <f ca="1">IF(AND('Mapa final'!$Q$18="Muy Baja",'Mapa final'!$U$18="Mayor"),CONCATENATE("R",'Mapa final'!$A$18),"")</f>
        <v/>
      </c>
      <c r="AE45" s="399"/>
      <c r="AF45" s="399" t="str">
        <f>IF(AND('Mapa final'!$Q$19="Muy Baja",'Mapa final'!$U$19="Mayor"),CONCATENATE("R",'Mapa final'!$A$19),"")</f>
        <v/>
      </c>
      <c r="AG45" s="399"/>
      <c r="AH45" s="399" t="str">
        <f ca="1">IF(AND('Mapa final'!$Q$20="Muy Baja",'Mapa final'!$U$20="Mayor"),CONCATENATE("R",'Mapa final'!$A$20),"")</f>
        <v/>
      </c>
      <c r="AI45" s="391"/>
      <c r="AJ45" s="400" t="str">
        <f ca="1">IF(AND('Mapa final'!$Q$18="Muy Baja",'Mapa final'!$U$18="Catastrófico"),CONCATENATE("R",'Mapa final'!$A$18),"")</f>
        <v/>
      </c>
      <c r="AK45" s="409"/>
      <c r="AL45" s="409" t="str">
        <f>IF(AND('Mapa final'!$Q$19="Muy Baja",'Mapa final'!$U$19="Catastrófico"),CONCATENATE("R",'Mapa final'!$A$19),"")</f>
        <v/>
      </c>
      <c r="AM45" s="409"/>
      <c r="AN45" s="409" t="str">
        <f>IF(AND('Mapa final'!$Q$20="Muy Baja",'Mapa final'!$L$20="Catastrófico"),CONCATENATE("R",'Mapa final'!$A$20),"")</f>
        <v/>
      </c>
      <c r="AO45" s="402"/>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37"/>
      <c r="E46" s="337"/>
      <c r="F46" s="338"/>
      <c r="G46" s="377"/>
      <c r="H46" s="378"/>
      <c r="I46" s="378"/>
      <c r="J46" s="378"/>
      <c r="K46" s="379"/>
      <c r="L46" s="420"/>
      <c r="M46" s="418"/>
      <c r="N46" s="418"/>
      <c r="O46" s="418"/>
      <c r="P46" s="418"/>
      <c r="Q46" s="419"/>
      <c r="R46" s="420"/>
      <c r="S46" s="418"/>
      <c r="T46" s="428"/>
      <c r="U46" s="428"/>
      <c r="V46" s="428"/>
      <c r="W46" s="419"/>
      <c r="X46" s="394"/>
      <c r="Y46" s="417"/>
      <c r="Z46" s="417"/>
      <c r="AA46" s="417"/>
      <c r="AB46" s="417"/>
      <c r="AC46" s="410"/>
      <c r="AD46" s="386"/>
      <c r="AE46" s="399"/>
      <c r="AF46" s="399"/>
      <c r="AG46" s="399"/>
      <c r="AH46" s="399"/>
      <c r="AI46" s="391"/>
      <c r="AJ46" s="400"/>
      <c r="AK46" s="409"/>
      <c r="AL46" s="409"/>
      <c r="AM46" s="409"/>
      <c r="AN46" s="409"/>
      <c r="AO46" s="402"/>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37"/>
      <c r="E47" s="337"/>
      <c r="F47" s="338"/>
      <c r="G47" s="377"/>
      <c r="H47" s="378"/>
      <c r="I47" s="378"/>
      <c r="J47" s="378"/>
      <c r="K47" s="379"/>
      <c r="L47" s="420" t="str">
        <f ca="1">IF(AND('Mapa final'!$Q$21="Muy Baja",'Mapa final'!$U$21="Leve"),CONCATENATE("R",'Mapa final'!$D$21),"")</f>
        <v/>
      </c>
      <c r="M47" s="418"/>
      <c r="N47" s="418" t="str">
        <f>IF(AND('Mapa final'!$L$22="Muy Baja",'Mapa final'!$P$22="Leve"),CONCATENATE("R",'Mapa final'!$D$22),"")</f>
        <v/>
      </c>
      <c r="O47" s="418"/>
      <c r="P47" s="418" t="str">
        <f>IF(AND('Mapa final'!$L$23="Muy Baja",'Mapa final'!$P$23="Leve"),CONCATENATE("R",'Mapa final'!$D$23),"")</f>
        <v/>
      </c>
      <c r="Q47" s="419"/>
      <c r="R47" s="420" t="str">
        <f ca="1">IF(AND('Mapa final'!$Q$21="Muy Baja",'Mapa final'!$U$21="Menor"),CONCATENATE("R",'Mapa final'!$D$21),"")</f>
        <v/>
      </c>
      <c r="S47" s="418"/>
      <c r="T47" s="428" t="str">
        <f ca="1">IF(AND('Mapa final'!$LR$24="Muy Baja",'Mapa final'!$U$24="Menor"),CONCATENATE("R",'Mapa final'!$A$24),"")</f>
        <v/>
      </c>
      <c r="U47" s="428"/>
      <c r="V47" s="428" t="str">
        <f>IF(AND('Mapa final'!$Q$25="Muy Baja",'Mapa final'!$U$25="Menor"),CONCATENATE("R",'Mapa final'!$A$25),"")</f>
        <v/>
      </c>
      <c r="W47" s="419"/>
      <c r="X47" s="394" t="str">
        <f ca="1">IF(AND('Mapa final'!$Q$21="Muy Baja",'Mapa final'!$U$21="Moderado"),CONCATENATE("R",'Mapa final'!$D$21),"")</f>
        <v/>
      </c>
      <c r="Y47" s="417"/>
      <c r="Z47" s="417" t="str">
        <f ca="1">IF(AND('Mapa final'!$Q$24="Muy Baja",'Mapa final'!$U$24="Moderado"),CONCATENATE("R",'Mapa final'!$A$24),"")</f>
        <v/>
      </c>
      <c r="AA47" s="417"/>
      <c r="AB47" s="417" t="str">
        <f>IF(AND('Mapa final'!$Q$25="Muy Baja",'Mapa final'!$U$25="Moderado"),CONCATENATE("R",'Mapa final'!$A$25),"")</f>
        <v/>
      </c>
      <c r="AC47" s="410"/>
      <c r="AD47" s="386" t="str">
        <f ca="1">IF(AND('Mapa final'!$Q$23="Muy Baja",'Mapa final'!$U$23="Mayor"),CONCATENATE("R",'Mapa final'!$A$23),"")</f>
        <v/>
      </c>
      <c r="AE47" s="399"/>
      <c r="AF47" s="399" t="str">
        <f ca="1">IF(AND('Mapa final'!$Q$24="Muy Baja",'Mapa final'!$U$24="Mayor"),CONCATENATE("R",'Mapa final'!$A$24),"")</f>
        <v/>
      </c>
      <c r="AG47" s="399"/>
      <c r="AH47" s="399" t="str">
        <f>IF(AND('Mapa final'!$Q$25="Muy Baja",'Mapa final'!$U$25="Mayor"),CONCATENATE("R",'Mapa final'!$A$25),"")</f>
        <v/>
      </c>
      <c r="AI47" s="391"/>
      <c r="AJ47" s="400" t="str">
        <f ca="1">IF(AND('Mapa final'!$Q$23="Muy Baja",'Mapa final'!$U$23="Catastrófico"),CONCATENATE("R",'Mapa final'!$A$23),"")</f>
        <v/>
      </c>
      <c r="AK47" s="409"/>
      <c r="AL47" s="409" t="str">
        <f ca="1">IF(AND('Mapa final'!$Q$24="Muy Baja",'Mapa final'!$U$24="Catastrófico"),CONCATENATE("R",'Mapa final'!$A$24),"")</f>
        <v/>
      </c>
      <c r="AM47" s="409"/>
      <c r="AN47" s="409" t="str">
        <f>IF(AND('Mapa final'!$Q$25="Muy Baja",'Mapa final'!$U$25="Catastrófico"),CONCATENATE("R",'Mapa final'!$A$25),"")</f>
        <v/>
      </c>
      <c r="AO47" s="402"/>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37"/>
      <c r="E48" s="337"/>
      <c r="F48" s="338"/>
      <c r="G48" s="377"/>
      <c r="H48" s="378"/>
      <c r="I48" s="378"/>
      <c r="J48" s="378"/>
      <c r="K48" s="379"/>
      <c r="L48" s="420"/>
      <c r="M48" s="418"/>
      <c r="N48" s="418"/>
      <c r="O48" s="418"/>
      <c r="P48" s="418"/>
      <c r="Q48" s="419"/>
      <c r="R48" s="420"/>
      <c r="S48" s="418"/>
      <c r="T48" s="428"/>
      <c r="U48" s="428"/>
      <c r="V48" s="428"/>
      <c r="W48" s="419"/>
      <c r="X48" s="394"/>
      <c r="Y48" s="417"/>
      <c r="Z48" s="417"/>
      <c r="AA48" s="417"/>
      <c r="AB48" s="417"/>
      <c r="AC48" s="410"/>
      <c r="AD48" s="386"/>
      <c r="AE48" s="399"/>
      <c r="AF48" s="399"/>
      <c r="AG48" s="399"/>
      <c r="AH48" s="399"/>
      <c r="AI48" s="391"/>
      <c r="AJ48" s="400"/>
      <c r="AK48" s="409"/>
      <c r="AL48" s="409"/>
      <c r="AM48" s="409"/>
      <c r="AN48" s="409"/>
      <c r="AO48" s="402"/>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37"/>
      <c r="E49" s="337"/>
      <c r="F49" s="338"/>
      <c r="G49" s="377"/>
      <c r="H49" s="378"/>
      <c r="I49" s="378"/>
      <c r="J49" s="378"/>
      <c r="K49" s="379"/>
      <c r="L49" s="420" t="str">
        <f ca="1">IF(AND('Mapa final'!$Q$24="Muy Baja",'Mapa final'!$U$24="Leve"),CONCATENATE("R",'Mapa final'!$D$24),"")</f>
        <v>R6</v>
      </c>
      <c r="M49" s="418"/>
      <c r="N49" s="418" t="str">
        <f>IF(AND('Mapa final'!$L$25="Muy Baja",'Mapa final'!$P$25="Leve"),CONCATENATE("R",'Mapa final'!$D$25),"")</f>
        <v/>
      </c>
      <c r="O49" s="418"/>
      <c r="P49" s="418" t="str">
        <f>IF(AND('Mapa final'!$L$25="Muy Baja",'Mapa final'!$P$25="Leve"),CONCATENATE("R",'Mapa final'!$D$25),"")</f>
        <v/>
      </c>
      <c r="Q49" s="419"/>
      <c r="R49" s="418" t="str">
        <f>IF(AND('Mapa final'!$Q$26="Muy Baja",'Mapa final'!$U$26="Menor"),CONCATENATE("R",'Mapa final'!$A$26),"")</f>
        <v/>
      </c>
      <c r="S49" s="428"/>
      <c r="T49" s="428" t="str">
        <f>IF(AND('Mapa final'!$Q$27="Muy Baja",'Mapa final'!$U$27="Menor"),CONCATENATE("R",'Mapa final'!$A$27),"")</f>
        <v/>
      </c>
      <c r="U49" s="428"/>
      <c r="V49" s="428" t="str">
        <f>IF(AND('Mapa final'!$Q$28="Muy Baja",'Mapa final'!$U$28="Menor"),CONCATENATE("R",'Mapa final'!$A$28),"")</f>
        <v/>
      </c>
      <c r="W49" s="419"/>
      <c r="X49" s="394" t="str">
        <f>IF(AND('Mapa final'!$Q$26="Muy Baja",'Mapa final'!$U$26="Moderado"),CONCATENATE("R",'Mapa final'!$A$26),"")</f>
        <v/>
      </c>
      <c r="Y49" s="417"/>
      <c r="Z49" s="417" t="str">
        <f>IF(AND('Mapa final'!$Q$27="Muy Baja",'Mapa final'!$U$27="Moderado"),CONCATENATE("R",'Mapa final'!$A$27),"")</f>
        <v/>
      </c>
      <c r="AA49" s="417"/>
      <c r="AB49" s="417" t="str">
        <f>IF(AND('Mapa final'!$Q$28="Muy Baja",'Mapa final'!$U$28="Moderado"),CONCATENATE("R",'Mapa final'!$A$28),"")</f>
        <v/>
      </c>
      <c r="AC49" s="410"/>
      <c r="AD49" s="386" t="str">
        <f>IF(AND('Mapa final'!$Q$26="Muy Baja",'Mapa final'!$U$26="Mayor"),CONCATENATE("R",'Mapa final'!$A$26),"")</f>
        <v/>
      </c>
      <c r="AE49" s="399"/>
      <c r="AF49" s="399" t="str">
        <f>IF(AND('Mapa final'!$Q$27="Muy Baja",'Mapa final'!$U$27="Mayor"),CONCATENATE("R",'Mapa final'!$A$27),"")</f>
        <v/>
      </c>
      <c r="AG49" s="399"/>
      <c r="AH49" s="399" t="str">
        <f>IF(AND('Mapa final'!$Q$28="Muy Baja",'Mapa final'!$U$28="Mayor"),CONCATENATE("R",'Mapa final'!$A$28),"")</f>
        <v/>
      </c>
      <c r="AI49" s="391"/>
      <c r="AJ49" s="400" t="str">
        <f>IF(AND('Mapa final'!$Q$26="Muy Baja",'Mapa final'!$U$26="Catastrófico"),CONCATENATE("R",'Mapa final'!$A$26),"")</f>
        <v/>
      </c>
      <c r="AK49" s="409"/>
      <c r="AL49" s="409" t="str">
        <f>IF(AND('Mapa final'!$Q$27="Muy Baja",'Mapa final'!$U$27="Catastrófico"),CONCATENATE("R",'Mapa final'!$A$27),"")</f>
        <v/>
      </c>
      <c r="AM49" s="409"/>
      <c r="AN49" s="409" t="str">
        <f>IF(AND('Mapa final'!$Q$28="Muy Baja",'Mapa final'!$U$28="Catastrófico"),CONCATENATE("R",'Mapa final'!$A$28),"")</f>
        <v/>
      </c>
      <c r="AO49" s="402"/>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37"/>
      <c r="E50" s="337"/>
      <c r="F50" s="338"/>
      <c r="G50" s="380"/>
      <c r="H50" s="381"/>
      <c r="I50" s="381"/>
      <c r="J50" s="381"/>
      <c r="K50" s="381"/>
      <c r="L50" s="421"/>
      <c r="M50" s="422"/>
      <c r="N50" s="422"/>
      <c r="O50" s="422"/>
      <c r="P50" s="422"/>
      <c r="Q50" s="423"/>
      <c r="R50" s="422"/>
      <c r="S50" s="422"/>
      <c r="T50" s="422"/>
      <c r="U50" s="422"/>
      <c r="V50" s="422"/>
      <c r="W50" s="423"/>
      <c r="X50" s="411"/>
      <c r="Y50" s="412"/>
      <c r="Z50" s="412"/>
      <c r="AA50" s="412"/>
      <c r="AB50" s="412"/>
      <c r="AC50" s="413"/>
      <c r="AD50" s="397"/>
      <c r="AE50" s="392"/>
      <c r="AF50" s="392"/>
      <c r="AG50" s="392"/>
      <c r="AH50" s="392"/>
      <c r="AI50" s="393"/>
      <c r="AJ50" s="406"/>
      <c r="AK50" s="407"/>
      <c r="AL50" s="407"/>
      <c r="AM50" s="407"/>
      <c r="AN50" s="407"/>
      <c r="AO50" s="408"/>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387" t="s">
        <v>111</v>
      </c>
      <c r="M51" s="379"/>
      <c r="N51" s="379"/>
      <c r="O51" s="379"/>
      <c r="P51" s="379"/>
      <c r="Q51" s="388"/>
      <c r="R51" s="375" t="s">
        <v>110</v>
      </c>
      <c r="S51" s="376"/>
      <c r="T51" s="376"/>
      <c r="U51" s="376"/>
      <c r="V51" s="376"/>
      <c r="W51" s="390"/>
      <c r="X51" s="375" t="s">
        <v>109</v>
      </c>
      <c r="Y51" s="376"/>
      <c r="Z51" s="376"/>
      <c r="AA51" s="376"/>
      <c r="AB51" s="376"/>
      <c r="AC51" s="390"/>
      <c r="AD51" s="375" t="s">
        <v>108</v>
      </c>
      <c r="AE51" s="396"/>
      <c r="AF51" s="376"/>
      <c r="AG51" s="376"/>
      <c r="AH51" s="376"/>
      <c r="AI51" s="390"/>
      <c r="AJ51" s="375" t="s">
        <v>107</v>
      </c>
      <c r="AK51" s="376"/>
      <c r="AL51" s="376"/>
      <c r="AM51" s="376"/>
      <c r="AN51" s="376"/>
      <c r="AO51" s="390"/>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377"/>
      <c r="M52" s="378"/>
      <c r="N52" s="378"/>
      <c r="O52" s="378"/>
      <c r="P52" s="378"/>
      <c r="Q52" s="388"/>
      <c r="R52" s="377"/>
      <c r="S52" s="378"/>
      <c r="T52" s="378"/>
      <c r="U52" s="378"/>
      <c r="V52" s="378"/>
      <c r="W52" s="388"/>
      <c r="X52" s="377"/>
      <c r="Y52" s="378"/>
      <c r="Z52" s="378"/>
      <c r="AA52" s="378"/>
      <c r="AB52" s="378"/>
      <c r="AC52" s="388"/>
      <c r="AD52" s="377"/>
      <c r="AE52" s="378"/>
      <c r="AF52" s="378"/>
      <c r="AG52" s="378"/>
      <c r="AH52" s="378"/>
      <c r="AI52" s="388"/>
      <c r="AJ52" s="377"/>
      <c r="AK52" s="378"/>
      <c r="AL52" s="378"/>
      <c r="AM52" s="378"/>
      <c r="AN52" s="378"/>
      <c r="AO52" s="388"/>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377"/>
      <c r="M53" s="378"/>
      <c r="N53" s="378"/>
      <c r="O53" s="378"/>
      <c r="P53" s="378"/>
      <c r="Q53" s="388"/>
      <c r="R53" s="377"/>
      <c r="S53" s="378"/>
      <c r="T53" s="378"/>
      <c r="U53" s="378"/>
      <c r="V53" s="378"/>
      <c r="W53" s="388"/>
      <c r="X53" s="377"/>
      <c r="Y53" s="378"/>
      <c r="Z53" s="378"/>
      <c r="AA53" s="378"/>
      <c r="AB53" s="378"/>
      <c r="AC53" s="388"/>
      <c r="AD53" s="377"/>
      <c r="AE53" s="378"/>
      <c r="AF53" s="378"/>
      <c r="AG53" s="378"/>
      <c r="AH53" s="378"/>
      <c r="AI53" s="388"/>
      <c r="AJ53" s="377"/>
      <c r="AK53" s="378"/>
      <c r="AL53" s="378"/>
      <c r="AM53" s="378"/>
      <c r="AN53" s="378"/>
      <c r="AO53" s="388"/>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377"/>
      <c r="M54" s="378"/>
      <c r="N54" s="378"/>
      <c r="O54" s="378"/>
      <c r="P54" s="378"/>
      <c r="Q54" s="388"/>
      <c r="R54" s="377"/>
      <c r="S54" s="378"/>
      <c r="T54" s="378"/>
      <c r="U54" s="378"/>
      <c r="V54" s="378"/>
      <c r="W54" s="388"/>
      <c r="X54" s="377"/>
      <c r="Y54" s="378"/>
      <c r="Z54" s="378"/>
      <c r="AA54" s="378"/>
      <c r="AB54" s="378"/>
      <c r="AC54" s="388"/>
      <c r="AD54" s="377"/>
      <c r="AE54" s="378"/>
      <c r="AF54" s="378"/>
      <c r="AG54" s="378"/>
      <c r="AH54" s="378"/>
      <c r="AI54" s="388"/>
      <c r="AJ54" s="377"/>
      <c r="AK54" s="378"/>
      <c r="AL54" s="378"/>
      <c r="AM54" s="378"/>
      <c r="AN54" s="378"/>
      <c r="AO54" s="388"/>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377"/>
      <c r="M55" s="378"/>
      <c r="N55" s="378"/>
      <c r="O55" s="378"/>
      <c r="P55" s="378"/>
      <c r="Q55" s="388"/>
      <c r="R55" s="377"/>
      <c r="S55" s="378"/>
      <c r="T55" s="378"/>
      <c r="U55" s="378"/>
      <c r="V55" s="378"/>
      <c r="W55" s="388"/>
      <c r="X55" s="377"/>
      <c r="Y55" s="378"/>
      <c r="Z55" s="378"/>
      <c r="AA55" s="378"/>
      <c r="AB55" s="378"/>
      <c r="AC55" s="388"/>
      <c r="AD55" s="377"/>
      <c r="AE55" s="378"/>
      <c r="AF55" s="378"/>
      <c r="AG55" s="378"/>
      <c r="AH55" s="378"/>
      <c r="AI55" s="388"/>
      <c r="AJ55" s="377"/>
      <c r="AK55" s="378"/>
      <c r="AL55" s="378"/>
      <c r="AM55" s="378"/>
      <c r="AN55" s="378"/>
      <c r="AO55" s="388"/>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380"/>
      <c r="M56" s="381"/>
      <c r="N56" s="381"/>
      <c r="O56" s="381"/>
      <c r="P56" s="381"/>
      <c r="Q56" s="389"/>
      <c r="R56" s="380"/>
      <c r="S56" s="381"/>
      <c r="T56" s="381"/>
      <c r="U56" s="381"/>
      <c r="V56" s="381"/>
      <c r="W56" s="389"/>
      <c r="X56" s="380"/>
      <c r="Y56" s="381"/>
      <c r="Z56" s="381"/>
      <c r="AA56" s="381"/>
      <c r="AB56" s="381"/>
      <c r="AC56" s="389"/>
      <c r="AD56" s="380"/>
      <c r="AE56" s="381"/>
      <c r="AF56" s="381"/>
      <c r="AG56" s="381"/>
      <c r="AH56" s="381"/>
      <c r="AI56" s="389"/>
      <c r="AJ56" s="380"/>
      <c r="AK56" s="381"/>
      <c r="AL56" s="381"/>
      <c r="AM56" s="381"/>
      <c r="AN56" s="381"/>
      <c r="AO56" s="38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activeCell="AW17" sqref="AW17"/>
    </sheetView>
  </sheetViews>
  <sheetFormatPr baseColWidth="10" defaultRowHeight="15" x14ac:dyDescent="0.25"/>
  <cols>
    <col min="3" max="10" width="5.7109375" customWidth="1"/>
    <col min="11" max="11" width="9.140625" customWidth="1"/>
    <col min="12" max="12" width="12" customWidth="1"/>
    <col min="13" max="13" width="6.85546875" customWidth="1"/>
    <col min="14" max="14" width="5.7109375" customWidth="1"/>
    <col min="15" max="15" width="9.5703125" customWidth="1"/>
    <col min="16" max="19" width="5.7109375" customWidth="1"/>
    <col min="20" max="20" width="4.5703125" customWidth="1"/>
    <col min="21" max="21" width="5.7109375" customWidth="1"/>
    <col min="22" max="22" width="11.42578125" customWidth="1"/>
    <col min="23" max="23" width="8.85546875" customWidth="1"/>
    <col min="24" max="24" width="5.7109375" customWidth="1"/>
    <col min="25" max="25" width="8.42578125" customWidth="1"/>
    <col min="26" max="27" width="5.7109375" customWidth="1"/>
    <col min="28" max="29" width="10.7109375" customWidth="1"/>
    <col min="30" max="30" width="7.42578125" customWidth="1"/>
    <col min="31" max="31" width="5.7109375" customWidth="1"/>
    <col min="32" max="32" width="10.42578125" customWidth="1"/>
    <col min="33" max="34" width="5.7109375" customWidth="1"/>
    <col min="35" max="35" width="8.42578125" customWidth="1"/>
    <col min="36" max="40" width="5.7109375" customWidth="1"/>
    <col min="42" max="47" width="5.7109375" customWidth="1"/>
  </cols>
  <sheetData>
    <row r="1" spans="1:92" ht="15.75" thickBot="1" x14ac:dyDescent="0.3"/>
    <row r="2" spans="1:92" x14ac:dyDescent="0.25">
      <c r="C2" s="328" t="s">
        <v>251</v>
      </c>
      <c r="D2" s="329"/>
      <c r="E2" s="329"/>
      <c r="F2" s="329"/>
      <c r="G2" s="329"/>
      <c r="H2" s="329"/>
      <c r="I2" s="329"/>
      <c r="J2" s="330"/>
      <c r="K2" s="319" t="s">
        <v>205</v>
      </c>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1"/>
      <c r="AO2" s="251" t="s">
        <v>377</v>
      </c>
      <c r="AP2" s="316"/>
      <c r="AQ2" s="316"/>
      <c r="AR2" s="316"/>
      <c r="AS2" s="316"/>
      <c r="AT2" s="316"/>
      <c r="AU2" s="224"/>
    </row>
    <row r="3" spans="1:92" x14ac:dyDescent="0.25">
      <c r="C3" s="331"/>
      <c r="D3" s="332"/>
      <c r="E3" s="332"/>
      <c r="F3" s="332"/>
      <c r="G3" s="332"/>
      <c r="H3" s="332"/>
      <c r="I3" s="332"/>
      <c r="J3" s="333"/>
      <c r="K3" s="322"/>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4"/>
      <c r="AO3" s="252" t="s">
        <v>264</v>
      </c>
      <c r="AP3" s="317"/>
      <c r="AQ3" s="317"/>
      <c r="AR3" s="317"/>
      <c r="AS3" s="317"/>
      <c r="AT3" s="317"/>
      <c r="AU3" s="226"/>
    </row>
    <row r="4" spans="1:92" x14ac:dyDescent="0.25">
      <c r="C4" s="331"/>
      <c r="D4" s="332"/>
      <c r="E4" s="332"/>
      <c r="F4" s="332"/>
      <c r="G4" s="332"/>
      <c r="H4" s="332"/>
      <c r="I4" s="332"/>
      <c r="J4" s="333"/>
      <c r="K4" s="322"/>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4"/>
      <c r="AO4" s="252" t="s">
        <v>389</v>
      </c>
      <c r="AP4" s="317" t="s">
        <v>263</v>
      </c>
      <c r="AQ4" s="317"/>
      <c r="AR4" s="317"/>
      <c r="AS4" s="317"/>
      <c r="AT4" s="317"/>
      <c r="AU4" s="226"/>
    </row>
    <row r="5" spans="1:92" ht="15.75" thickBot="1" x14ac:dyDescent="0.3">
      <c r="C5" s="334"/>
      <c r="D5" s="335"/>
      <c r="E5" s="335"/>
      <c r="F5" s="335"/>
      <c r="G5" s="335"/>
      <c r="H5" s="335"/>
      <c r="I5" s="335"/>
      <c r="J5" s="336"/>
      <c r="K5" s="325"/>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7"/>
      <c r="AO5" s="253" t="s">
        <v>245</v>
      </c>
      <c r="AP5" s="318" t="s">
        <v>245</v>
      </c>
      <c r="AQ5" s="318"/>
      <c r="AR5" s="318"/>
      <c r="AS5" s="318"/>
      <c r="AT5" s="318"/>
      <c r="AU5" s="228"/>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479" t="s">
        <v>266</v>
      </c>
      <c r="B8" s="479"/>
      <c r="C8" s="457" t="s">
        <v>156</v>
      </c>
      <c r="D8" s="458"/>
      <c r="E8" s="458"/>
      <c r="F8" s="458"/>
      <c r="G8" s="458"/>
      <c r="H8" s="458"/>
      <c r="I8" s="458"/>
      <c r="J8" s="458"/>
      <c r="K8" s="459" t="s">
        <v>2</v>
      </c>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58"/>
      <c r="D9" s="458"/>
      <c r="E9" s="458"/>
      <c r="F9" s="458"/>
      <c r="G9" s="458"/>
      <c r="H9" s="458"/>
      <c r="I9" s="458"/>
      <c r="J9" s="458"/>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58"/>
      <c r="D10" s="458"/>
      <c r="E10" s="458"/>
      <c r="F10" s="458"/>
      <c r="G10" s="458"/>
      <c r="H10" s="458"/>
      <c r="I10" s="458"/>
      <c r="J10" s="458"/>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37" t="s">
        <v>4</v>
      </c>
      <c r="D12" s="337"/>
      <c r="E12" s="338"/>
      <c r="F12" s="429" t="s">
        <v>115</v>
      </c>
      <c r="G12" s="430"/>
      <c r="H12" s="430"/>
      <c r="I12" s="430"/>
      <c r="J12" s="430"/>
      <c r="K12" s="32" t="str">
        <f ca="1">IF(AND('Mapa final'!$AJ$15="Muy Alta",'Mapa final'!$AL$15="Leve"),CONCATENATE("R2C",'Mapa final'!$S$15),"")</f>
        <v/>
      </c>
      <c r="L12" s="33" t="str">
        <f>IF(AND('Mapa final'!$AJ$16="Muy Alta",'Mapa final'!$AL$16="Leve"),CONCATENATE("R2C",'Mapa final'!$S$16),"")</f>
        <v/>
      </c>
      <c r="M12" s="33" t="str">
        <f>IF(AND('Mapa final'!$AJ$17="Muy Alta",'Mapa final'!$AL$17="Leve"),CONCATENATE("R2C",'Mapa final'!$S$17),"")</f>
        <v/>
      </c>
      <c r="N12" s="33" t="str">
        <f ca="1">IF(AND('Mapa final'!$AJ$18="Muy Alta",'Mapa final'!$AL$18="Leve"),CONCATENATE("R2C",'Mapa final'!$S$18),"")</f>
        <v/>
      </c>
      <c r="O12" s="33" t="str">
        <f>IF(AND('Mapa final'!$AJ$19="Muy Alta",'Mapa final'!$AL$19="Leve"),CONCATENATE("R2C",'Mapa final'!$S$19),"")</f>
        <v/>
      </c>
      <c r="P12" s="34" t="str">
        <f ca="1">IF(AND('Mapa final'!$AJ$20="Muy Alta",'Mapa final'!$AL$20="Leve"),CONCATENATE("R2C",'Mapa final'!$S$20),"")</f>
        <v/>
      </c>
      <c r="Q12" s="33" t="str">
        <f ca="1">IF(AND('Mapa final'!$AJ$15="Muy Alta",'Mapa final'!$AL$15="Menor"),CONCATENATE("R2C",'Mapa final'!$S$15),"")</f>
        <v/>
      </c>
      <c r="R12" s="33" t="str">
        <f>IF(AND('Mapa final'!$AJ$16="Muy Alta",'Mapa final'!$AL$16="Menore"),CONCATENATE("R2C",'Mapa final'!$S$16),"")</f>
        <v/>
      </c>
      <c r="S12" s="33" t="str">
        <f>IF(AND('Mapa final'!$AJ$17="Muy Alta",'Mapa final'!$AL$17="Menor"),CONCATENATE("R2C",'Mapa final'!$S$17),"")</f>
        <v/>
      </c>
      <c r="T12" s="33" t="str">
        <f ca="1">IF(AND('Mapa final'!$AJ$18="Muy Alta",'Mapa final'!$AL$18="Menor"),CONCATENATE("R2C",'Mapa final'!$S$18),"")</f>
        <v/>
      </c>
      <c r="U12" s="33" t="str">
        <f>IF(AND('Mapa final'!$AJ$19="Muy Alta",'Mapa final'!$AL$19="Menor"),CONCATENATE("R2C",'Mapa final'!$S$19),"")</f>
        <v/>
      </c>
      <c r="V12" s="34" t="str">
        <f ca="1">IF(AND('Mapa final'!$AJ$20="Muy Alta",'Mapa final'!$AL$20="Menor"),CONCATENATE("R2C",'Mapa final'!$S$20),"")</f>
        <v/>
      </c>
      <c r="W12" s="32" t="str">
        <f ca="1">IF(AND('Mapa final'!$AJ$15="Muy Alta",'Mapa final'!$AL$15="Moderado"),CONCATENATE("R2C",'Mapa final'!$S$15),"")</f>
        <v/>
      </c>
      <c r="X12" s="33" t="str">
        <f>IF(AND('Mapa final'!$AJ$16="Muy Alta",'Mapa final'!$AL$16="Moderado"),CONCATENATE("R2C",'Mapa final'!$S$16),"")</f>
        <v/>
      </c>
      <c r="Y12" s="33"/>
      <c r="Z12" s="33" t="str">
        <f ca="1">IF(AND('Mapa final'!$AJ$18="Muy Alta",'Mapa final'!$AL$18="Moderado"),CONCATENATE("R2C",'Mapa final'!$S$18),"")</f>
        <v/>
      </c>
      <c r="AA12" s="33" t="str">
        <f>IF(AND('Mapa final'!$AJ$19="Muy Alta",'Mapa final'!$AL$19="Moderado"),CONCATENATE("R2C",'Mapa final'!$S$19),"")</f>
        <v/>
      </c>
      <c r="AB12" s="34" t="str">
        <f ca="1">IF(AND('Mapa final'!$AJ$20="Muy Alta",'Mapa final'!$AL$20="Moderado"),CONCATENATE("R2C",'Mapa final'!$S$20),"")</f>
        <v/>
      </c>
      <c r="AC12" s="32" t="str">
        <f ca="1">IF(AND('Mapa final'!$AJ$15="Muy Alta",'Mapa final'!$AL$15="Mayor"),CONCATENATE("R2C",'Mapa final'!$S$15),"")</f>
        <v/>
      </c>
      <c r="AD12" s="33" t="str">
        <f>IF(AND('Mapa final'!$AJ$16="Muy Alta",'Mapa final'!$AL$16="Mayor"),CONCATENATE("R2C",'Mapa final'!$S$16),"")</f>
        <v/>
      </c>
      <c r="AE12" s="33" t="str">
        <f>IF(AND('Mapa final'!$AJ$17="Muy Alta",'Mapa final'!$AL$17="Mayor"),CONCATENATE("R2C",'Mapa final'!$S$17),"")</f>
        <v/>
      </c>
      <c r="AF12" s="33" t="str">
        <f ca="1">IF(AND('Mapa final'!$AJ$18="Muy Alta",'Mapa final'!$AL$18="Mayor"),CONCATENATE("R2C",'Mapa final'!$S$18),"")</f>
        <v/>
      </c>
      <c r="AG12" s="33" t="str">
        <f>IF(AND('Mapa final'!$AJ$19="Muy Alta",'Mapa final'!$AL$19="Mayor"),CONCATENATE("R2C",'Mapa final'!$S$19),"")</f>
        <v/>
      </c>
      <c r="AH12" s="34" t="str">
        <f ca="1">IF(AND('Mapa final'!$AJ$20="Muy Alta",'Mapa final'!$AL$20="Mayor"),CONCATENATE("R2C",'Mapa final'!$S$20),"")</f>
        <v/>
      </c>
      <c r="AI12" s="35" t="str">
        <f ca="1">IF(AND('Mapa final'!$AJ$15="Muy Alta",'Mapa final'!$AL$15="Catastrófico"),CONCATENATE("R2C",'Mapa final'!$S$15),"")</f>
        <v/>
      </c>
      <c r="AJ12" s="36" t="str">
        <f>IF(AND('Mapa final'!$AJ$16="Muy Alta",'Mapa final'!$AL$16="Catastrófico"),CONCATENATE("R2C",'Mapa final'!$S$16),"")</f>
        <v/>
      </c>
      <c r="AK12" s="36" t="str">
        <f>IF(AND('Mapa final'!$AJ$17="Muy Alta",'Mapa final'!$AL$17="Catastrófico"),CONCATENATE("R2C",'Mapa final'!$S$17),"")</f>
        <v/>
      </c>
      <c r="AL12" s="36" t="str">
        <f ca="1">IF(AND('Mapa final'!$AJ$18="Muy Alta",'Mapa final'!$AL$18="Catastrófico"),CONCATENATE("R2C",'Mapa final'!$S$18),"")</f>
        <v/>
      </c>
      <c r="AM12" s="36" t="str">
        <f>IF(AND('Mapa final'!$AJ$19="Muy Alta",'Mapa final'!$AL$19="Catastrófico"),CONCATENATE("R2C",'Mapa final'!$S$19),"")</f>
        <v/>
      </c>
      <c r="AN12" s="37" t="str">
        <f ca="1">IF(AND('Mapa final'!$AJ$20="Muy Alta",'Mapa final'!$AL$20="Catastrófico"),CONCATENATE("R2C",'Mapa final'!$S$20),"")</f>
        <v/>
      </c>
      <c r="AO12" s="69"/>
      <c r="AP12" s="448" t="s">
        <v>78</v>
      </c>
      <c r="AQ12" s="449"/>
      <c r="AR12" s="449"/>
      <c r="AS12" s="449"/>
      <c r="AT12" s="449"/>
      <c r="AU12" s="450"/>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37"/>
      <c r="D13" s="337"/>
      <c r="E13" s="338"/>
      <c r="F13" s="432"/>
      <c r="G13" s="433"/>
      <c r="H13" s="433"/>
      <c r="I13" s="433"/>
      <c r="J13" s="460"/>
      <c r="K13" s="38" t="str">
        <f>IF(AND('Mapa final'!$AJ$23="Muy Alta",'Mapa final'!$AL$23="Leve"),CONCATENATE("R2C",'Mapa final'!$S$23),"")</f>
        <v/>
      </c>
      <c r="L13" s="178" t="str">
        <f>IF(AND('Mapa final'!$AJ$24="Muy Alta",'Mapa final'!$AL$24="Leve"),CONCATENATE("R2C",'Mapa final'!$S$24),"")</f>
        <v/>
      </c>
      <c r="M13" s="178" t="str">
        <f>IF(AND('Mapa final'!$AJ$25="Muy Alta",'Mapa final'!$AL$25="Leve"),CONCATENATE("R2C",'Mapa final'!$S$25),"")</f>
        <v/>
      </c>
      <c r="N13" s="178" t="str">
        <f>IF(AND('Mapa final'!$AJ$26="Muy Alta",'Mapa final'!$AL$26="Leve"),CONCATENATE("R2C",'Mapa final'!$S$26),"")</f>
        <v/>
      </c>
      <c r="O13" s="178" t="str">
        <f>IF(AND('Mapa final'!$AJ$27="Muy Alta",'Mapa final'!$AL$27="Leve"),CONCATENATE("R2C",'Mapa final'!$S$27),"")</f>
        <v/>
      </c>
      <c r="P13" s="40" t="str">
        <f>IF(AND('Mapa final'!$AJ$28="Muy Alta",'Mapa final'!$AL$28="Leve"),CONCATENATE("R2C",'Mapa final'!$S$28),"")</f>
        <v/>
      </c>
      <c r="Q13" s="178" t="str">
        <f>IF(AND('Mapa final'!$AJ$23="Muy Alta",'Mapa final'!$AL$23="Menor"),CONCATENATE("R2C",'Mapa final'!$S$23),"")</f>
        <v/>
      </c>
      <c r="R13" s="39" t="str">
        <f>IF(AND('Mapa final'!$AJ$24="Muy Alta",'Mapa final'!$AL$24="Menor"),CONCATENATE("R2C",'Mapa final'!$S$24),"")</f>
        <v/>
      </c>
      <c r="S13" s="39" t="str">
        <f>IF(AND('Mapa final'!$AJ$25="Muy Alta",'Mapa final'!$AL$25="Menor"),CONCATENATE("R2C",'Mapa final'!$S$25),"")</f>
        <v/>
      </c>
      <c r="T13" s="39" t="str">
        <f>IF(AND('Mapa final'!$AJ$26="Muy Alta",'Mapa final'!$AL$26="Menor"),CONCATENATE("R2C",'Mapa final'!$S$26),"")</f>
        <v/>
      </c>
      <c r="U13" s="39" t="str">
        <f>IF(AND('Mapa final'!$AJ$27="Muy Alta",'Mapa final'!$AL$27="Menor"),CONCATENATE("R2C",'Mapa final'!$S$27),"")</f>
        <v/>
      </c>
      <c r="V13" s="40" t="str">
        <f>IF(AND('Mapa final'!$AJ$28="Muy Alta",'Mapa final'!$AL$28="Menor"),CONCATENATE("R2C",'Mapa final'!$S$28),"")</f>
        <v/>
      </c>
      <c r="W13" s="38" t="str">
        <f>IF(AND('Mapa final'!$AJ$23="Muy Alta",'Mapa final'!$AL$23="Moderado"),CONCATENATE("R2C",'Mapa final'!$S$23),"")</f>
        <v/>
      </c>
      <c r="X13" s="39" t="str">
        <f>IF(AND('Mapa final'!$AJ$24="Muy Alta",'Mapa final'!$AL$24="Moderado"),CONCATENATE("R2C",'Mapa final'!$S$24),"")</f>
        <v/>
      </c>
      <c r="Y13" s="39" t="str">
        <f>IF(AND('Mapa final'!$AJ$25="Muy Alta",'Mapa final'!$AL$25="Moderado"),CONCATENATE("R2C",'Mapa final'!$S$25),"")</f>
        <v/>
      </c>
      <c r="Z13" s="39" t="str">
        <f>IF(AND('Mapa final'!$AJ$26="Muy Alta",'Mapa final'!$AL$26="Moderado"),CONCATENATE("R2C",'Mapa final'!$S$26),"")</f>
        <v/>
      </c>
      <c r="AA13" s="39" t="str">
        <f>IF(AND('Mapa final'!$AJ$27="Muy Alta",'Mapa final'!$AL$27="Moderado"),CONCATENATE("R2C",'Mapa final'!$S$27),"")</f>
        <v/>
      </c>
      <c r="AB13" s="40" t="str">
        <f>IF(AND('Mapa final'!$AJ$28="Muy Alta",'Mapa final'!$AL$28="Moderado"),CONCATENATE("R2C",'Mapa final'!$S$28),"")</f>
        <v/>
      </c>
      <c r="AC13" s="38" t="str">
        <f>IF(AND('Mapa final'!$AJ$23="Muy Alta",'Mapa final'!$AL$23="Mayor"),CONCATENATE("R2C",'Mapa final'!$S$23),"")</f>
        <v/>
      </c>
      <c r="AD13" s="39" t="str">
        <f>IF(AND('Mapa final'!$AJ$24="Muy Alta",'Mapa final'!$AL$24="Mayor"),CONCATENATE("R2C",'Mapa final'!$S$24),"")</f>
        <v/>
      </c>
      <c r="AE13" s="39" t="str">
        <f>IF(AND('Mapa final'!$AJ$25="Muy Alta",'Mapa final'!$AL$25="Mayor"),CONCATENATE("R2C",'Mapa final'!$S$25),"")</f>
        <v/>
      </c>
      <c r="AF13" s="39" t="str">
        <f>IF(AND('Mapa final'!$AJ$26="Muy Alta",'Mapa final'!$AL$26="Mayor"),CONCATENATE("R2C",'Mapa final'!$S$26),"")</f>
        <v/>
      </c>
      <c r="AG13" s="39" t="str">
        <f>IF(AND('Mapa final'!$AJ$27="Muy Alta",'Mapa final'!$AL$27="Mayor"),CONCATENATE("R2C",'Mapa final'!$S$27),"")</f>
        <v/>
      </c>
      <c r="AH13" s="40" t="str">
        <f>IF(AND('Mapa final'!$AJ$28="Muy Alta",'Mapa final'!$AL$28="Mayor"),CONCATENATE("R2C",'Mapa final'!$S$28),"")</f>
        <v/>
      </c>
      <c r="AI13" s="41" t="str">
        <f>IF(AND('Mapa final'!$AJ$23="Muy Alta",'Mapa final'!$AL$23="Catastrófico"),CONCATENATE("R2C",'Mapa final'!$S$23),"")</f>
        <v/>
      </c>
      <c r="AJ13" s="42" t="str">
        <f>IF(AND('Mapa final'!$AJ$24="Muy Alta",'Mapa final'!$AL$24="Catastrófico"),CONCATENATE("R2C",'Mapa final'!$S$24),"")</f>
        <v/>
      </c>
      <c r="AK13" s="42" t="str">
        <f>IF(AND('Mapa final'!$AJ$25="Muy Alta",'Mapa final'!$AL$25="Catastrófico"),CONCATENATE("R2C",'Mapa final'!$S$25),"")</f>
        <v/>
      </c>
      <c r="AL13" s="42" t="str">
        <f>IF(AND('Mapa final'!$AJ$26="Muy Alta",'Mapa final'!$AL$26="Catastrófico"),CONCATENATE("R2C",'Mapa final'!$S$26),"")</f>
        <v/>
      </c>
      <c r="AM13" s="42" t="str">
        <f>IF(AND('Mapa final'!$AJ$27="Muy Alta",'Mapa final'!$AL$27="Catastrófico"),CONCATENATE("R2C",'Mapa final'!$S$27),"")</f>
        <v/>
      </c>
      <c r="AN13" s="43" t="str">
        <f>IF(AND('Mapa final'!$AJ$28="Muy Alta",'Mapa final'!$AL$28="Catastrófico"),CONCATENATE("R2C",'Mapa final'!$S$28),"")</f>
        <v/>
      </c>
      <c r="AO13" s="69"/>
      <c r="AP13" s="451"/>
      <c r="AQ13" s="452"/>
      <c r="AR13" s="452"/>
      <c r="AS13" s="452"/>
      <c r="AT13" s="452"/>
      <c r="AU13" s="453"/>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37"/>
      <c r="D14" s="337"/>
      <c r="E14" s="338"/>
      <c r="F14" s="432"/>
      <c r="G14" s="433"/>
      <c r="H14" s="433"/>
      <c r="I14" s="433"/>
      <c r="J14" s="460"/>
      <c r="K14" s="38" t="str">
        <f>IF(AND('Mapa final'!$AJ$29="Muy Alta",'Mapa final'!$AL$29="Leve"),CONCATENATE("R2C",'Mapa final'!$S$29),"")</f>
        <v/>
      </c>
      <c r="L14" s="178" t="str">
        <f>IF(AND('Mapa final'!$AJ$30="Muy Alta",'Mapa final'!$AL$30="Leve"),CONCATENATE("R2C",'Mapa final'!$S$30),"")</f>
        <v/>
      </c>
      <c r="M14" s="178" t="str">
        <f>IF(AND('Mapa final'!$AJ$31="Muy Alta",'Mapa final'!$AL$31="Leve"),CONCATENATE("R2C",'Mapa final'!$S$31),"")</f>
        <v/>
      </c>
      <c r="N14" s="178" t="str">
        <f>IF(AND('Mapa final'!$AJ$32="Muy Alta",'Mapa final'!$AL$32="Leve"),CONCATENATE("R2C",'Mapa final'!$S$32),"")</f>
        <v/>
      </c>
      <c r="O14" s="178" t="str">
        <f>IF(AND('Mapa final'!$AJ$33="Muy Alta",'Mapa final'!$AL$33="Leve"),CONCATENATE("R2C",'Mapa final'!$S$33),"")</f>
        <v/>
      </c>
      <c r="P14" s="40" t="str">
        <f>IF(AND('Mapa final'!$AJ$34="Muy Alta",'Mapa final'!$AL$34="Leve"),CONCATENATE("R2C",'Mapa final'!$S$34),"")</f>
        <v/>
      </c>
      <c r="Q14" s="178" t="str">
        <f>IF(AND('Mapa final'!$AJ$29="Muy Alta",'Mapa final'!$AL$29="Menor"),CONCATENATE("R2C",'Mapa final'!$S$29),"")</f>
        <v/>
      </c>
      <c r="R14" s="39" t="str">
        <f>IF(AND('Mapa final'!$AJ$30="Muy Alta",'Mapa final'!$AL$30="Menor"),CONCATENATE("R2C",'Mapa final'!$S$30),"")</f>
        <v/>
      </c>
      <c r="S14" s="39" t="str">
        <f>IF(AND('Mapa final'!$AJ$31="Muy Alta",'Mapa final'!$AL$31="Menor"),CONCATENATE("R2C",'Mapa final'!$S$31),"")</f>
        <v/>
      </c>
      <c r="T14" s="39" t="str">
        <f>IF(AND('Mapa final'!$AJ$32="Muy Alta",'Mapa final'!$AL$32="Menor"),CONCATENATE("R2C",'Mapa final'!$S$32),"")</f>
        <v/>
      </c>
      <c r="U14" s="39" t="str">
        <f>IF(AND('Mapa final'!$AJ$33="Muy Alta",'Mapa final'!$AL$33="Menor"),CONCATENATE("R2C",'Mapa final'!$S$33),"")</f>
        <v/>
      </c>
      <c r="V14" s="40" t="str">
        <f>IF(AND('Mapa final'!$AJ$34="Muy Alta",'Mapa final'!$AL$34="Menor"),CONCATENATE("R2C",'Mapa final'!$S$34),"")</f>
        <v/>
      </c>
      <c r="W14" s="38" t="str">
        <f>IF(AND('Mapa final'!$AJ$29="Muy Alta",'Mapa final'!$AL$29="Moderado"),CONCATENATE("R2C",'Mapa final'!$S$29),"")</f>
        <v/>
      </c>
      <c r="X14" s="39" t="str">
        <f>IF(AND('Mapa final'!$AJ$30="Muy Alta",'Mapa final'!$AL$30="Moderado"),CONCATENATE("R2C",'Mapa final'!$S$30),"")</f>
        <v/>
      </c>
      <c r="Y14" s="39" t="str">
        <f>IF(AND('Mapa final'!$AJ$31="Muy Alta",'Mapa final'!$AL$31="Moderado"),CONCATENATE("R2C",'Mapa final'!$S$31),"")</f>
        <v/>
      </c>
      <c r="Z14" s="39" t="str">
        <f>IF(AND('Mapa final'!$AJ$32="Muy Alta",'Mapa final'!$AL$32="Moderado"),CONCATENATE("R2C",'Mapa final'!$S$32),"")</f>
        <v/>
      </c>
      <c r="AA14" s="39" t="str">
        <f>IF(AND('Mapa final'!$AJ$33="Muy Alta",'Mapa final'!$AL$33="Moderado"),CONCATENATE("R2C",'Mapa final'!$S$33),"")</f>
        <v/>
      </c>
      <c r="AB14" s="40" t="str">
        <f>IF(AND('Mapa final'!$AJ$34="Muy Alta",'Mapa final'!$AL$34="Moderado"),CONCATENATE("R2C",'Mapa final'!$S$34),"")</f>
        <v/>
      </c>
      <c r="AC14" s="38" t="str">
        <f>IF(AND('Mapa final'!$AJ$29="Muy Alta",'Mapa final'!$AL$29="Mayor"),CONCATENATE("R2C",'Mapa final'!$S$29),"")</f>
        <v/>
      </c>
      <c r="AD14" s="39" t="str">
        <f>IF(AND('Mapa final'!$AJ$30="Muy Alta",'Mapa final'!$AL$30="Mayor"),CONCATENATE("R2C",'Mapa final'!$S$30),"")</f>
        <v/>
      </c>
      <c r="AE14" s="39" t="str">
        <f>IF(AND('Mapa final'!$AJ$31="Muy Alta",'Mapa final'!$AL$31="Mayor"),CONCATENATE("R2C",'Mapa final'!$S$31),"")</f>
        <v/>
      </c>
      <c r="AF14" s="39" t="str">
        <f>IF(AND('Mapa final'!$AJ$32="Muy Alta",'Mapa final'!$AL$32="Mayor"),CONCATENATE("R2C",'Mapa final'!$S$32),"")</f>
        <v/>
      </c>
      <c r="AG14" s="39" t="str">
        <f>IF(AND('Mapa final'!$AJ$33="Muy Alta",'Mapa final'!$AL$33="Mayor"),CONCATENATE("R2C",'Mapa final'!$S$33),"")</f>
        <v/>
      </c>
      <c r="AH14" s="40" t="str">
        <f>IF(AND('Mapa final'!$AJ$34="Muy Alta",'Mapa final'!$AL$34="Mayor"),CONCATENATE("R2C",'Mapa final'!$S$34),"")</f>
        <v/>
      </c>
      <c r="AI14" s="41" t="str">
        <f>IF(AND('Mapa final'!$AJ$29="Muy Alta",'Mapa final'!$AL$29="Catastrófico"),CONCATENATE("R2C",'Mapa final'!$S$29),"")</f>
        <v/>
      </c>
      <c r="AJ14" s="42" t="str">
        <f>IF(AND('Mapa final'!$AJ$30="Muy Alta",'Mapa final'!$AL$30="Catastrófico"),CONCATENATE("R2C",'Mapa final'!$S$30),"")</f>
        <v/>
      </c>
      <c r="AK14" s="42" t="str">
        <f>IF(AND('Mapa final'!$AJ$31="Muy Alta",'Mapa final'!$AL$31="Catastrófico"),CONCATENATE("R2C",'Mapa final'!$S$31),"")</f>
        <v/>
      </c>
      <c r="AL14" s="42" t="str">
        <f>IF(AND('Mapa final'!$AJ$32="Muy Alta",'Mapa final'!$AL$32="Catastrófico"),CONCATENATE("R2C",'Mapa final'!$S$32),"")</f>
        <v/>
      </c>
      <c r="AM14" s="42" t="str">
        <f>IF(AND('Mapa final'!$AJ$33="Muy Alta",'Mapa final'!$AL$33="Catastrófico"),CONCATENATE("R2C",'Mapa final'!$S$33),"")</f>
        <v/>
      </c>
      <c r="AN14" s="43" t="str">
        <f>IF(AND('Mapa final'!$AJ$34="Muy Alta",'Mapa final'!$AL$34="Catastrófico"),CONCATENATE("R2C",'Mapa final'!$S$34),"")</f>
        <v/>
      </c>
      <c r="AO14" s="69"/>
      <c r="AP14" s="451"/>
      <c r="AQ14" s="452"/>
      <c r="AR14" s="452"/>
      <c r="AS14" s="452"/>
      <c r="AT14" s="452"/>
      <c r="AU14" s="453"/>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37"/>
      <c r="D15" s="337"/>
      <c r="E15" s="338"/>
      <c r="F15" s="432"/>
      <c r="G15" s="433"/>
      <c r="H15" s="433"/>
      <c r="I15" s="433"/>
      <c r="J15" s="460"/>
      <c r="K15" s="38" t="str">
        <f>IF(AND('Mapa final'!$AJ$35="Muy Alta",'Mapa final'!$AL$35="Leve"),CONCATENATE("R2C",'Mapa final'!$S$35),"")</f>
        <v/>
      </c>
      <c r="L15" s="178" t="str">
        <f>IF(AND('Mapa final'!$AJ$36="Muy Alta",'Mapa final'!$AL$36="Leve"),CONCATENATE("R2C",'Mapa final'!$S$36),"")</f>
        <v/>
      </c>
      <c r="M15" s="178" t="str">
        <f>IF(AND('Mapa final'!$AJ$37="Muy Alta",'Mapa final'!$AL$37="Leve"),CONCATENATE("R2C",'Mapa final'!$S$37),"")</f>
        <v/>
      </c>
      <c r="N15" s="178" t="str">
        <f>IF(AND('Mapa final'!$AJ$38="Muy Alta",'Mapa final'!$AL$38="Leve"),CONCATENATE("R2C",'Mapa final'!$S$38),"")</f>
        <v/>
      </c>
      <c r="O15" s="178" t="str">
        <f>IF(AND('Mapa final'!$AJ$39="Muy Alta",'Mapa final'!$AL$39="Leve"),CONCATENATE("R2C",'Mapa final'!$S$39),"")</f>
        <v/>
      </c>
      <c r="P15" s="40" t="str">
        <f>IF(AND('Mapa final'!$AJ$40="Muy Alta",'Mapa final'!$AL$40="Leve"),CONCATENATE("R2C",'Mapa final'!$S$40),"")</f>
        <v/>
      </c>
      <c r="Q15" s="178" t="str">
        <f>IF(AND('Mapa final'!$AJ$35="Muy Alta",'Mapa final'!$AL$35="Menor"),CONCATENATE("R2C",'Mapa final'!$S$35),"")</f>
        <v/>
      </c>
      <c r="R15" s="39" t="str">
        <f>IF(AND('Mapa final'!$AJ$36="Muy Alta",'Mapa final'!$AL$36="Menor"),CONCATENATE("R2C",'Mapa final'!$S$36),"")</f>
        <v/>
      </c>
      <c r="S15" s="39" t="str">
        <f>IF(AND('Mapa final'!$AJ$37="Muy Alta",'Mapa final'!$AL$37="Menor"),CONCATENATE("R2C",'Mapa final'!$S$37),"")</f>
        <v/>
      </c>
      <c r="T15" s="39" t="str">
        <f>IF(AND('Mapa final'!$AJ$38="Muy Alta",'Mapa final'!$AL$38="Menor"),CONCATENATE("R2C",'Mapa final'!$S$38),"")</f>
        <v/>
      </c>
      <c r="U15" s="39" t="str">
        <f>IF(AND('Mapa final'!$AJ$39="Muy Alta",'Mapa final'!$AL$39="LMenor"),CONCATENATE("R2C",'Mapa final'!$S$39),"")</f>
        <v/>
      </c>
      <c r="V15" s="40" t="str">
        <f>IF(AND('Mapa final'!$AJ$40="Muy Alta",'Mapa final'!$AL$40="Menor"),CONCATENATE("R2C",'Mapa final'!$S$40),"")</f>
        <v/>
      </c>
      <c r="W15" s="38" t="str">
        <f>IF(AND('Mapa final'!$AJ$35="Muy Alta",'Mapa final'!$AL$35="Moderado"),CONCATENATE("R2C",'Mapa final'!$S$35),"")</f>
        <v/>
      </c>
      <c r="X15" s="39" t="str">
        <f>IF(AND('Mapa final'!$AJ$36="Muy Alta",'Mapa final'!$AL$36="Moderado"),CONCATENATE("R2C",'Mapa final'!$S$36),"")</f>
        <v/>
      </c>
      <c r="Y15" s="39" t="str">
        <f>IF(AND('Mapa final'!$AJ$37="Muy Alta",'Mapa final'!$AL$37="Moderado"),CONCATENATE("R2C",'Mapa final'!$S$37),"")</f>
        <v/>
      </c>
      <c r="Z15" s="39" t="str">
        <f>IF(AND('Mapa final'!$AJ$38="Muy Alta",'Mapa final'!$AL$38="Moderado"),CONCATENATE("R2C",'Mapa final'!$S$38),"")</f>
        <v/>
      </c>
      <c r="AA15" s="39" t="str">
        <f>IF(AND('Mapa final'!$AJ$39="Muy Alta",'Mapa final'!$AL$39="Moderado"),CONCATENATE("R2C",'Mapa final'!$S$39),"")</f>
        <v/>
      </c>
      <c r="AB15" s="40" t="str">
        <f>IF(AND('Mapa final'!$AJ$40="Muy Alta",'Mapa final'!$AL$40="Moderado"),CONCATENATE("R2C",'Mapa final'!$S$40),"")</f>
        <v/>
      </c>
      <c r="AC15" s="38" t="str">
        <f>IF(AND('Mapa final'!$AJ$35="Muy Alta",'Mapa final'!$AL$35="Mayor"),CONCATENATE("R2C",'Mapa final'!$S$35),"")</f>
        <v/>
      </c>
      <c r="AD15" s="39" t="str">
        <f>IF(AND('Mapa final'!$AJ$36="Muy Alta",'Mapa final'!$AL$36="Mayor"),CONCATENATE("R2C",'Mapa final'!$S$36),"")</f>
        <v/>
      </c>
      <c r="AE15" s="39" t="str">
        <f>IF(AND('Mapa final'!$AJ$37="Muy Alta",'Mapa final'!$AL$37="Mayor"),CONCATENATE("R2C",'Mapa final'!$S$37),"")</f>
        <v/>
      </c>
      <c r="AF15" s="39" t="str">
        <f>IF(AND('Mapa final'!$AJ$38="Muy Alta",'Mapa final'!$AL$38="Mayor"),CONCATENATE("R2C",'Mapa final'!$S$38),"")</f>
        <v/>
      </c>
      <c r="AG15" s="39" t="str">
        <f>IF(AND('Mapa final'!$AJ$39="Muy Alta",'Mapa final'!$AL$39="Mayor"),CONCATENATE("R2C",'Mapa final'!$S$39),"")</f>
        <v/>
      </c>
      <c r="AH15" s="40" t="str">
        <f>IF(AND('Mapa final'!$AJ$40="Muy Alta",'Mapa final'!$AL$40="Mayor"),CONCATENATE("R2C",'Mapa final'!$S$40),"")</f>
        <v/>
      </c>
      <c r="AI15" s="41" t="str">
        <f>IF(AND('Mapa final'!$AJ$35="Muy Alta",'Mapa final'!$AL$35="Catastrófico"),CONCATENATE("R2C",'Mapa final'!$S$35),"")</f>
        <v/>
      </c>
      <c r="AJ15" s="42" t="str">
        <f>IF(AND('Mapa final'!$AJ$36="Muy Alta",'Mapa final'!$AL$36="Catastrófico"),CONCATENATE("R2C",'Mapa final'!$S$36),"")</f>
        <v/>
      </c>
      <c r="AK15" s="42" t="str">
        <f>IF(AND('Mapa final'!$AJ$37="Muy Alta",'Mapa final'!$AL$37="Catastrófico"),CONCATENATE("R2C",'Mapa final'!$S$37),"")</f>
        <v/>
      </c>
      <c r="AL15" s="42" t="str">
        <f>IF(AND('Mapa final'!$AJ$38="Muy Alta",'Mapa final'!$AL$38="Catastrófico"),CONCATENATE("R2C",'Mapa final'!$S$38),"")</f>
        <v/>
      </c>
      <c r="AM15" s="42" t="str">
        <f>IF(AND('Mapa final'!$AJ$39="Muy Alta",'Mapa final'!$AL$39="LCatastrófico"),CONCATENATE("R2C",'Mapa final'!$S$39),"")</f>
        <v/>
      </c>
      <c r="AN15" s="43" t="str">
        <f>IF(AND('Mapa final'!$AJ$40="Muy Alta",'Mapa final'!$AL$40="Catastrófico"),CONCATENATE("R2C",'Mapa final'!$S$40),"")</f>
        <v/>
      </c>
      <c r="AO15" s="69"/>
      <c r="AP15" s="451"/>
      <c r="AQ15" s="452"/>
      <c r="AR15" s="452"/>
      <c r="AS15" s="452"/>
      <c r="AT15" s="452"/>
      <c r="AU15" s="453"/>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37"/>
      <c r="D16" s="337"/>
      <c r="E16" s="338"/>
      <c r="F16" s="432"/>
      <c r="G16" s="433"/>
      <c r="H16" s="433"/>
      <c r="I16" s="433"/>
      <c r="J16" s="460"/>
      <c r="K16" s="38" t="str">
        <f>IF(AND('Mapa final'!$AJ$41="Muy Alta",'Mapa final'!$AL$41="Leve"),CONCATENATE("R2C",'Mapa final'!$S$41),"")</f>
        <v/>
      </c>
      <c r="L16" s="178" t="str">
        <f>IF(AND('Mapa final'!$AJ$42="Muy Alta",'Mapa final'!$AL$42="Leve"),CONCATENATE("R2C",'Mapa final'!$S$42),"")</f>
        <v/>
      </c>
      <c r="M16" s="178" t="str">
        <f>IF(AND('Mapa final'!$AJ$43="Muy Alta",'Mapa final'!$AL$43="Leve"),CONCATENATE("R2C",'Mapa final'!$S$43),"")</f>
        <v/>
      </c>
      <c r="N16" s="178" t="str">
        <f>IF(AND('Mapa final'!$AJ$44="Muy Alta",'Mapa final'!$AL$44="Leve"),CONCATENATE("R2C",'Mapa final'!$S$44),"")</f>
        <v/>
      </c>
      <c r="O16" s="178" t="str">
        <f>IF(AND('Mapa final'!$AJ$45="Muy Alta",'Mapa final'!$AL$45="Leve"),CONCATENATE("R2C",'Mapa final'!$S$45),"")</f>
        <v/>
      </c>
      <c r="P16" s="40" t="str">
        <f>IF(AND('Mapa final'!$AJ$46="Muy Alta",'Mapa final'!$AL$46="Leve"),CONCATENATE("R2C",'Mapa final'!$S$46),"")</f>
        <v/>
      </c>
      <c r="Q16" s="178" t="str">
        <f>IF(AND('Mapa final'!$AJ$41="Muy Alta",'Mapa final'!$AL$41="Menor"),CONCATENATE("R2C",'Mapa final'!$S$41),"")</f>
        <v/>
      </c>
      <c r="R16" s="39" t="str">
        <f>IF(AND('Mapa final'!$AJ$42="Muy Alta",'Mapa final'!$AL$42="Menor"),CONCATENATE("R2C",'Mapa final'!$S$42),"")</f>
        <v/>
      </c>
      <c r="S16" s="39" t="str">
        <f>IF(AND('Mapa final'!$AJ$43="Muy Alta",'Mapa final'!$AL$43="Menor"),CONCATENATE("R2C",'Mapa final'!$S$43),"")</f>
        <v/>
      </c>
      <c r="T16" s="39" t="str">
        <f>IF(AND('Mapa final'!$AJ$44="Muy Alta",'Mapa final'!$AL$44="Menor"),CONCATENATE("R2C",'Mapa final'!$S$44),"")</f>
        <v/>
      </c>
      <c r="U16" s="39" t="str">
        <f>IF(AND('Mapa final'!$AJ$45="Muy Alta",'Mapa final'!$AL$45="Menor"),CONCATENATE("R2C",'Mapa final'!$S$45),"")</f>
        <v/>
      </c>
      <c r="V16" s="40" t="str">
        <f>IF(AND('Mapa final'!$AJ$46="Muy Alta",'Mapa final'!$AL$46="Menor"),CONCATENATE("R2C",'Mapa final'!$S$46),"")</f>
        <v/>
      </c>
      <c r="W16" s="38" t="str">
        <f>IF(AND('Mapa final'!$AJ$41="Muy Alta",'Mapa final'!$AL$41="Moderado"),CONCATENATE("R2C",'Mapa final'!$S$41),"")</f>
        <v/>
      </c>
      <c r="X16" s="39" t="str">
        <f>IF(AND('Mapa final'!$AJ$42="Muy Alta",'Mapa final'!$AL$42="Moderado"),CONCATENATE("R2C",'Mapa final'!$S$42),"")</f>
        <v/>
      </c>
      <c r="Y16" s="39" t="str">
        <f>IF(AND('Mapa final'!$AJ$43="Muy Alta",'Mapa final'!$AL$43="Moderado"),CONCATENATE("R2C",'Mapa final'!$S$43),"")</f>
        <v/>
      </c>
      <c r="Z16" s="39" t="str">
        <f>IF(AND('Mapa final'!$AJ$44="Muy Alta",'Mapa final'!$AL$44="Moderado"),CONCATENATE("R2C",'Mapa final'!$S$44),"")</f>
        <v/>
      </c>
      <c r="AA16" s="39" t="str">
        <f>IF(AND('Mapa final'!$AJ$45="Muy Alta",'Mapa final'!$AL$45="Moderado"),CONCATENATE("R2C",'Mapa final'!$S$45),"")</f>
        <v/>
      </c>
      <c r="AB16" s="40" t="str">
        <f>IF(AND('Mapa final'!$AJ$46="Muy Alta",'Mapa final'!$AL$46="Moderado"),CONCATENATE("R2C",'Mapa final'!$S$46),"")</f>
        <v/>
      </c>
      <c r="AC16" s="38" t="str">
        <f>IF(AND('Mapa final'!$AJ$41="Muy Alta",'Mapa final'!$AL$41="Mayor"),CONCATENATE("R2C",'Mapa final'!$S$41),"")</f>
        <v/>
      </c>
      <c r="AD16" s="39" t="str">
        <f>IF(AND('Mapa final'!$AJ$42="Muy Alta",'Mapa final'!$AL$42="Mayor"),CONCATENATE("R2C",'Mapa final'!$S$42),"")</f>
        <v/>
      </c>
      <c r="AE16" s="39" t="str">
        <f>IF(AND('Mapa final'!$AJ$43="Muy Alta",'Mapa final'!$AL$43="Mayor"),CONCATENATE("R2C",'Mapa final'!$S$43),"")</f>
        <v/>
      </c>
      <c r="AF16" s="39" t="str">
        <f>IF(AND('Mapa final'!$AJ$44="Muy Alta",'Mapa final'!$AL$44="Mayor"),CONCATENATE("R2C",'Mapa final'!$S$44),"")</f>
        <v/>
      </c>
      <c r="AG16" s="39" t="str">
        <f>IF(AND('Mapa final'!$AJ$45="Muy Alta",'Mapa final'!$AL$45="Mayor"),CONCATENATE("R2C",'Mapa final'!$S$45),"")</f>
        <v/>
      </c>
      <c r="AH16" s="40" t="str">
        <f>IF(AND('Mapa final'!$AJ$46="Muy Alta",'Mapa final'!$AL$46="Mayor"),CONCATENATE("R2C",'Mapa final'!$S$46),"")</f>
        <v/>
      </c>
      <c r="AI16" s="41" t="str">
        <f>IF(AND('Mapa final'!$AJ$41="Muy Alta",'Mapa final'!$AL$41="Catastrófico"),CONCATENATE("R2C",'Mapa final'!$S$41),"")</f>
        <v/>
      </c>
      <c r="AJ16" s="42" t="str">
        <f>IF(AND('Mapa final'!$AJ$42="Muy Alta",'Mapa final'!$AL$42="Catastrófico"),CONCATENATE("R2C",'Mapa final'!$S$42),"")</f>
        <v/>
      </c>
      <c r="AK16" s="42" t="str">
        <f>IF(AND('Mapa final'!$AJ$43="Muy Alta",'Mapa final'!$AL$43="Catastrófico"),CONCATENATE("R2C",'Mapa final'!$S$43),"")</f>
        <v/>
      </c>
      <c r="AL16" s="42" t="str">
        <f>IF(AND('Mapa final'!$AJ$44="Muy Alta",'Mapa final'!$AL$44="Catastrófico"),CONCATENATE("R2C",'Mapa final'!$S$44),"")</f>
        <v/>
      </c>
      <c r="AM16" s="42" t="str">
        <f>IF(AND('Mapa final'!$AJ$45="Muy Alta",'Mapa final'!$AL$45="Catastrófico"),CONCATENATE("R2C",'Mapa final'!$S$45),"")</f>
        <v/>
      </c>
      <c r="AN16" s="43" t="str">
        <f>IF(AND('Mapa final'!$AJ$46="Muy Alta",'Mapa final'!$AL$46="Catastrófico"),CONCATENATE("R2C",'Mapa final'!$S$46),"")</f>
        <v/>
      </c>
      <c r="AO16" s="69"/>
      <c r="AP16" s="451"/>
      <c r="AQ16" s="452"/>
      <c r="AR16" s="452"/>
      <c r="AS16" s="452"/>
      <c r="AT16" s="452"/>
      <c r="AU16" s="453"/>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37"/>
      <c r="D17" s="337"/>
      <c r="E17" s="338"/>
      <c r="F17" s="432"/>
      <c r="G17" s="433"/>
      <c r="H17" s="433"/>
      <c r="I17" s="433"/>
      <c r="J17" s="460"/>
      <c r="K17" s="38" t="str">
        <f>IF(AND('Mapa final'!$AJ$47="Muy Alta",'Mapa final'!$AL$47="Leve"),CONCATENATE("R2C",'Mapa final'!$S$47),"")</f>
        <v/>
      </c>
      <c r="L17" s="178" t="str">
        <f>IF(AND('Mapa final'!$AJ$48="Muy Alta",'Mapa final'!$AL$48="Leve"),CONCATENATE("R2C",'Mapa final'!$S$48),"")</f>
        <v/>
      </c>
      <c r="M17" s="178" t="str">
        <f>IF(AND('Mapa final'!$AJ$49="Muy Alta",'Mapa final'!$AL$49="Leve"),CONCATENATE("R2C",'Mapa final'!$S$49),"")</f>
        <v/>
      </c>
      <c r="N17" s="178" t="str">
        <f>IF(AND('Mapa final'!$AJ$50="Muy Alta",'Mapa final'!$AL$50="Leve"),CONCATENATE("R2C",'Mapa final'!$S$50),"")</f>
        <v/>
      </c>
      <c r="O17" s="178" t="str">
        <f>IF(AND('Mapa final'!$AJ$51="Muy Alta",'Mapa final'!$AL$51="Leve"),CONCATENATE("R2C",'Mapa final'!$S$51),"")</f>
        <v/>
      </c>
      <c r="P17" s="40" t="str">
        <f>IF(AND('Mapa final'!$AJ$62="Muy Alta",'Mapa final'!$AL$52="Leve"),CONCATENATE("R2C",'Mapa final'!$S$52),"")</f>
        <v/>
      </c>
      <c r="Q17" s="178" t="str">
        <f>IF(AND('Mapa final'!$AJ$47="Muy Alta",'Mapa final'!$AL$47="Menor"),CONCATENATE("R2C",'Mapa final'!$S$47),"")</f>
        <v/>
      </c>
      <c r="R17" s="39" t="str">
        <f>IF(AND('Mapa final'!$AJ$48="Muy Alta",'Mapa final'!$AL$48="Menor"),CONCATENATE("R2C",'Mapa final'!$S$48),"")</f>
        <v/>
      </c>
      <c r="S17" s="39" t="str">
        <f>IF(AND('Mapa final'!$AJ$49="Muy Alta",'Mapa final'!$AL$49="Menor"),CONCATENATE("R2C",'Mapa final'!$S$49),"")</f>
        <v/>
      </c>
      <c r="T17" s="39" t="str">
        <f>IF(AND('Mapa final'!$AJ$50="Muy Alta",'Mapa final'!$AL$50="Menor"),CONCATENATE("R2C",'Mapa final'!$S$50),"")</f>
        <v/>
      </c>
      <c r="U17" s="39" t="str">
        <f>IF(AND('Mapa final'!$AJ$51="Muy Alta",'Mapa final'!$AL$51="Menor"),CONCATENATE("R2C",'Mapa final'!$S$51),"")</f>
        <v/>
      </c>
      <c r="V17" s="40" t="str">
        <f>IF(AND('Mapa final'!$AJ$62="Muy Alta",'Mapa final'!$AL$52="Menor"),CONCATENATE("R2C",'Mapa final'!$S$52),"")</f>
        <v/>
      </c>
      <c r="W17" s="38" t="str">
        <f>IF(AND('Mapa final'!$AJ$47="Muy Alta",'Mapa final'!$AL$47="Moderado"),CONCATENATE("R2C",'Mapa final'!$S$47),"")</f>
        <v/>
      </c>
      <c r="X17" s="39" t="str">
        <f>IF(AND('Mapa final'!$AJ$48="Muy Alta",'Mapa final'!$AL$48="Moderado"),CONCATENATE("R2C",'Mapa final'!$S$48),"")</f>
        <v/>
      </c>
      <c r="Y17" s="39" t="str">
        <f>IF(AND('Mapa final'!$AJ$49="Muy Alta",'Mapa final'!$AL$49="Moderado"),CONCATENATE("R2C",'Mapa final'!$S$49),"")</f>
        <v/>
      </c>
      <c r="Z17" s="39" t="str">
        <f>IF(AND('Mapa final'!$AJ$50="Muy Alta",'Mapa final'!$AL$50="Moderado"),CONCATENATE("R2C",'Mapa final'!$S$50),"")</f>
        <v/>
      </c>
      <c r="AA17" s="39" t="str">
        <f>IF(AND('Mapa final'!$AJ$51="Muy Alta",'Mapa final'!$AL$51="Moderado"),CONCATENATE("R2C",'Mapa final'!$S$51),"")</f>
        <v/>
      </c>
      <c r="AB17" s="40" t="str">
        <f>IF(AND('Mapa final'!$AJ$62="Muy Alta",'Mapa final'!$AL$52="Moderado"),CONCATENATE("R2C",'Mapa final'!$S$52),"")</f>
        <v/>
      </c>
      <c r="AC17" s="38" t="str">
        <f>IF(AND('Mapa final'!$AJ$47="Muy Alta",'Mapa final'!$AL$47="Mayor"),CONCATENATE("R2C",'Mapa final'!$S$47),"")</f>
        <v/>
      </c>
      <c r="AD17" s="39" t="str">
        <f>IF(AND('Mapa final'!$AJ$48="Muy Alta",'Mapa final'!$AL$48="Mayor"),CONCATENATE("R2C",'Mapa final'!$S$48),"")</f>
        <v/>
      </c>
      <c r="AE17" s="39" t="str">
        <f>IF(AND('Mapa final'!$AJ$49="Muy Alta",'Mapa final'!$AL$49="Mayor"),CONCATENATE("R2C",'Mapa final'!$S$49),"")</f>
        <v/>
      </c>
      <c r="AF17" s="39" t="str">
        <f>IF(AND('Mapa final'!$AJ$50="Muy Alta",'Mapa final'!$AL$50="Mayor"),CONCATENATE("R2C",'Mapa final'!$S$50),"")</f>
        <v/>
      </c>
      <c r="AG17" s="39" t="str">
        <f>IF(AND('Mapa final'!$AJ$51="Muy Alta",'Mapa final'!$AL$51="Mayor"),CONCATENATE("R2C",'Mapa final'!$S$51),"")</f>
        <v/>
      </c>
      <c r="AH17" s="40" t="str">
        <f>IF(AND('Mapa final'!$AJ$62="Muy Alta",'Mapa final'!$AL$52="Mayor"),CONCATENATE("R2C",'Mapa final'!$S$52),"")</f>
        <v/>
      </c>
      <c r="AI17" s="41" t="str">
        <f>IF(AND('Mapa final'!$AJ$47="Muy Alta",'Mapa final'!$AL$47="Catastrófico"),CONCATENATE("R2C",'Mapa final'!$S$47),"")</f>
        <v/>
      </c>
      <c r="AJ17" s="42" t="str">
        <f>IF(AND('Mapa final'!$AJ$48="Muy Alta",'Mapa final'!$AL$48="Catastrófico"),CONCATENATE("R2C",'Mapa final'!$S$48),"")</f>
        <v/>
      </c>
      <c r="AK17" s="42" t="str">
        <f>IF(AND('Mapa final'!$AJ$49="Muy Alta",'Mapa final'!$AL$49="Catastrófico"),CONCATENATE("R2C",'Mapa final'!$S$49),"")</f>
        <v/>
      </c>
      <c r="AL17" s="42" t="str">
        <f>IF(AND('Mapa final'!$AJ$50="Muy Alta",'Mapa final'!$AL$50="Catastrófico"),CONCATENATE("R2C",'Mapa final'!$S$50),"")</f>
        <v/>
      </c>
      <c r="AM17" s="42" t="str">
        <f>IF(AND('Mapa final'!$AJ$51="Muy Alta",'Mapa final'!$AL$51="Catastrófico"),CONCATENATE("R2C",'Mapa final'!$S$51),"")</f>
        <v/>
      </c>
      <c r="AN17" s="43" t="str">
        <f>IF(AND('Mapa final'!$AJ$62="Muy Alta",'Mapa final'!$AL$52="Catastrófico"),CONCATENATE("R2C",'Mapa final'!$S$52),"")</f>
        <v/>
      </c>
      <c r="AO17" s="69"/>
      <c r="AP17" s="451"/>
      <c r="AQ17" s="452"/>
      <c r="AR17" s="452"/>
      <c r="AS17" s="452"/>
      <c r="AT17" s="452"/>
      <c r="AU17" s="453"/>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37"/>
      <c r="D18" s="337"/>
      <c r="E18" s="338"/>
      <c r="F18" s="432"/>
      <c r="G18" s="433"/>
      <c r="H18" s="433"/>
      <c r="I18" s="433"/>
      <c r="J18" s="460"/>
      <c r="K18" s="38" t="str">
        <f>IF(AND('Mapa final'!$AJ$53="Muy Alta",'Mapa final'!$AL$53="Leve"),CONCATENATE("R2C",'Mapa final'!$S$53),"")</f>
        <v/>
      </c>
      <c r="L18" s="178" t="str">
        <f>IF(AND('Mapa final'!$AJ$54="Muy Alta",'Mapa final'!$AL$54="Leve"),CONCATENATE("R2C",'Mapa final'!$S$54),"")</f>
        <v/>
      </c>
      <c r="M18" s="178" t="str">
        <f>IF(AND('Mapa final'!$AJ$55="Muy Alta",'Mapa final'!$AL$55="Leve"),CONCATENATE("R2C",'Mapa final'!$S$55),"")</f>
        <v/>
      </c>
      <c r="N18" s="178" t="str">
        <f>IF(AND('Mapa final'!$AJ$56="Muy Alta",'Mapa final'!$AL$56="Leve"),CONCATENATE("R2C",'Mapa final'!$S$56),"")</f>
        <v/>
      </c>
      <c r="O18" s="178" t="str">
        <f>IF(AND('Mapa final'!$AJ$57="Muy Alta",'Mapa final'!$AL$57="Leve"),CONCATENATE("R2C",'Mapa final'!$S$57),"")</f>
        <v/>
      </c>
      <c r="P18" s="40" t="str">
        <f>IF(AND('Mapa final'!$AJ$58="Muy Alta",'Mapa final'!$AL$58="Leve"),CONCATENATE("R2C",'Mapa final'!$S$58),"")</f>
        <v/>
      </c>
      <c r="Q18" s="178" t="str">
        <f>IF(AND('Mapa final'!$AJ$53="Muy Alta",'Mapa final'!$AL$53="Menor"),CONCATENATE("R2C",'Mapa final'!$S$53),"")</f>
        <v/>
      </c>
      <c r="R18" s="39" t="str">
        <f>IF(AND('Mapa final'!$AJ$54="Muy Alta",'Mapa final'!$AL$54="Menor"),CONCATENATE("R2C",'Mapa final'!$S$54),"")</f>
        <v/>
      </c>
      <c r="S18" s="39" t="str">
        <f>IF(AND('Mapa final'!$AJ$55="Muy Alta",'Mapa final'!$AL$55="Menor"),CONCATENATE("R2C",'Mapa final'!$S$55),"")</f>
        <v/>
      </c>
      <c r="T18" s="39" t="str">
        <f>IF(AND('Mapa final'!$AJ$56="Muy Alta",'Mapa final'!$AL$56="Menor"),CONCATENATE("R2C",'Mapa final'!$S$56),"")</f>
        <v/>
      </c>
      <c r="U18" s="39" t="str">
        <f>IF(AND('Mapa final'!$AJ$57="Muy Alta",'Mapa final'!$AL$57="Menor"),CONCATENATE("R2C",'Mapa final'!$S$57),"")</f>
        <v/>
      </c>
      <c r="V18" s="40" t="str">
        <f>IF(AND('Mapa final'!$AJ$58="Muy Alta",'Mapa final'!$AL$58="Menor"),CONCATENATE("R2C",'Mapa final'!$S$58),"")</f>
        <v/>
      </c>
      <c r="W18" s="38" t="str">
        <f>IF(AND('Mapa final'!$AJ$53="Muy Alta",'Mapa final'!$AL$53="Moderado"),CONCATENATE("R2C",'Mapa final'!$S$53),"")</f>
        <v/>
      </c>
      <c r="X18" s="39" t="str">
        <f>IF(AND('Mapa final'!$AJ$54="Muy Alta",'Mapa final'!$AL$54="Moderado"),CONCATENATE("R2C",'Mapa final'!$S$54),"")</f>
        <v/>
      </c>
      <c r="Y18" s="39" t="str">
        <f>IF(AND('Mapa final'!$AJ$55="Muy Alta",'Mapa final'!$AL$55="Moderado"),CONCATENATE("R2C",'Mapa final'!$S$55),"")</f>
        <v/>
      </c>
      <c r="Z18" s="39" t="str">
        <f>IF(AND('Mapa final'!$AJ$56="Muy Alta",'Mapa final'!$AL$56="Moderado"),CONCATENATE("R2C",'Mapa final'!$S$56),"")</f>
        <v/>
      </c>
      <c r="AA18" s="39" t="str">
        <f>IF(AND('Mapa final'!$AJ$57="Muy Alta",'Mapa final'!$AL$57="Moderado"),CONCATENATE("R2C",'Mapa final'!$S$57),"")</f>
        <v/>
      </c>
      <c r="AB18" s="40" t="str">
        <f>IF(AND('Mapa final'!$AJ$58="Muy Alta",'Mapa final'!$AL$58="Moderado"),CONCATENATE("R2C",'Mapa final'!$S$58),"")</f>
        <v/>
      </c>
      <c r="AC18" s="38" t="str">
        <f>IF(AND('Mapa final'!$AJ$53="Muy Alta",'Mapa final'!$AL$53="Mayor"),CONCATENATE("R2C",'Mapa final'!$S$53),"")</f>
        <v/>
      </c>
      <c r="AD18" s="39" t="str">
        <f>IF(AND('Mapa final'!$AJ$54="Muy Alta",'Mapa final'!$AL$54="Mayor"),CONCATENATE("R2C",'Mapa final'!$S$54),"")</f>
        <v/>
      </c>
      <c r="AE18" s="39" t="str">
        <f>IF(AND('Mapa final'!$AJ$55="Muy Alta",'Mapa final'!$AL$55="Mayor"),CONCATENATE("R2C",'Mapa final'!$S$55),"")</f>
        <v/>
      </c>
      <c r="AF18" s="39" t="str">
        <f>IF(AND('Mapa final'!$AJ$56="Muy Alta",'Mapa final'!$AL$56="Mayor"),CONCATENATE("R2C",'Mapa final'!$S$56),"")</f>
        <v/>
      </c>
      <c r="AG18" s="39" t="str">
        <f>IF(AND('Mapa final'!$AJ$57="Muy Alta",'Mapa final'!$AL$57="Mayor"),CONCATENATE("R2C",'Mapa final'!$S$57),"")</f>
        <v/>
      </c>
      <c r="AH18" s="40" t="str">
        <f>IF(AND('Mapa final'!$AJ$58="Muy Alta",'Mapa final'!$AL$58="Mayor"),CONCATENATE("R2C",'Mapa final'!$S$58),"")</f>
        <v/>
      </c>
      <c r="AI18" s="41" t="str">
        <f>IF(AND('Mapa final'!$AJ$53="Muy Alta",'Mapa final'!$AL$53="Catastrófico"),CONCATENATE("R2C",'Mapa final'!$S$53),"")</f>
        <v/>
      </c>
      <c r="AJ18" s="42" t="str">
        <f>IF(AND('Mapa final'!$AJ$54="Muy Alta",'Mapa final'!$AL$54="Catastrófico"),CONCATENATE("R2C",'Mapa final'!$S$54),"")</f>
        <v/>
      </c>
      <c r="AK18" s="42" t="str">
        <f>IF(AND('Mapa final'!$AJ$55="Muy Alta",'Mapa final'!$AL$55="Catastrófico"),CONCATENATE("R2C",'Mapa final'!$S$55),"")</f>
        <v/>
      </c>
      <c r="AL18" s="42" t="str">
        <f>IF(AND('Mapa final'!$AJ$56="Muy Alta",'Mapa final'!$AL$56="Catastrófico"),CONCATENATE("R2C",'Mapa final'!$S$56),"")</f>
        <v/>
      </c>
      <c r="AM18" s="42" t="str">
        <f>IF(AND('Mapa final'!$AJ$57="Muy Alta",'Mapa final'!$AL$57="Catastrófico"),CONCATENATE("R2C",'Mapa final'!$S$57),"")</f>
        <v/>
      </c>
      <c r="AN18" s="43" t="str">
        <f>IF(AND('Mapa final'!$AJ$58="Muy Alta",'Mapa final'!$AL$58="Catastrófico"),CONCATENATE("R2C",'Mapa final'!$S$58),"")</f>
        <v/>
      </c>
      <c r="AO18" s="69"/>
      <c r="AP18" s="451"/>
      <c r="AQ18" s="452"/>
      <c r="AR18" s="452"/>
      <c r="AS18" s="452"/>
      <c r="AT18" s="452"/>
      <c r="AU18" s="453"/>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37"/>
      <c r="D19" s="337"/>
      <c r="E19" s="338"/>
      <c r="F19" s="432"/>
      <c r="G19" s="433"/>
      <c r="H19" s="433"/>
      <c r="I19" s="433"/>
      <c r="J19" s="460"/>
      <c r="K19" s="38" t="str">
        <f>IF(AND('Mapa final'!$AJ$59="Muy Alta",'Mapa final'!$AL$59="Leve"),CONCATENATE("R2C",'Mapa final'!$S$59),"")</f>
        <v/>
      </c>
      <c r="L19" s="178" t="str">
        <f>IF(AND('Mapa final'!$AJ$60="Muy Alta",'Mapa final'!$AL$60="Leve"),CONCATENATE("R2C",'Mapa final'!$S$60),"")</f>
        <v/>
      </c>
      <c r="M19" s="178" t="str">
        <f>IF(AND('Mapa final'!$AJ$61="Muy Alta",'Mapa final'!$AL$61="Leve"),CONCATENATE("R2C",'Mapa final'!$S$61),"")</f>
        <v/>
      </c>
      <c r="N19" s="178" t="str">
        <f>IF(AND('Mapa final'!$AJ$62="Muy Alta",'Mapa final'!$AL$62="Leve"),CONCATENATE("R2C",'Mapa final'!$S$62),"")</f>
        <v/>
      </c>
      <c r="O19" s="178" t="str">
        <f>IF(AND('Mapa final'!$AJ$63="Muy Alta",'Mapa final'!$AL$63="Leve"),CONCATENATE("R2C",'Mapa final'!$S$63),"")</f>
        <v/>
      </c>
      <c r="P19" s="40" t="str">
        <f>IF(AND('Mapa final'!$AJ$64="Muy Alta",'Mapa final'!$AL$64="Leve"),CONCATENATE("R2C",'Mapa final'!$S$64),"")</f>
        <v/>
      </c>
      <c r="Q19" s="178" t="str">
        <f>IF(AND('Mapa final'!$AJ$59="Muy Alta",'Mapa final'!$AL$59="Menor"),CONCATENATE("R2C",'Mapa final'!$S$59),"")</f>
        <v/>
      </c>
      <c r="R19" s="39" t="str">
        <f>IF(AND('Mapa final'!$AJ$60="Muy Alta",'Mapa final'!$AL$60="Menor"),CONCATENATE("R2C",'Mapa final'!$S$60),"")</f>
        <v/>
      </c>
      <c r="S19" s="39" t="str">
        <f>IF(AND('Mapa final'!$AJ$61="Muy Alta",'Mapa final'!$AL$61="Menor"),CONCATENATE("R2C",'Mapa final'!$S$61),"")</f>
        <v/>
      </c>
      <c r="T19" s="39" t="str">
        <f>IF(AND('Mapa final'!$AJ$62="Muy Alta",'Mapa final'!$AL$62="Menor"),CONCATENATE("R2C",'Mapa final'!$S$62),"")</f>
        <v/>
      </c>
      <c r="U19" s="39" t="str">
        <f>IF(AND('Mapa final'!$AJ$63="Muy Alta",'Mapa final'!$AL$63="Menor"),CONCATENATE("R2C",'Mapa final'!$S$63),"")</f>
        <v/>
      </c>
      <c r="V19" s="40" t="str">
        <f>IF(AND('Mapa final'!$AJ$64="Muy Alta",'Mapa final'!$AL$64="Menor"),CONCATENATE("R2C",'Mapa final'!$S$64),"")</f>
        <v/>
      </c>
      <c r="W19" s="38" t="str">
        <f>IF(AND('Mapa final'!$AJ$59="Muy Alta",'Mapa final'!$AL$59="Moderado"),CONCATENATE("R2C",'Mapa final'!$S$59),"")</f>
        <v/>
      </c>
      <c r="X19" s="39" t="str">
        <f>IF(AND('Mapa final'!$AJ$60="Muy Alta",'Mapa final'!$AL$60="Moderado"),CONCATENATE("R2C",'Mapa final'!$S$60),"")</f>
        <v/>
      </c>
      <c r="Y19" s="39" t="str">
        <f>IF(AND('Mapa final'!$AJ$61="Muy Alta",'Mapa final'!$AL$61="Moderado"),CONCATENATE("R2C",'Mapa final'!$S$61),"")</f>
        <v/>
      </c>
      <c r="Z19" s="39" t="str">
        <f>IF(AND('Mapa final'!$AJ$62="Muy Alta",'Mapa final'!$AL$62="Moderado"),CONCATENATE("R2C",'Mapa final'!$S$62),"")</f>
        <v/>
      </c>
      <c r="AA19" s="39" t="str">
        <f>IF(AND('Mapa final'!$AJ$63="Muy Alta",'Mapa final'!$AL$63="Moderado"),CONCATENATE("R2C",'Mapa final'!$S$63),"")</f>
        <v/>
      </c>
      <c r="AB19" s="40" t="str">
        <f>IF(AND('Mapa final'!$AJ$64="Muy Alta",'Mapa final'!$AL$64="Moderado"),CONCATENATE("R2C",'Mapa final'!$S$64),"")</f>
        <v/>
      </c>
      <c r="AC19" s="38" t="str">
        <f>IF(AND('Mapa final'!$AJ$59="Muy Alta",'Mapa final'!$AL$59="Mayor"),CONCATENATE("R2C",'Mapa final'!$S$59),"")</f>
        <v/>
      </c>
      <c r="AD19" s="39" t="str">
        <f>IF(AND('Mapa final'!$AJ$60="Muy Alta",'Mapa final'!$AL$60="Mayor"),CONCATENATE("R2C",'Mapa final'!$S$60),"")</f>
        <v/>
      </c>
      <c r="AE19" s="39" t="str">
        <f>IF(AND('Mapa final'!$AJ$61="Muy Alta",'Mapa final'!$AL$61="Mayor"),CONCATENATE("R2C",'Mapa final'!$S$61),"")</f>
        <v/>
      </c>
      <c r="AF19" s="39" t="str">
        <f>IF(AND('Mapa final'!$AJ$62="Muy Alta",'Mapa final'!$AL$62="Mayor"),CONCATENATE("R2C",'Mapa final'!$S$62),"")</f>
        <v/>
      </c>
      <c r="AG19" s="39" t="str">
        <f>IF(AND('Mapa final'!$AJ$63="Muy Alta",'Mapa final'!$AL$63="Mayor"),CONCATENATE("R2C",'Mapa final'!$S$63),"")</f>
        <v/>
      </c>
      <c r="AH19" s="40" t="str">
        <f>IF(AND('Mapa final'!$AJ$64="Muy Alta",'Mapa final'!$AL$64="Mayor"),CONCATENATE("R2C",'Mapa final'!$S$64),"")</f>
        <v/>
      </c>
      <c r="AI19" s="41" t="str">
        <f>IF(AND('Mapa final'!$AJ$59="Muy Alta",'Mapa final'!$AL$59="Catastrófico"),CONCATENATE("R2C",'Mapa final'!$S$59),"")</f>
        <v/>
      </c>
      <c r="AJ19" s="42" t="str">
        <f>IF(AND('Mapa final'!$AJ$60="Muy Alta",'Mapa final'!$AL$60="Catastrófico"),CONCATENATE("R2C",'Mapa final'!$S$60),"")</f>
        <v/>
      </c>
      <c r="AK19" s="42" t="str">
        <f>IF(AND('Mapa final'!$AJ$61="Muy Alta",'Mapa final'!$AL$61="Catastrófico"),CONCATENATE("R2C",'Mapa final'!$S$61),"")</f>
        <v/>
      </c>
      <c r="AL19" s="42" t="str">
        <f>IF(AND('Mapa final'!$AJ$62="Muy Alta",'Mapa final'!$AL$62="Catastrófico"),CONCATENATE("R2C",'Mapa final'!$S$62),"")</f>
        <v/>
      </c>
      <c r="AM19" s="42" t="str">
        <f>IF(AND('Mapa final'!$AJ$63="Muy Alta",'Mapa final'!$AL$63="Catastrófico"),CONCATENATE("R2C",'Mapa final'!$S$63),"")</f>
        <v/>
      </c>
      <c r="AN19" s="43" t="str">
        <f>IF(AND('Mapa final'!$AJ$64="Muy Alta",'Mapa final'!$AL$64="Catastrófico"),CONCATENATE("R2C",'Mapa final'!$S$64),"")</f>
        <v/>
      </c>
      <c r="AO19" s="69"/>
      <c r="AP19" s="451"/>
      <c r="AQ19" s="452"/>
      <c r="AR19" s="452"/>
      <c r="AS19" s="452"/>
      <c r="AT19" s="452"/>
      <c r="AU19" s="453"/>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37"/>
      <c r="D20" s="337"/>
      <c r="E20" s="338"/>
      <c r="F20" s="432"/>
      <c r="G20" s="433"/>
      <c r="H20" s="433"/>
      <c r="I20" s="433"/>
      <c r="J20" s="460"/>
      <c r="K20" s="38" t="str">
        <f>IF(AND('Mapa final'!$AJ$65="Muy Alta",'Mapa final'!$AL$65="Leve"),CONCATENATE("R2C",'Mapa final'!$S$65),"")</f>
        <v/>
      </c>
      <c r="L20" s="178" t="str">
        <f>IF(AND('Mapa final'!$AJ$66="Muy Alta",'Mapa final'!$AL$66="Leve"),CONCATENATE("R2C",'Mapa final'!$S$66),"")</f>
        <v/>
      </c>
      <c r="M20" s="178" t="str">
        <f>IF(AND('Mapa final'!$AJ$67="Muy Alta",'Mapa final'!$AL$67="Leve"),CONCATENATE("R2C",'Mapa final'!$S$67),"")</f>
        <v/>
      </c>
      <c r="N20" s="178" t="str">
        <f>IF(AND('Mapa final'!$AJ$68="Muy Alta",'Mapa final'!$AL$68="Leve"),CONCATENATE("R2C",'Mapa final'!$S$68),"")</f>
        <v/>
      </c>
      <c r="O20" s="178" t="str">
        <f>IF(AND('Mapa final'!$AJ$69="Muy Alta",'Mapa final'!$AL$69="Leve"),CONCATENATE("R2C",'Mapa final'!$S$69),"")</f>
        <v/>
      </c>
      <c r="P20" s="40" t="str">
        <f>IF(AND('Mapa final'!$AJ$70="Muy Alta",'Mapa final'!$AL$70="Leve"),CONCATENATE("R2C",'Mapa final'!$S$70),"")</f>
        <v/>
      </c>
      <c r="Q20" s="178" t="str">
        <f>IF(AND('Mapa final'!$AJ$65="Muy Alta",'Mapa final'!$AL$65="Menor"),CONCATENATE("R2C",'Mapa final'!$S$65),"")</f>
        <v/>
      </c>
      <c r="R20" s="39" t="str">
        <f>IF(AND('Mapa final'!$AJ$66="Muy Alta",'Mapa final'!$AL$66="Menor"),CONCATENATE("R2C",'Mapa final'!$S$66),"")</f>
        <v/>
      </c>
      <c r="S20" s="39" t="str">
        <f>IF(AND('Mapa final'!$AJ$67="Muy Alta",'Mapa final'!$AL$67="Menor"),CONCATENATE("R2C",'Mapa final'!$S$67),"")</f>
        <v/>
      </c>
      <c r="T20" s="39" t="str">
        <f>IF(AND('Mapa final'!$AJ$68="Muy Alta",'Mapa final'!$AL$68="Menor"),CONCATENATE("R2C",'Mapa final'!$S$68),"")</f>
        <v/>
      </c>
      <c r="U20" s="39" t="str">
        <f>IF(AND('Mapa final'!$AJ$69="Muy Alta",'Mapa final'!$AL$69="Menor"),CONCATENATE("R2C",'Mapa final'!$S$69),"")</f>
        <v/>
      </c>
      <c r="V20" s="40" t="str">
        <f>IF(AND('Mapa final'!$AJ$70="Muy Alta",'Mapa final'!$AL$70="Menor"),CONCATENATE("R2C",'Mapa final'!$S$70),"")</f>
        <v/>
      </c>
      <c r="W20" s="38" t="str">
        <f>IF(AND('Mapa final'!$AJ$65="Muy Alta",'Mapa final'!$AL$65="Moderado"),CONCATENATE("R2C",'Mapa final'!$S$65),"")</f>
        <v/>
      </c>
      <c r="X20" s="39" t="str">
        <f>IF(AND('Mapa final'!$AJ$66="Muy Alta",'Mapa final'!$AL$66="Moderado"),CONCATENATE("R2C",'Mapa final'!$S$66),"")</f>
        <v/>
      </c>
      <c r="Y20" s="39" t="str">
        <f>IF(AND('Mapa final'!$AJ$67="Muy Alta",'Mapa final'!$AL$67="Moderado"),CONCATENATE("R2C",'Mapa final'!$S$67),"")</f>
        <v/>
      </c>
      <c r="Z20" s="39" t="str">
        <f>IF(AND('Mapa final'!$AJ$68="Muy Alta",'Mapa final'!$AL$68="Moderado"),CONCATENATE("R2C",'Mapa final'!$S$68),"")</f>
        <v/>
      </c>
      <c r="AA20" s="39" t="str">
        <f>IF(AND('Mapa final'!$AJ$69="Muy Alta",'Mapa final'!$AL$69="Moderado"),CONCATENATE("R2C",'Mapa final'!$S$69),"")</f>
        <v/>
      </c>
      <c r="AB20" s="40" t="str">
        <f>IF(AND('Mapa final'!$AJ$70="Muy Alta",'Mapa final'!$AL$70="Moderado"),CONCATENATE("R2C",'Mapa final'!$S$70),"")</f>
        <v/>
      </c>
      <c r="AC20" s="38" t="str">
        <f>IF(AND('Mapa final'!$AJ$65="Muy Alta",'Mapa final'!$AL$65="Mayor"),CONCATENATE("R2C",'Mapa final'!$S$65),"")</f>
        <v/>
      </c>
      <c r="AD20" s="39" t="str">
        <f>IF(AND('Mapa final'!$AJ$66="Muy Alta",'Mapa final'!$AL$66="Mayor"),CONCATENATE("R2C",'Mapa final'!$S$66),"")</f>
        <v/>
      </c>
      <c r="AE20" s="39" t="str">
        <f>IF(AND('Mapa final'!$AJ$67="Muy Alta",'Mapa final'!$AL$67="Mayor"),CONCATENATE("R2C",'Mapa final'!$S$67),"")</f>
        <v/>
      </c>
      <c r="AF20" s="39" t="str">
        <f>IF(AND('Mapa final'!$AJ$68="Muy Alta",'Mapa final'!$AL$68="Mayor"),CONCATENATE("R2C",'Mapa final'!$S$68),"")</f>
        <v/>
      </c>
      <c r="AG20" s="39" t="str">
        <f>IF(AND('Mapa final'!$AJ$69="Muy Alta",'Mapa final'!$AL$69="Mayor"),CONCATENATE("R2C",'Mapa final'!$S$69),"")</f>
        <v/>
      </c>
      <c r="AH20" s="40" t="str">
        <f>IF(AND('Mapa final'!$AJ$70="Muy Alta",'Mapa final'!$AL$70="Mayor"),CONCATENATE("R2C",'Mapa final'!$S$70),"")</f>
        <v/>
      </c>
      <c r="AI20" s="41" t="str">
        <f>IF(AND('Mapa final'!$AJ$65="Muy Alta",'Mapa final'!$AL$65="Catastrófico"),CONCATENATE("R2C",'Mapa final'!$S$65),"")</f>
        <v/>
      </c>
      <c r="AJ20" s="42" t="str">
        <f>IF(AND('Mapa final'!$AJ$66="Muy Alta",'Mapa final'!$AL$66="Catastrófico"),CONCATENATE("R2C",'Mapa final'!$S$66),"")</f>
        <v/>
      </c>
      <c r="AK20" s="42" t="str">
        <f>IF(AND('Mapa final'!$AJ$67="Muy Alta",'Mapa final'!$AL$67="Catastrófico"),CONCATENATE("R2C",'Mapa final'!$S$67),"")</f>
        <v/>
      </c>
      <c r="AL20" s="42" t="str">
        <f>IF(AND('Mapa final'!$AJ$68="Muy Alta",'Mapa final'!$AL$68="Catastrófico"),CONCATENATE("R2C",'Mapa final'!$S$68),"")</f>
        <v/>
      </c>
      <c r="AM20" s="42" t="str">
        <f>IF(AND('Mapa final'!$AJ$69="Muy Alta",'Mapa final'!$AL$69="Catastrófico"),CONCATENATE("R2C",'Mapa final'!$S$69),"")</f>
        <v/>
      </c>
      <c r="AN20" s="43" t="str">
        <f>IF(AND('Mapa final'!$AJ$70="Muy Alta",'Mapa final'!$AL$70="Catastrófico"),CONCATENATE("R2C",'Mapa final'!$S$70),"")</f>
        <v/>
      </c>
      <c r="AO20" s="69"/>
      <c r="AP20" s="451"/>
      <c r="AQ20" s="452"/>
      <c r="AR20" s="452"/>
      <c r="AS20" s="452"/>
      <c r="AT20" s="452"/>
      <c r="AU20" s="453"/>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37"/>
      <c r="D21" s="337"/>
      <c r="E21" s="338"/>
      <c r="F21" s="435"/>
      <c r="G21" s="436"/>
      <c r="H21" s="436"/>
      <c r="I21" s="436"/>
      <c r="J21" s="436"/>
      <c r="K21" s="44" t="str">
        <f>IF(AND('Mapa final'!$AJ$71="Muy Alta",'Mapa final'!$AL$71="Leve"),CONCATENATE("R2C",'Mapa final'!$S$71),"")</f>
        <v/>
      </c>
      <c r="L21" s="45" t="str">
        <f>IF(AND('Mapa final'!$AJ$72="Muy Alta",'Mapa final'!$AL$72="Leve"),CONCATENATE("R2C",'Mapa final'!$S$72),"")</f>
        <v/>
      </c>
      <c r="M21" s="45" t="str">
        <f>IF(AND('Mapa final'!$AJ$73="Muy Alta",'Mapa final'!$AL$73="Leve"),CONCATENATE("R2C",'Mapa final'!$S$73),"")</f>
        <v/>
      </c>
      <c r="N21" s="45" t="str">
        <f>IF(AND('Mapa final'!$AJ$74="Muy Alta",'Mapa final'!$AL$74="Leve"),CONCATENATE("R2C",'Mapa final'!$S$74),"")</f>
        <v/>
      </c>
      <c r="O21" s="45" t="str">
        <f>IF(AND('Mapa final'!$AJ$76="Muy Alta",'Mapa final'!$AL$76="Leve"),CONCATENATE("R2C",'Mapa final'!$S$76),"")</f>
        <v/>
      </c>
      <c r="P21" s="46" t="str">
        <f>IF(AND('Mapa final'!$AJ$77="Muy Alta",'Mapa final'!$AL$77="Leve"),CONCATENATE("R2C",'Mapa final'!$S$77),"")</f>
        <v/>
      </c>
      <c r="Q21" s="178" t="str">
        <f>IF(AND('Mapa final'!$AJ$71="Muy Alta",'Mapa final'!$AL$71="Menor"),CONCATENATE("R2C",'Mapa final'!$S$71),"")</f>
        <v/>
      </c>
      <c r="R21" s="39" t="str">
        <f>IF(AND('Mapa final'!$AJ$72="Muy Alta",'Mapa final'!$AL$72="Menor"),CONCATENATE("R2C",'Mapa final'!$S$72),"")</f>
        <v/>
      </c>
      <c r="S21" s="39" t="str">
        <f>IF(AND('Mapa final'!$AJ$73="Muy Alta",'Mapa final'!$AL$73="Menor"),CONCATENATE("R2C",'Mapa final'!$S$73),"")</f>
        <v/>
      </c>
      <c r="T21" s="39" t="str">
        <f>IF(AND('Mapa final'!$AJ$74="Muy Alta",'Mapa final'!$AL$74="Menor"),CONCATENATE("R2C",'Mapa final'!$S$74),"")</f>
        <v/>
      </c>
      <c r="U21" s="39" t="str">
        <f>IF(AND('Mapa final'!$AJ$76="Muy Alta",'Mapa final'!$AL$76="Menor"),CONCATENATE("R2C",'Mapa final'!$S$76),"")</f>
        <v/>
      </c>
      <c r="V21" s="40" t="str">
        <f>IF(AND('Mapa final'!$AJ$77="Muy Alta",'Mapa final'!$AL$77="Menor"),CONCATENATE("R2C",'Mapa final'!$S$77),"")</f>
        <v/>
      </c>
      <c r="W21" s="44" t="str">
        <f>IF(AND('Mapa final'!$AJ$71="Muy Alta",'Mapa final'!$AL$71="Moderado"),CONCATENATE("R2C",'Mapa final'!$S$71),"")</f>
        <v/>
      </c>
      <c r="X21" s="45" t="str">
        <f>IF(AND('Mapa final'!$AJ$72="Muy Alta",'Mapa final'!$AL$72="Moderado"),CONCATENATE("R2C",'Mapa final'!$S$72),"")</f>
        <v/>
      </c>
      <c r="Y21" s="45" t="str">
        <f>IF(AND('Mapa final'!$AJ$73="Muy Alta",'Mapa final'!$AL$73="Moderado"),CONCATENATE("R2C",'Mapa final'!$S$73),"")</f>
        <v/>
      </c>
      <c r="Z21" s="45" t="str">
        <f>IF(AND('Mapa final'!$AJ$74="Muy Alta",'Mapa final'!$AL$74="Moderado"),CONCATENATE("R2C",'Mapa final'!$S$74),"")</f>
        <v/>
      </c>
      <c r="AA21" s="45" t="str">
        <f>IF(AND('Mapa final'!$AJ$76="Muy Alta",'Mapa final'!$AL$76="Moderado"),CONCATENATE("R2C",'Mapa final'!$S$76),"")</f>
        <v/>
      </c>
      <c r="AB21" s="46" t="str">
        <f>IF(AND('Mapa final'!$AJ$77="Muy Alta",'Mapa final'!$AL$77="Moderado"),CONCATENATE("R2C",'Mapa final'!$S$77),"")</f>
        <v/>
      </c>
      <c r="AC21" s="38" t="str">
        <f>IF(AND('Mapa final'!$AJ$71="Muy Alta",'Mapa final'!$AL$71="Mayor"),CONCATENATE("R2C",'Mapa final'!$S$71),"")</f>
        <v/>
      </c>
      <c r="AD21" s="39" t="str">
        <f>IF(AND('Mapa final'!$AJ$72="Muy Alta",'Mapa final'!$AL$72="Mayor"),CONCATENATE("R2C",'Mapa final'!$S$72),"")</f>
        <v/>
      </c>
      <c r="AE21" s="39" t="str">
        <f>IF(AND('Mapa final'!$AJ$73="Muy Alta",'Mapa final'!$AL$73="Mayor"),CONCATENATE("R2C",'Mapa final'!$S$73),"")</f>
        <v/>
      </c>
      <c r="AF21" s="39" t="str">
        <f>IF(AND('Mapa final'!$AJ$74="Muy Alta",'Mapa final'!$AL$74="Mayor"),CONCATENATE("R2C",'Mapa final'!$S$74),"")</f>
        <v/>
      </c>
      <c r="AG21" s="39" t="str">
        <f>IF(AND('Mapa final'!$AJ$76="Muy Alta",'Mapa final'!$AL$76="Mayor"),CONCATENATE("R2C",'Mapa final'!$S$76),"")</f>
        <v/>
      </c>
      <c r="AH21" s="40" t="str">
        <f>IF(AND('Mapa final'!$AJ$77="Muy Alta",'Mapa final'!$AL$77="Mayor"),CONCATENATE("R2C",'Mapa final'!$S$77),"")</f>
        <v/>
      </c>
      <c r="AI21" s="47" t="str">
        <f>IF(AND('Mapa final'!$AJ$71="Muy Alta",'Mapa final'!$AL$71="Catastrófico"),CONCATENATE("R2C",'Mapa final'!$S$71),"")</f>
        <v/>
      </c>
      <c r="AJ21" s="48" t="str">
        <f>IF(AND('Mapa final'!$AJ$72="Muy Alta",'Mapa final'!$AL$72="Catastrófico"),CONCATENATE("R2C",'Mapa final'!$S$72),"")</f>
        <v/>
      </c>
      <c r="AK21" s="48" t="str">
        <f>IF(AND('Mapa final'!$AJ$73="Muy Alta",'Mapa final'!$AL$73="Catastrófico"),CONCATENATE("R2C",'Mapa final'!$S$73),"")</f>
        <v/>
      </c>
      <c r="AL21" s="48" t="str">
        <f>IF(AND('Mapa final'!$AJ$74="Muy Alta",'Mapa final'!$AL$74="Catastrófico"),CONCATENATE("R2C",'Mapa final'!$S$74),"")</f>
        <v/>
      </c>
      <c r="AM21" s="48" t="str">
        <f>IF(AND('Mapa final'!$AJ$76="Muy Alta",'Mapa final'!$AL$76="Catastrófico"),CONCATENATE("R2C",'Mapa final'!$S$76),"")</f>
        <v/>
      </c>
      <c r="AN21" s="49" t="str">
        <f>IF(AND('Mapa final'!$AJ$77="Muy Alta",'Mapa final'!$AL$77="Catastrófico"),CONCATENATE("R2C",'Mapa final'!$S$77),"")</f>
        <v/>
      </c>
      <c r="AO21" s="69"/>
      <c r="AP21" s="454"/>
      <c r="AQ21" s="455"/>
      <c r="AR21" s="455"/>
      <c r="AS21" s="455"/>
      <c r="AT21" s="455"/>
      <c r="AU21" s="456"/>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37"/>
      <c r="D22" s="337"/>
      <c r="E22" s="338"/>
      <c r="F22" s="429" t="s">
        <v>114</v>
      </c>
      <c r="G22" s="430"/>
      <c r="H22" s="430"/>
      <c r="I22" s="430"/>
      <c r="J22" s="430"/>
      <c r="K22" s="53" t="str">
        <f ca="1">IF(AND('Mapa final'!$AJ$15="Alta",'Mapa final'!$AL$15="Leve"),CONCATENATE("R2C",'Mapa final'!$S$15),"")</f>
        <v/>
      </c>
      <c r="L22" s="179" t="str">
        <f>IF(AND('Mapa final'!$AJ$16="Alta",'Mapa final'!$AL$16="Leve"),CONCATENATE("R2C",'Mapa final'!$S$16),"")</f>
        <v/>
      </c>
      <c r="M22" s="179" t="str">
        <f>IF(AND('Mapa final'!$AJ$17="Alta",'Mapa final'!$AL$17="Leve"),CONCATENATE("R2C",'Mapa final'!$S$17),"")</f>
        <v/>
      </c>
      <c r="N22" s="179" t="str">
        <f ca="1">IF(AND('Mapa final'!$AJ$18="Alta",'Mapa final'!$AL$18="Leve"),CONCATENATE("R2C",'Mapa final'!$S$18),"")</f>
        <v/>
      </c>
      <c r="O22" s="179" t="str">
        <f>IF(AND('Mapa final'!$AJ$19="Alta",'Mapa final'!$AL$19="Leve"),CONCATENATE("R2C",'Mapa final'!$S$19),"")</f>
        <v/>
      </c>
      <c r="P22" s="55" t="str">
        <f ca="1">IF(AND('Mapa final'!$AJ$20="Alta",'Mapa final'!$AL$20="Leve"),CONCATENATE("R2C",'Mapa final'!$S$20),"")</f>
        <v/>
      </c>
      <c r="Q22" s="50" t="str">
        <f ca="1">IF(AND('Mapa final'!$AJ$15="Alta",'Mapa final'!$AL$15="Menor"),CONCATENATE("R2C",'Mapa final'!$S$15),"")</f>
        <v/>
      </c>
      <c r="R22" s="51" t="str">
        <f>IF(AND('Mapa final'!$AJ$16="Alta",'Mapa final'!$AL$16="Menore"),CONCATENATE("R2C",'Mapa final'!$S$16),"")</f>
        <v/>
      </c>
      <c r="S22" s="51" t="str">
        <f>IF(AND('Mapa final'!$AJ$17="Alta",'Mapa final'!$AL$17="Menor"),CONCATENATE("R2C",'Mapa final'!$S$17),"")</f>
        <v/>
      </c>
      <c r="T22" s="51" t="str">
        <f ca="1">IF(AND('Mapa final'!$AJ$18="Alta",'Mapa final'!$AL$18="Menor"),CONCATENATE("R2C",'Mapa final'!$S$18),"")</f>
        <v/>
      </c>
      <c r="U22" s="51" t="str">
        <f>IF(AND('Mapa final'!$AJ$19="Alta",'Mapa final'!$AL$19="Menor"),CONCATENATE("R2C",'Mapa final'!$S$19),"")</f>
        <v/>
      </c>
      <c r="V22" s="52" t="str">
        <f ca="1">IF(AND('Mapa final'!$AJ$20="Alta",'Mapa final'!$AL$20="Menor"),CONCATENATE("R2C",'Mapa final'!$S$20),"")</f>
        <v/>
      </c>
      <c r="W22" s="32" t="str">
        <f ca="1">IF(AND('Mapa final'!$AJ$15="Alta",'Mapa final'!$AL$15="Moderado"),CONCATENATE("R2C",'Mapa final'!$S$15),"")</f>
        <v/>
      </c>
      <c r="X22" s="33" t="str">
        <f>IF(AND('Mapa final'!$AJ$16="Alta",'Mapa final'!$AL$16="Moderado"),CONCATENATE("R2C",'Mapa final'!$S$16),"")</f>
        <v/>
      </c>
      <c r="Y22" s="33"/>
      <c r="Z22" s="33" t="str">
        <f ca="1">IF(AND('Mapa final'!$AJ$18="Alta",'Mapa final'!$AL$18="Moderado"),CONCATENATE("R2C",'Mapa final'!$S$18),"")</f>
        <v/>
      </c>
      <c r="AA22" s="33" t="str">
        <f>IF(AND('Mapa final'!$AJ$19="Alta",'Mapa final'!$AL$19="Moderado"),CONCATENATE("R2C",'Mapa final'!$S$19),"")</f>
        <v/>
      </c>
      <c r="AB22" s="34" t="str">
        <f ca="1">IF(AND('Mapa final'!$AJ$20="Alta",'Mapa final'!$AL$20="Moderado"),CONCATENATE("R2C",'Mapa final'!$S$20),"")</f>
        <v/>
      </c>
      <c r="AC22" s="32" t="str">
        <f ca="1">IF(AND('Mapa final'!$AJ$15="Alta",'Mapa final'!$AL$15="Mayor"),CONCATENATE("R2C",'Mapa final'!$S$15),"")</f>
        <v/>
      </c>
      <c r="AD22" s="33" t="str">
        <f>IF(AND('Mapa final'!$AJ$16="Alta",'Mapa final'!$AL$16="Mayor"),CONCATENATE("R2C",'Mapa final'!$S$16),"")</f>
        <v/>
      </c>
      <c r="AE22" s="33" t="str">
        <f>IF(AND('Mapa final'!$AJ$17="Alta",'Mapa final'!$AL$17="Mayor"),CONCATENATE("R2C",'Mapa final'!$D$17),"")</f>
        <v/>
      </c>
      <c r="AF22" s="33" t="str">
        <f ca="1">IF(AND('Mapa final'!$AJ$18="Alta",'Mapa final'!$AL$18="Mayor"),CONCATENATE("R2C",'Mapa final'!$D$18),"")</f>
        <v/>
      </c>
      <c r="AG22" s="33" t="str">
        <f>IF(AND('Mapa final'!$AJ$19="Alta",'Mapa final'!$AL$19="Mayor"),CONCATENATE("R2C",'Mapa final'!$S$19),"")</f>
        <v/>
      </c>
      <c r="AH22" s="34" t="str">
        <f ca="1">IF(AND('Mapa final'!$AJ$20="Alta",'Mapa final'!$AL$20="Mayor"),CONCATENATE("R2C",'Mapa final'!$S$20),"")</f>
        <v/>
      </c>
      <c r="AI22" s="35" t="str">
        <f ca="1">IF(AND('Mapa final'!$AJ$15="Alta",'Mapa final'!$AL$15="Catastrófico"),CONCATENATE("R2C",'Mapa final'!$S$15),"")</f>
        <v/>
      </c>
      <c r="AJ22" s="36" t="str">
        <f>IF(AND('Mapa final'!$AJ$16="Alta",'Mapa final'!$AL$16="Catastrófico"),CONCATENATE("R2C",'Mapa final'!$S$16),"")</f>
        <v/>
      </c>
      <c r="AK22" s="36" t="str">
        <f>IF(AND('Mapa final'!$AJ$17="Alta",'Mapa final'!$AL$17="Catastrófico"),CONCATENATE("R2C",'Mapa final'!$S$17),"")</f>
        <v/>
      </c>
      <c r="AL22" s="36" t="str">
        <f ca="1">IF(AND('Mapa final'!$AJ$18="Alta",'Mapa final'!$AL$18="Catastrófico"),CONCATENATE("R2C",'Mapa final'!$S$18),"")</f>
        <v/>
      </c>
      <c r="AM22" s="36" t="str">
        <f>IF(AND('Mapa final'!$AJ$19="Alta",'Mapa final'!$AL$19="Catastrófico"),CONCATENATE("R2C",'Mapa final'!$S$19),"")</f>
        <v/>
      </c>
      <c r="AN22" s="37" t="str">
        <f ca="1">IF(AND('Mapa final'!$AJ$20="Alta",'Mapa final'!$AL$20="Catastrófico"),CONCATENATE("R2C",'Mapa final'!$S$20),"")</f>
        <v/>
      </c>
      <c r="AO22" s="69"/>
      <c r="AP22" s="438" t="s">
        <v>79</v>
      </c>
      <c r="AQ22" s="439"/>
      <c r="AR22" s="439"/>
      <c r="AS22" s="439"/>
      <c r="AT22" s="439"/>
      <c r="AU22" s="440"/>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37"/>
      <c r="D23" s="337"/>
      <c r="E23" s="338"/>
      <c r="F23" s="447"/>
      <c r="G23" s="433"/>
      <c r="H23" s="433"/>
      <c r="I23" s="433"/>
      <c r="J23" s="433"/>
      <c r="K23" s="53" t="str">
        <f>IF(AND('Mapa final'!$AJ$23="Alta",'Mapa final'!$AL$23="Leve"),CONCATENATE("R2C",'Mapa final'!$S$23),"")</f>
        <v/>
      </c>
      <c r="L23" s="54" t="str">
        <f>IF(AND('Mapa final'!$AJ$24="Alta",'Mapa final'!$AL$24="Leve"),CONCATENATE("R2C",'Mapa final'!$S$24),"")</f>
        <v/>
      </c>
      <c r="M23" s="54" t="str">
        <f>IF(AND('Mapa final'!$AJ$25="Alta",'Mapa final'!$AL$25="Leve"),CONCATENATE("R2C",'Mapa final'!$S$25),"")</f>
        <v/>
      </c>
      <c r="N23" s="54" t="str">
        <f>IF(AND('Mapa final'!$AJ$26="Alta",'Mapa final'!$AL$26="Leve"),CONCATENATE("R2C",'Mapa final'!$S$26),"")</f>
        <v/>
      </c>
      <c r="O23" s="54" t="str">
        <f>IF(AND('Mapa final'!$AJ$27="Alta",'Mapa final'!$AL$27="Leve"),CONCATENATE("R2C",'Mapa final'!$S$27),"")</f>
        <v/>
      </c>
      <c r="P23" s="55" t="str">
        <f>IF(AND('Mapa final'!$AJ$28="Alta",'Mapa final'!$AL$28="Leve"),CONCATENATE("R2C",'Mapa final'!$S$28),"")</f>
        <v/>
      </c>
      <c r="Q23" s="53" t="str">
        <f>IF(AND('Mapa final'!$AJ$23="Alta",'Mapa final'!$AL$23="Menor"),CONCATENATE("R2C",'Mapa final'!$S$23),"")</f>
        <v/>
      </c>
      <c r="R23" s="54" t="str">
        <f>IF(AND('Mapa final'!$AJ$24="Alta",'Mapa final'!$AL$24="Menor"),CONCATENATE("R2C",'Mapa final'!$S$24),"")</f>
        <v/>
      </c>
      <c r="S23" s="54" t="str">
        <f>IF(AND('Mapa final'!$AJ$25="Alta",'Mapa final'!$AL$25="Menor"),CONCATENATE("R2C",'Mapa final'!$S$25),"")</f>
        <v/>
      </c>
      <c r="T23" s="54" t="str">
        <f>IF(AND('Mapa final'!$AJ$26="Alta",'Mapa final'!$AL$26="Menor"),CONCATENATE("R2C",'Mapa final'!$S$26),"")</f>
        <v/>
      </c>
      <c r="U23" s="54" t="str">
        <f>IF(AND('Mapa final'!$AJ$27="Alta",'Mapa final'!$AL$27="Menor"),CONCATENATE("R2C",'Mapa final'!$S$27),"")</f>
        <v/>
      </c>
      <c r="V23" s="55" t="str">
        <f>IF(AND('Mapa final'!$AJ$28="Alta",'Mapa final'!$AL$28="Menor"),CONCATENATE("R2C",'Mapa final'!$S$28),"")</f>
        <v/>
      </c>
      <c r="W23" s="38" t="str">
        <f>IF(AND('Mapa final'!$AJ$23="Alta",'Mapa final'!$AL$23="Moderado"),CONCATENATE("R2C",'Mapa final'!$S$23),"")</f>
        <v/>
      </c>
      <c r="X23" s="39" t="str">
        <f>IF(AND('Mapa final'!$AJ$24="Alta",'Mapa final'!$AL$24="Moderado"),CONCATENATE("R2C",'Mapa final'!$S$24),"")</f>
        <v/>
      </c>
      <c r="Y23" s="39" t="str">
        <f>IF(AND('Mapa final'!$AJ$25="Alta",'Mapa final'!$AL$25="Moderado"),CONCATENATE("R2C",'Mapa final'!$S$25),"")</f>
        <v/>
      </c>
      <c r="Z23" s="39" t="str">
        <f>IF(AND('Mapa final'!$AJ$26="Alta",'Mapa final'!$AL$26="Moderado"),CONCATENATE("R2C",'Mapa final'!$S$26),"")</f>
        <v/>
      </c>
      <c r="AA23" s="39" t="str">
        <f>IF(AND('Mapa final'!$AJ$27="Alta",'Mapa final'!$AL$27="Moderado"),CONCATENATE("R2C",'Mapa final'!$S$27),"")</f>
        <v/>
      </c>
      <c r="AB23" s="40" t="str">
        <f>IF(AND('Mapa final'!$AJ$28="Alta",'Mapa final'!$AL$28="Moderado"),CONCATENATE("R2C",'Mapa final'!$S$28),"")</f>
        <v/>
      </c>
      <c r="AC23" s="38" t="str">
        <f>IF(AND('Mapa final'!$AJ$23="Alta",'Mapa final'!$AL$23="Mayor"),CONCATENATE("R2C",'Mapa final'!$S$23),"")</f>
        <v/>
      </c>
      <c r="AD23" s="39" t="str">
        <f>IF(AND('Mapa final'!$AJ$24="Alta",'Mapa final'!$AL$24="Mayor"),CONCATENATE("R2C",'Mapa final'!$S$24),"")</f>
        <v/>
      </c>
      <c r="AE23" s="39" t="str">
        <f>IF(AND('Mapa final'!$AJ$25="Alta",'Mapa final'!$AL$25="Mayor"),CONCATENATE("R2C",'Mapa final'!$S$25),"")</f>
        <v/>
      </c>
      <c r="AF23" s="39" t="str">
        <f>IF(AND('Mapa final'!$AJ$26="Alta",'Mapa final'!$AL$26="Mayor"),CONCATENATE("R2C",'Mapa final'!$S$26),"")</f>
        <v/>
      </c>
      <c r="AG23" s="39" t="str">
        <f>IF(AND('Mapa final'!$AJ$27="Alta",'Mapa final'!$AL$27="Mayor"),CONCATENATE("R2C",'Mapa final'!$S$27),"")</f>
        <v/>
      </c>
      <c r="AH23" s="40" t="str">
        <f>IF(AND('Mapa final'!$AJ$28="Alta",'Mapa final'!$AL$28="Mayor"),CONCATENATE("R2C",'Mapa final'!$S$28),"")</f>
        <v/>
      </c>
      <c r="AI23" s="41" t="str">
        <f>IF(AND('Mapa final'!$AJ$23="Alta",'Mapa final'!$AL$23="Catastrófico"),CONCATENATE("R2C",'Mapa final'!$S$23),"")</f>
        <v/>
      </c>
      <c r="AJ23" s="42" t="str">
        <f>IF(AND('Mapa final'!$AJ$24="Alta",'Mapa final'!$AL$24="Catastrófico"),CONCATENATE("R2C",'Mapa final'!$S$24),"")</f>
        <v/>
      </c>
      <c r="AK23" s="42" t="str">
        <f>IF(AND('Mapa final'!$AJ$25="Alta",'Mapa final'!$AL$25="Catastrófico"),CONCATENATE("R2C",'Mapa final'!$S$25),"")</f>
        <v/>
      </c>
      <c r="AL23" s="42" t="str">
        <f>IF(AND('Mapa final'!$AJ$26="Alta",'Mapa final'!$AL$26="Catastrófico"),CONCATENATE("R2C",'Mapa final'!$S$26),"")</f>
        <v/>
      </c>
      <c r="AM23" s="42" t="str">
        <f>IF(AND('Mapa final'!$AJ$27="Alta",'Mapa final'!$AL$27="Catastrófico"),CONCATENATE("R2C",'Mapa final'!$S$27),"")</f>
        <v/>
      </c>
      <c r="AN23" s="43" t="str">
        <f>IF(AND('Mapa final'!$AJ$28="Alta",'Mapa final'!$AL$28="Catastrófico"),CONCATENATE("R2C",'Mapa final'!$S$28),"")</f>
        <v/>
      </c>
      <c r="AO23" s="69"/>
      <c r="AP23" s="441"/>
      <c r="AQ23" s="442"/>
      <c r="AR23" s="442"/>
      <c r="AS23" s="442"/>
      <c r="AT23" s="442"/>
      <c r="AU23" s="443"/>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37"/>
      <c r="D24" s="337"/>
      <c r="E24" s="338"/>
      <c r="F24" s="432"/>
      <c r="G24" s="433"/>
      <c r="H24" s="433"/>
      <c r="I24" s="433"/>
      <c r="J24" s="433"/>
      <c r="K24" s="53" t="str">
        <f>IF(AND('Mapa final'!$AJ$29="Alta",'Mapa final'!$AL$29="Leve"),CONCATENATE("R2C",'Mapa final'!$S$29),"")</f>
        <v/>
      </c>
      <c r="L24" s="54" t="str">
        <f>IF(AND('Mapa final'!$AJ$30="Alta",'Mapa final'!$AL$30="Leve"),CONCATENATE("R2C",'Mapa final'!$S$30),"")</f>
        <v/>
      </c>
      <c r="M24" s="54" t="str">
        <f>IF(AND('Mapa final'!$AJ$31="Alta",'Mapa final'!$AL$31="Leve"),CONCATENATE("R2C",'Mapa final'!$S$31),"")</f>
        <v/>
      </c>
      <c r="N24" s="54" t="str">
        <f>IF(AND('Mapa final'!$AJ$32="Alta",'Mapa final'!$AL$32="Leve"),CONCATENATE("R2C",'Mapa final'!$S$32),"")</f>
        <v/>
      </c>
      <c r="O24" s="54" t="str">
        <f>IF(AND('Mapa final'!$AJ$33="Alta",'Mapa final'!$AL$33="Leve"),CONCATENATE("R2C",'Mapa final'!$S$33),"")</f>
        <v/>
      </c>
      <c r="P24" s="55" t="str">
        <f>IF(AND('Mapa final'!$AJ$34="Alta",'Mapa final'!$AL$34="Leve"),CONCATENATE("R2C",'Mapa final'!$S$34),"")</f>
        <v/>
      </c>
      <c r="Q24" s="53" t="str">
        <f>IF(AND('Mapa final'!$AJ$29="Alta",'Mapa final'!$AL$29="Menor"),CONCATENATE("R2C",'Mapa final'!$S$29),"")</f>
        <v/>
      </c>
      <c r="R24" s="54" t="str">
        <f>IF(AND('Mapa final'!$AJ$30="Alta",'Mapa final'!$AL$30="Menor"),CONCATENATE("R2C",'Mapa final'!$S$30),"")</f>
        <v/>
      </c>
      <c r="S24" s="54" t="str">
        <f>IF(AND('Mapa final'!$AJ$31="Alta",'Mapa final'!$AL$31="Menor"),CONCATENATE("R2C",'Mapa final'!$S$31),"")</f>
        <v/>
      </c>
      <c r="T24" s="54" t="str">
        <f>IF(AND('Mapa final'!$AJ$32="Alta",'Mapa final'!$AL$32="Menor"),CONCATENATE("R2C",'Mapa final'!$S$32),"")</f>
        <v/>
      </c>
      <c r="U24" s="54" t="str">
        <f>IF(AND('Mapa final'!$AJ$33="Alta",'Mapa final'!$AL$33="Menor"),CONCATENATE("R2C",'Mapa final'!$S$33),"")</f>
        <v/>
      </c>
      <c r="V24" s="55" t="str">
        <f>IF(AND('Mapa final'!$AJ$34="Alta",'Mapa final'!$AL$34="Menor"),CONCATENATE("R2C",'Mapa final'!$S$34),"")</f>
        <v/>
      </c>
      <c r="W24" s="38" t="str">
        <f>IF(AND('Mapa final'!$AJ$29="Alta",'Mapa final'!$AL$29="Moderado"),CONCATENATE("R2C",'Mapa final'!$S$29),"")</f>
        <v/>
      </c>
      <c r="X24" s="39" t="str">
        <f>IF(AND('Mapa final'!$AJ$30="Alta",'Mapa final'!$AL$30="Moderado"),CONCATENATE("R2C",'Mapa final'!$S$30),"")</f>
        <v/>
      </c>
      <c r="Y24" s="39" t="str">
        <f>IF(AND('Mapa final'!$AJ$31="Alta",'Mapa final'!$AL$31="Moderado"),CONCATENATE("R2C",'Mapa final'!$S$31),"")</f>
        <v/>
      </c>
      <c r="Z24" s="39" t="str">
        <f>IF(AND('Mapa final'!$AJ$32="Alta",'Mapa final'!$AL$32="Moderado"),CONCATENATE("R2C",'Mapa final'!$S$32),"")</f>
        <v/>
      </c>
      <c r="AA24" s="39" t="str">
        <f>IF(AND('Mapa final'!$AJ$33="Alta",'Mapa final'!$AL$33="Moderado"),CONCATENATE("R2C",'Mapa final'!$S$33),"")</f>
        <v/>
      </c>
      <c r="AB24" s="40" t="str">
        <f>IF(AND('Mapa final'!$AJ$34="Alta",'Mapa final'!$AL$34="Moderado"),CONCATENATE("R2C",'Mapa final'!$S$34),"")</f>
        <v/>
      </c>
      <c r="AC24" s="38" t="str">
        <f>IF(AND('Mapa final'!$AJ$29="Alta",'Mapa final'!$AL$29="Mayor"),CONCATENATE("R2C",'Mapa final'!$S$29),"")</f>
        <v/>
      </c>
      <c r="AD24" s="39" t="str">
        <f>IF(AND('Mapa final'!$AJ$30="Alta",'Mapa final'!$AL$30="Mayor"),CONCATENATE("R2C",'Mapa final'!$S$30),"")</f>
        <v/>
      </c>
      <c r="AE24" s="39" t="str">
        <f>IF(AND('Mapa final'!$AJ$31="Alta",'Mapa final'!$AL$31="Mayor"),CONCATENATE("R2C",'Mapa final'!$S$31),"")</f>
        <v/>
      </c>
      <c r="AF24" s="39" t="str">
        <f>IF(AND('Mapa final'!$AJ$32="Alta",'Mapa final'!$AL$32="Mayor"),CONCATENATE("R2C",'Mapa final'!$S$32),"")</f>
        <v/>
      </c>
      <c r="AG24" s="39" t="str">
        <f>IF(AND('Mapa final'!$AJ$33="Alta",'Mapa final'!$AL$33="Mayor"),CONCATENATE("R2C",'Mapa final'!$S$33),"")</f>
        <v/>
      </c>
      <c r="AH24" s="40" t="str">
        <f>IF(AND('Mapa final'!$AJ$34="Alta",'Mapa final'!$AL$34="Mayor"),CONCATENATE("R2C",'Mapa final'!$S$34),"")</f>
        <v/>
      </c>
      <c r="AI24" s="41" t="str">
        <f>IF(AND('Mapa final'!$AJ$29="Alta",'Mapa final'!$AL$29="Catastrófico"),CONCATENATE("R2C",'Mapa final'!$S$29),"")</f>
        <v/>
      </c>
      <c r="AJ24" s="42" t="str">
        <f>IF(AND('Mapa final'!$AJ$30="Alta",'Mapa final'!$AL$30="Catastrófico"),CONCATENATE("R2C",'Mapa final'!$S$30),"")</f>
        <v/>
      </c>
      <c r="AK24" s="42" t="str">
        <f>IF(AND('Mapa final'!$AJ$31="Alta",'Mapa final'!$AL$31="Catastrófico"),CONCATENATE("R2C",'Mapa final'!$S$31),"")</f>
        <v/>
      </c>
      <c r="AL24" s="42" t="str">
        <f>IF(AND('Mapa final'!$AJ$32="Alta",'Mapa final'!$AL$32="Catastrófico"),CONCATENATE("R2C",'Mapa final'!$S$32),"")</f>
        <v/>
      </c>
      <c r="AM24" s="42" t="str">
        <f>IF(AND('Mapa final'!$AJ$33="Alta",'Mapa final'!$AL$33="Catastrófico"),CONCATENATE("R2C",'Mapa final'!$S$33),"")</f>
        <v/>
      </c>
      <c r="AN24" s="43" t="str">
        <f>IF(AND('Mapa final'!$AJ$34="Alta",'Mapa final'!$AL$34="Catastrófico"),CONCATENATE("R2C",'Mapa final'!$S$34),"")</f>
        <v/>
      </c>
      <c r="AO24" s="69"/>
      <c r="AP24" s="441"/>
      <c r="AQ24" s="442"/>
      <c r="AR24" s="442"/>
      <c r="AS24" s="442"/>
      <c r="AT24" s="442"/>
      <c r="AU24" s="443"/>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37"/>
      <c r="D25" s="337"/>
      <c r="E25" s="338"/>
      <c r="F25" s="432"/>
      <c r="G25" s="433"/>
      <c r="H25" s="433"/>
      <c r="I25" s="433"/>
      <c r="J25" s="433"/>
      <c r="K25" s="53" t="str">
        <f>IF(AND('Mapa final'!$AJ$35="Alta",'Mapa final'!$AL$35="Leve"),CONCATENATE("R2C",'Mapa final'!$S$35),"")</f>
        <v/>
      </c>
      <c r="L25" s="54" t="str">
        <f>IF(AND('Mapa final'!$AJ$36="Alta",'Mapa final'!$AL$36="Leve"),CONCATENATE("R2C",'Mapa final'!$S$36),"")</f>
        <v/>
      </c>
      <c r="M25" s="54" t="str">
        <f>IF(AND('Mapa final'!$AJ$37="Alta",'Mapa final'!$AL$37="Leve"),CONCATENATE("R2C",'Mapa final'!$S$37),"")</f>
        <v/>
      </c>
      <c r="N25" s="54" t="str">
        <f>IF(AND('Mapa final'!$AJ$38="Alta",'Mapa final'!$AL$38="Leve"),CONCATENATE("R2C",'Mapa final'!$S$38),"")</f>
        <v/>
      </c>
      <c r="O25" s="54" t="str">
        <f>IF(AND('Mapa final'!$AJ$39="Alta",'Mapa final'!$AL$39="Leve"),CONCATENATE("R2C",'Mapa final'!$S$39),"")</f>
        <v/>
      </c>
      <c r="P25" s="55" t="str">
        <f>IF(AND('Mapa final'!$AJ$40="Alta",'Mapa final'!$AL$40="Leve"),CONCATENATE("R2C",'Mapa final'!$S$40),"")</f>
        <v/>
      </c>
      <c r="Q25" s="53" t="str">
        <f>IF(AND('Mapa final'!$AJ$35="Alta",'Mapa final'!$AL$35="Menor"),CONCATENATE("R2C",'Mapa final'!$S$35),"")</f>
        <v/>
      </c>
      <c r="R25" s="54" t="str">
        <f>IF(AND('Mapa final'!$AJ$36="Alta",'Mapa final'!$AL$36="Menor"),CONCATENATE("R2C",'Mapa final'!$S$36),"")</f>
        <v/>
      </c>
      <c r="S25" s="54" t="str">
        <f>IF(AND('Mapa final'!$AJ$37="Alta",'Mapa final'!$AL$37="Menor"),CONCATENATE("R2C",'Mapa final'!$S$37),"")</f>
        <v/>
      </c>
      <c r="T25" s="54" t="str">
        <f>IF(AND('Mapa final'!$AJ$38="Alta",'Mapa final'!$AL$38="Menor"),CONCATENATE("R2C",'Mapa final'!$S$38),"")</f>
        <v/>
      </c>
      <c r="U25" s="54" t="str">
        <f>IF(AND('Mapa final'!$AJ$39="Alta",'Mapa final'!$AL$39="LMenor"),CONCATENATE("R2C",'Mapa final'!$S$39),"")</f>
        <v/>
      </c>
      <c r="V25" s="55" t="str">
        <f>IF(AND('Mapa final'!$AJ$40="Alta",'Mapa final'!$AL$40="Menor"),CONCATENATE("R2C",'Mapa final'!$S$40),"")</f>
        <v/>
      </c>
      <c r="W25" s="38" t="str">
        <f>IF(AND('Mapa final'!$AJ$35="Alta",'Mapa final'!$AL$35="Moderado"),CONCATENATE("R2C",'Mapa final'!$S$35),"")</f>
        <v/>
      </c>
      <c r="X25" s="39" t="str">
        <f>IF(AND('Mapa final'!$AJ$36="Alta",'Mapa final'!$AL$36="Moderado"),CONCATENATE("R2C",'Mapa final'!$S$36),"")</f>
        <v/>
      </c>
      <c r="Y25" s="39" t="str">
        <f>IF(AND('Mapa final'!$AJ$37="Alta",'Mapa final'!$AL$37="Moderado"),CONCATENATE("R2C",'Mapa final'!$S$37),"")</f>
        <v/>
      </c>
      <c r="Z25" s="39" t="str">
        <f>IF(AND('Mapa final'!$AJ$38="Alta",'Mapa final'!$AL$38="Moderado"),CONCATENATE("R2C",'Mapa final'!$S$38),"")</f>
        <v/>
      </c>
      <c r="AA25" s="39" t="str">
        <f>IF(AND('Mapa final'!$AJ$39="Alta",'Mapa final'!$AL$39="Moderado"),CONCATENATE("R2C",'Mapa final'!$S$39),"")</f>
        <v/>
      </c>
      <c r="AB25" s="40" t="str">
        <f>IF(AND('Mapa final'!$AJ$40="Alta",'Mapa final'!$AL$40="Moderado"),CONCATENATE("R2C",'Mapa final'!$S$40),"")</f>
        <v/>
      </c>
      <c r="AC25" s="38" t="str">
        <f>IF(AND('Mapa final'!$AJ$35="Alta",'Mapa final'!$AL$35="Mayor"),CONCATENATE("R2C",'Mapa final'!$S$35),"")</f>
        <v/>
      </c>
      <c r="AD25" s="39" t="str">
        <f>IF(AND('Mapa final'!$AJ$36="Alta",'Mapa final'!$AL$36="Mayor"),CONCATENATE("R2C",'Mapa final'!$S$36),"")</f>
        <v/>
      </c>
      <c r="AE25" s="39" t="str">
        <f>IF(AND('Mapa final'!$AJ$37="Alta",'Mapa final'!$AL$37="Mayor"),CONCATENATE("R2C",'Mapa final'!$S$37),"")</f>
        <v/>
      </c>
      <c r="AF25" s="39" t="str">
        <f>IF(AND('Mapa final'!$AJ$38="Alta",'Mapa final'!$AL$38="Mayor"),CONCATENATE("R2C",'Mapa final'!$S$38),"")</f>
        <v/>
      </c>
      <c r="AG25" s="39" t="str">
        <f>IF(AND('Mapa final'!$AJ$39="Alta",'Mapa final'!$AL$39="Mayor"),CONCATENATE("R2C",'Mapa final'!$S$39),"")</f>
        <v/>
      </c>
      <c r="AH25" s="40" t="str">
        <f>IF(AND('Mapa final'!$AJ$40="Alta",'Mapa final'!$AL$40="Mayor"),CONCATENATE("R2C",'Mapa final'!$S$40),"")</f>
        <v/>
      </c>
      <c r="AI25" s="41" t="str">
        <f>IF(AND('Mapa final'!$AJ$35="Alta",'Mapa final'!$AL$35="Catastrófico"),CONCATENATE("R2C",'Mapa final'!$S$35),"")</f>
        <v/>
      </c>
      <c r="AJ25" s="42" t="str">
        <f>IF(AND('Mapa final'!$AJ$36="Alta",'Mapa final'!$AL$36="Catastrófico"),CONCATENATE("R2C",'Mapa final'!$S$36),"")</f>
        <v/>
      </c>
      <c r="AK25" s="42" t="str">
        <f>IF(AND('Mapa final'!$AJ$37="Alta",'Mapa final'!$AL$37="Catastrófico"),CONCATENATE("R2C",'Mapa final'!$S$37),"")</f>
        <v/>
      </c>
      <c r="AL25" s="42" t="str">
        <f>IF(AND('Mapa final'!$AJ$38="Alta",'Mapa final'!$AL$38="Catastrófico"),CONCATENATE("R2C",'Mapa final'!$S$38),"")</f>
        <v/>
      </c>
      <c r="AM25" s="42" t="str">
        <f>IF(AND('Mapa final'!$AJ$39="Alta",'Mapa final'!$AL$39="LCatastrófico"),CONCATENATE("R2C",'Mapa final'!$S$39),"")</f>
        <v/>
      </c>
      <c r="AN25" s="43" t="str">
        <f>IF(AND('Mapa final'!$AJ$40="Alta",'Mapa final'!$AL$40="Catastrófico"),CONCATENATE("R2C",'Mapa final'!$S$40),"")</f>
        <v/>
      </c>
      <c r="AO25" s="69"/>
      <c r="AP25" s="441"/>
      <c r="AQ25" s="442"/>
      <c r="AR25" s="442"/>
      <c r="AS25" s="442"/>
      <c r="AT25" s="442"/>
      <c r="AU25" s="443"/>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37"/>
      <c r="D26" s="337"/>
      <c r="E26" s="338"/>
      <c r="F26" s="432"/>
      <c r="G26" s="433"/>
      <c r="H26" s="433"/>
      <c r="I26" s="433"/>
      <c r="J26" s="433"/>
      <c r="K26" s="53" t="str">
        <f>IF(AND('Mapa final'!$AJ$41="Alta",'Mapa final'!$AL$41="Leve"),CONCATENATE("R2C",'Mapa final'!$S$41),"")</f>
        <v/>
      </c>
      <c r="L26" s="54" t="str">
        <f>IF(AND('Mapa final'!$AJ$42="Alta",'Mapa final'!$AL$42="Leve"),CONCATENATE("R2C",'Mapa final'!$S$42),"")</f>
        <v/>
      </c>
      <c r="M26" s="54" t="str">
        <f>IF(AND('Mapa final'!$AJ$43="Alta",'Mapa final'!$AL$43="Leve"),CONCATENATE("R2C",'Mapa final'!$S$43),"")</f>
        <v/>
      </c>
      <c r="N26" s="54" t="str">
        <f>IF(AND('Mapa final'!$AJ$44="Alta",'Mapa final'!$AL$44="Leve"),CONCATENATE("R2C",'Mapa final'!$S$44),"")</f>
        <v/>
      </c>
      <c r="O26" s="54" t="str">
        <f>IF(AND('Mapa final'!$AJ$45="Alta",'Mapa final'!$AL$45="Leve"),CONCATENATE("R2C",'Mapa final'!$S$45),"")</f>
        <v/>
      </c>
      <c r="P26" s="55" t="str">
        <f>IF(AND('Mapa final'!$AJ$46="Alta",'Mapa final'!$AL$46="Leve"),CONCATENATE("R2C",'Mapa final'!$S$46),"")</f>
        <v/>
      </c>
      <c r="Q26" s="53" t="str">
        <f>IF(AND('Mapa final'!$AJ$41="Alta",'Mapa final'!$AL$41="Menor"),CONCATENATE("R2C",'Mapa final'!$S$41),"")</f>
        <v/>
      </c>
      <c r="R26" s="54" t="str">
        <f>IF(AND('Mapa final'!$AJ$42="Alta",'Mapa final'!$AL$42="Menor"),CONCATENATE("R2C",'Mapa final'!$S$42),"")</f>
        <v/>
      </c>
      <c r="S26" s="54" t="str">
        <f>IF(AND('Mapa final'!$AJ$43="Alta",'Mapa final'!$AL$43="Menor"),CONCATENATE("R2C",'Mapa final'!$S$43),"")</f>
        <v/>
      </c>
      <c r="T26" s="54" t="str">
        <f>IF(AND('Mapa final'!$AJ$44="Alta",'Mapa final'!$AL$44="Menor"),CONCATENATE("R2C",'Mapa final'!$S$44),"")</f>
        <v/>
      </c>
      <c r="U26" s="54" t="str">
        <f>IF(AND('Mapa final'!$AJ$45="Alta",'Mapa final'!$AL$45="Menor"),CONCATENATE("R2C",'Mapa final'!$S$45),"")</f>
        <v/>
      </c>
      <c r="V26" s="55" t="str">
        <f>IF(AND('Mapa final'!$AJ$46="Alta",'Mapa final'!$AL$46="Menor"),CONCATENATE("R2C",'Mapa final'!$S$46),"")</f>
        <v/>
      </c>
      <c r="W26" s="38" t="str">
        <f>IF(AND('Mapa final'!$AJ$41="Alta",'Mapa final'!$AL$41="Moderado"),CONCATENATE("R2C",'Mapa final'!$S$41),"")</f>
        <v/>
      </c>
      <c r="X26" s="39" t="str">
        <f>IF(AND('Mapa final'!$AJ$42="Alta",'Mapa final'!$AL$42="Moderado"),CONCATENATE("R2C",'Mapa final'!$S$42),"")</f>
        <v/>
      </c>
      <c r="Y26" s="39" t="str">
        <f>IF(AND('Mapa final'!$AJ$43="Alta",'Mapa final'!$AL$43="Moderado"),CONCATENATE("R2C",'Mapa final'!$S$43),"")</f>
        <v/>
      </c>
      <c r="Z26" s="39" t="str">
        <f>IF(AND('Mapa final'!$AJ$44="Alta",'Mapa final'!$AL$44="Moderado"),CONCATENATE("R2C",'Mapa final'!$S$44),"")</f>
        <v/>
      </c>
      <c r="AA26" s="39" t="str">
        <f>IF(AND('Mapa final'!$AJ$45="Alta",'Mapa final'!$AL$45="Moderado"),CONCATENATE("R2C",'Mapa final'!$S$45),"")</f>
        <v/>
      </c>
      <c r="AB26" s="40" t="str">
        <f>IF(AND('Mapa final'!$AJ$46="Alta",'Mapa final'!$AL$46="Moderado"),CONCATENATE("R2C",'Mapa final'!$S$46),"")</f>
        <v/>
      </c>
      <c r="AC26" s="38" t="str">
        <f>IF(AND('Mapa final'!$AJ$41="Alta",'Mapa final'!$AL$41="Mayor"),CONCATENATE("R2C",'Mapa final'!$S$41),"")</f>
        <v/>
      </c>
      <c r="AD26" s="39" t="str">
        <f>IF(AND('Mapa final'!$AJ$42="Alta",'Mapa final'!$AL$42="Mayor"),CONCATENATE("R2C",'Mapa final'!$S$42),"")</f>
        <v/>
      </c>
      <c r="AE26" s="39" t="str">
        <f>IF(AND('Mapa final'!$AJ$43="Alta",'Mapa final'!$AL$43="Mayor"),CONCATENATE("R2C",'Mapa final'!$S$43),"")</f>
        <v/>
      </c>
      <c r="AF26" s="39" t="str">
        <f>IF(AND('Mapa final'!$AJ$44="Alta",'Mapa final'!$AL$44="Mayor"),CONCATENATE("R2C",'Mapa final'!$S$44),"")</f>
        <v/>
      </c>
      <c r="AG26" s="39" t="str">
        <f>IF(AND('Mapa final'!$AJ$45="Alta",'Mapa final'!$AL$45="Mayor"),CONCATENATE("R2C",'Mapa final'!$S$45),"")</f>
        <v/>
      </c>
      <c r="AH26" s="40" t="str">
        <f>IF(AND('Mapa final'!$AJ$46="Alta",'Mapa final'!$AL$46="Mayor"),CONCATENATE("R2C",'Mapa final'!$S$46),"")</f>
        <v/>
      </c>
      <c r="AI26" s="41" t="str">
        <f>IF(AND('Mapa final'!$AJ$41="Alta",'Mapa final'!$AL$41="Catastrófico"),CONCATENATE("R2C",'Mapa final'!$S$41),"")</f>
        <v/>
      </c>
      <c r="AJ26" s="42" t="str">
        <f>IF(AND('Mapa final'!$AJ$42="Alta",'Mapa final'!$AL$42="Catastrófico"),CONCATENATE("R2C",'Mapa final'!$S$42),"")</f>
        <v/>
      </c>
      <c r="AK26" s="42" t="str">
        <f>IF(AND('Mapa final'!$AJ$43="Alta",'Mapa final'!$AL$43="Catastrófico"),CONCATENATE("R2C",'Mapa final'!$S$43),"")</f>
        <v/>
      </c>
      <c r="AL26" s="42" t="str">
        <f>IF(AND('Mapa final'!$AJ$44="Alta",'Mapa final'!$AL$44="Catastrófico"),CONCATENATE("R2C",'Mapa final'!$S$44),"")</f>
        <v/>
      </c>
      <c r="AM26" s="42" t="str">
        <f>IF(AND('Mapa final'!$AJ$45="Alta",'Mapa final'!$AL$45="Catastrófico"),CONCATENATE("R2C",'Mapa final'!$S$45),"")</f>
        <v/>
      </c>
      <c r="AN26" s="43" t="str">
        <f>IF(AND('Mapa final'!$AJ$46="Alta",'Mapa final'!$AL$46="Catastrófico"),CONCATENATE("R2C",'Mapa final'!$S$46),"")</f>
        <v/>
      </c>
      <c r="AO26" s="69"/>
      <c r="AP26" s="441"/>
      <c r="AQ26" s="442"/>
      <c r="AR26" s="442"/>
      <c r="AS26" s="442"/>
      <c r="AT26" s="442"/>
      <c r="AU26" s="443"/>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37"/>
      <c r="D27" s="337"/>
      <c r="E27" s="338"/>
      <c r="F27" s="432"/>
      <c r="G27" s="433"/>
      <c r="H27" s="433"/>
      <c r="I27" s="433"/>
      <c r="J27" s="433"/>
      <c r="K27" s="53" t="str">
        <f>IF(AND('Mapa final'!$AJ$47="Alta",'Mapa final'!$AL$47="Leve"),CONCATENATE("R2C",'Mapa final'!$S$47),"")</f>
        <v/>
      </c>
      <c r="L27" s="54" t="str">
        <f>IF(AND('Mapa final'!$AJ$48="Alta",'Mapa final'!$AL$48="Leve"),CONCATENATE("R2C",'Mapa final'!$S$48),"")</f>
        <v/>
      </c>
      <c r="M27" s="54" t="str">
        <f>IF(AND('Mapa final'!$AJ$49="Alta",'Mapa final'!$AL$49="Leve"),CONCATENATE("R2C",'Mapa final'!$S$49),"")</f>
        <v/>
      </c>
      <c r="N27" s="54" t="str">
        <f>IF(AND('Mapa final'!$AJ$50="Alta",'Mapa final'!$AL$50="Leve"),CONCATENATE("R2C",'Mapa final'!$S$50),"")</f>
        <v/>
      </c>
      <c r="O27" s="54" t="str">
        <f>IF(AND('Mapa final'!$AJ$51="Alta",'Mapa final'!$AL$51="Leve"),CONCATENATE("R2C",'Mapa final'!$S$51),"")</f>
        <v/>
      </c>
      <c r="P27" s="55" t="str">
        <f>IF(AND('Mapa final'!$AJ$62="Alta",'Mapa final'!$AL$52="Leve"),CONCATENATE("R2C",'Mapa final'!$S$52),"")</f>
        <v/>
      </c>
      <c r="Q27" s="53" t="str">
        <f>IF(AND('Mapa final'!$AJ$47="Alta",'Mapa final'!$AL$47="Menor"),CONCATENATE("R2C",'Mapa final'!$S$47),"")</f>
        <v/>
      </c>
      <c r="R27" s="54" t="str">
        <f>IF(AND('Mapa final'!$AJ$48="Alta",'Mapa final'!$AL$48="Menor"),CONCATENATE("R2C",'Mapa final'!$S$48),"")</f>
        <v/>
      </c>
      <c r="S27" s="54" t="str">
        <f>IF(AND('Mapa final'!$AJ$49="Alta",'Mapa final'!$AL$49="Menor"),CONCATENATE("R2C",'Mapa final'!$S$49),"")</f>
        <v/>
      </c>
      <c r="T27" s="54" t="str">
        <f>IF(AND('Mapa final'!$AJ$50="Alta",'Mapa final'!$AL$50="Menor"),CONCATENATE("R2C",'Mapa final'!$S$50),"")</f>
        <v/>
      </c>
      <c r="U27" s="54" t="str">
        <f>IF(AND('Mapa final'!$AJ$51="Alta",'Mapa final'!$AL$51="Menor"),CONCATENATE("R2C",'Mapa final'!$S$51),"")</f>
        <v/>
      </c>
      <c r="V27" s="55" t="str">
        <f>IF(AND('Mapa final'!$AJ$62="Alta",'Mapa final'!$AL$52="Menor"),CONCATENATE("R2C",'Mapa final'!$S$52),"")</f>
        <v/>
      </c>
      <c r="W27" s="38" t="str">
        <f>IF(AND('Mapa final'!$AJ$47="Alta",'Mapa final'!$AL$47="Moderado"),CONCATENATE("R2C",'Mapa final'!$S$47),"")</f>
        <v/>
      </c>
      <c r="X27" s="39" t="str">
        <f>IF(AND('Mapa final'!$AJ$48="Alta",'Mapa final'!$AL$48="Moderado"),CONCATENATE("R2C",'Mapa final'!$S$48),"")</f>
        <v/>
      </c>
      <c r="Y27" s="39" t="str">
        <f>IF(AND('Mapa final'!$AJ$49="Alta",'Mapa final'!$AL$49="Moderado"),CONCATENATE("R2C",'Mapa final'!$S$49),"")</f>
        <v/>
      </c>
      <c r="Z27" s="39" t="str">
        <f>IF(AND('Mapa final'!$AJ$50="Alta",'Mapa final'!$AL$50="Moderado"),CONCATENATE("R2C",'Mapa final'!$S$50),"")</f>
        <v/>
      </c>
      <c r="AA27" s="39" t="str">
        <f>IF(AND('Mapa final'!$AJ$51="Alta",'Mapa final'!$AL$51="Moderado"),CONCATENATE("R2C",'Mapa final'!$S$51),"")</f>
        <v/>
      </c>
      <c r="AB27" s="40" t="str">
        <f>IF(AND('Mapa final'!$AJ$62="Alta",'Mapa final'!$AL$52="Moderado"),CONCATENATE("R2C",'Mapa final'!$S$52),"")</f>
        <v/>
      </c>
      <c r="AC27" s="38" t="str">
        <f>IF(AND('Mapa final'!$AJ$47="Alta",'Mapa final'!$AL$47="Mayor"),CONCATENATE("R2C",'Mapa final'!$S$47),"")</f>
        <v/>
      </c>
      <c r="AD27" s="39" t="str">
        <f>IF(AND('Mapa final'!$AJ$48="Alta",'Mapa final'!$AL$48="Mayor"),CONCATENATE("R2C",'Mapa final'!$S$48),"")</f>
        <v/>
      </c>
      <c r="AE27" s="39" t="str">
        <f>IF(AND('Mapa final'!$AJ$49="Alta",'Mapa final'!$AL$49="Mayor"),CONCATENATE("R2C",'Mapa final'!$S$49),"")</f>
        <v/>
      </c>
      <c r="AF27" s="39" t="str">
        <f>IF(AND('Mapa final'!$AJ$50="Alta",'Mapa final'!$AL$50="Mayor"),CONCATENATE("R2C",'Mapa final'!$S$50),"")</f>
        <v/>
      </c>
      <c r="AG27" s="39" t="str">
        <f>IF(AND('Mapa final'!$AJ$51="Alta",'Mapa final'!$AL$51="Mayor"),CONCATENATE("R2C",'Mapa final'!$S$51),"")</f>
        <v/>
      </c>
      <c r="AH27" s="40" t="str">
        <f>IF(AND('Mapa final'!$AJ$62="Alta",'Mapa final'!$AL$52="Mayor"),CONCATENATE("R2C",'Mapa final'!$S$52),"")</f>
        <v/>
      </c>
      <c r="AI27" s="41" t="str">
        <f>IF(AND('Mapa final'!$AJ$47="Alta",'Mapa final'!$AL$47="Catastrófico"),CONCATENATE("R2C",'Mapa final'!$S$47),"")</f>
        <v/>
      </c>
      <c r="AJ27" s="42" t="str">
        <f>IF(AND('Mapa final'!$AJ$48="Alta",'Mapa final'!$AL$48="Catastrófico"),CONCATENATE("R2C",'Mapa final'!$S$48),"")</f>
        <v/>
      </c>
      <c r="AK27" s="42" t="str">
        <f>IF(AND('Mapa final'!$AJ$49="Alta",'Mapa final'!$AL$49="Catastrófico"),CONCATENATE("R2C",'Mapa final'!$S$49),"")</f>
        <v/>
      </c>
      <c r="AL27" s="42" t="str">
        <f>IF(AND('Mapa final'!$AJ$50="Alta",'Mapa final'!$AL$50="Catastrófico"),CONCATENATE("R2C",'Mapa final'!$S$50),"")</f>
        <v/>
      </c>
      <c r="AM27" s="42" t="str">
        <f>IF(AND('Mapa final'!$AJ$51="Alta",'Mapa final'!$AL$51="Catastrófico"),CONCATENATE("R2C",'Mapa final'!$S$51),"")</f>
        <v/>
      </c>
      <c r="AN27" s="43" t="str">
        <f>IF(AND('Mapa final'!$AJ$62="Alta",'Mapa final'!$AL$52="Catastrófico"),CONCATENATE("R2C",'Mapa final'!$S$52),"")</f>
        <v/>
      </c>
      <c r="AO27" s="69"/>
      <c r="AP27" s="441"/>
      <c r="AQ27" s="442"/>
      <c r="AR27" s="442"/>
      <c r="AS27" s="442"/>
      <c r="AT27" s="442"/>
      <c r="AU27" s="443"/>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37"/>
      <c r="D28" s="337"/>
      <c r="E28" s="338"/>
      <c r="F28" s="432"/>
      <c r="G28" s="433"/>
      <c r="H28" s="433"/>
      <c r="I28" s="433"/>
      <c r="J28" s="433"/>
      <c r="K28" s="53" t="str">
        <f>IF(AND('Mapa final'!$AJ$53="Alta",'Mapa final'!$AL$53="Leve"),CONCATENATE("R2C",'Mapa final'!$S$53),"")</f>
        <v/>
      </c>
      <c r="L28" s="54" t="str">
        <f>IF(AND('Mapa final'!$AJ$54="Alta",'Mapa final'!$AL$54="Leve"),CONCATENATE("R2C",'Mapa final'!$S$54),"")</f>
        <v/>
      </c>
      <c r="M28" s="54" t="str">
        <f>IF(AND('Mapa final'!$AJ$55="Alta",'Mapa final'!$AL$55="Leve"),CONCATENATE("R2C",'Mapa final'!$S$55),"")</f>
        <v/>
      </c>
      <c r="N28" s="54" t="str">
        <f>IF(AND('Mapa final'!$AJ$56="Alta",'Mapa final'!$AL$56="Leve"),CONCATENATE("R2C",'Mapa final'!$S$56),"")</f>
        <v/>
      </c>
      <c r="O28" s="54" t="str">
        <f>IF(AND('Mapa final'!$AJ$57="Alta",'Mapa final'!$AL$57="Leve"),CONCATENATE("R2C",'Mapa final'!$S$57),"")</f>
        <v/>
      </c>
      <c r="P28" s="55" t="str">
        <f>IF(AND('Mapa final'!$AJ$58="Alta",'Mapa final'!$AL$58="Leve"),CONCATENATE("R2C",'Mapa final'!$S$58),"")</f>
        <v/>
      </c>
      <c r="Q28" s="53" t="str">
        <f>IF(AND('Mapa final'!$AJ$53="Alta",'Mapa final'!$AL$53="Menor"),CONCATENATE("R2C",'Mapa final'!$S$53),"")</f>
        <v/>
      </c>
      <c r="R28" s="54" t="str">
        <f>IF(AND('Mapa final'!$AJ$54="Alta",'Mapa final'!$AL$54="Menor"),CONCATENATE("R2C",'Mapa final'!$S$54),"")</f>
        <v/>
      </c>
      <c r="S28" s="54" t="str">
        <f>IF(AND('Mapa final'!$AJ$55="Alta",'Mapa final'!$AL$55="Menor"),CONCATENATE("R2C",'Mapa final'!$S$55),"")</f>
        <v/>
      </c>
      <c r="T28" s="54" t="str">
        <f>IF(AND('Mapa final'!$AJ$56="Alta",'Mapa final'!$AL$56="Menor"),CONCATENATE("R2C",'Mapa final'!$S$56),"")</f>
        <v/>
      </c>
      <c r="U28" s="54" t="str">
        <f>IF(AND('Mapa final'!$AJ$57="Alta",'Mapa final'!$AL$57="Menor"),CONCATENATE("R2C",'Mapa final'!$S$57),"")</f>
        <v/>
      </c>
      <c r="V28" s="55" t="str">
        <f>IF(AND('Mapa final'!$AJ$58="Alta",'Mapa final'!$AL$58="Menor"),CONCATENATE("R2C",'Mapa final'!$S$58),"")</f>
        <v/>
      </c>
      <c r="W28" s="38" t="str">
        <f>IF(AND('Mapa final'!$AJ$53="Alta",'Mapa final'!$AL$53="Moderado"),CONCATENATE("R2C",'Mapa final'!$S$53),"")</f>
        <v/>
      </c>
      <c r="X28" s="39" t="str">
        <f>IF(AND('Mapa final'!$AJ$54="Alta",'Mapa final'!$AL$54="Moderado"),CONCATENATE("R2C",'Mapa final'!$S$54),"")</f>
        <v/>
      </c>
      <c r="Y28" s="39" t="str">
        <f>IF(AND('Mapa final'!$AJ$55="Alta",'Mapa final'!$AL$55="Moderado"),CONCATENATE("R2C",'Mapa final'!$S$55),"")</f>
        <v/>
      </c>
      <c r="Z28" s="39" t="str">
        <f>IF(AND('Mapa final'!$AJ$56="Alta",'Mapa final'!$AL$56="Moderado"),CONCATENATE("R2C",'Mapa final'!$S$56),"")</f>
        <v/>
      </c>
      <c r="AA28" s="39" t="str">
        <f>IF(AND('Mapa final'!$AJ$57="Alta",'Mapa final'!$AL$57="Moderado"),CONCATENATE("R2C",'Mapa final'!$S$57),"")</f>
        <v/>
      </c>
      <c r="AB28" s="40" t="str">
        <f>IF(AND('Mapa final'!$AJ$58="Alta",'Mapa final'!$AL$58="Moderado"),CONCATENATE("R2C",'Mapa final'!$S$58),"")</f>
        <v/>
      </c>
      <c r="AC28" s="38" t="str">
        <f>IF(AND('Mapa final'!$AJ$53="Alta",'Mapa final'!$AL$53="Mayor"),CONCATENATE("R2C",'Mapa final'!$S$53),"")</f>
        <v/>
      </c>
      <c r="AD28" s="39" t="str">
        <f>IF(AND('Mapa final'!$AJ$54="Alta",'Mapa final'!$AL$54="Mayor"),CONCATENATE("R2C",'Mapa final'!$S$54),"")</f>
        <v/>
      </c>
      <c r="AE28" s="39" t="str">
        <f>IF(AND('Mapa final'!$AJ$55="Alta",'Mapa final'!$AL$55="Mayor"),CONCATENATE("R2C",'Mapa final'!$S$55),"")</f>
        <v/>
      </c>
      <c r="AF28" s="39" t="str">
        <f>IF(AND('Mapa final'!$AJ$56="Alta",'Mapa final'!$AL$56="Mayor"),CONCATENATE("R2C",'Mapa final'!$S$56),"")</f>
        <v/>
      </c>
      <c r="AG28" s="39" t="str">
        <f>IF(AND('Mapa final'!$AJ$57="Alta",'Mapa final'!$AL$57="Mayor"),CONCATENATE("R2C",'Mapa final'!$S$57),"")</f>
        <v/>
      </c>
      <c r="AH28" s="40" t="str">
        <f>IF(AND('Mapa final'!$AJ$58="Alta",'Mapa final'!$AL$58="Mayor"),CONCATENATE("R2C",'Mapa final'!$S$58),"")</f>
        <v/>
      </c>
      <c r="AI28" s="41" t="str">
        <f>IF(AND('Mapa final'!$AJ$53="Alta",'Mapa final'!$AL$53="Catastrófico"),CONCATENATE("R2C",'Mapa final'!$S$53),"")</f>
        <v/>
      </c>
      <c r="AJ28" s="42" t="str">
        <f>IF(AND('Mapa final'!$AJ$54="Alta",'Mapa final'!$AL$54="Catastrófico"),CONCATENATE("R2C",'Mapa final'!$S$54),"")</f>
        <v/>
      </c>
      <c r="AK28" s="42" t="str">
        <f>IF(AND('Mapa final'!$AJ$55="Alta",'Mapa final'!$AL$55="Catastrófico"),CONCATENATE("R2C",'Mapa final'!$S$55),"")</f>
        <v/>
      </c>
      <c r="AL28" s="42" t="str">
        <f>IF(AND('Mapa final'!$AJ$56="Alta",'Mapa final'!$AL$56="Catastrófico"),CONCATENATE("R2C",'Mapa final'!$S$56),"")</f>
        <v/>
      </c>
      <c r="AM28" s="42" t="str">
        <f>IF(AND('Mapa final'!$AJ$57="Alta",'Mapa final'!$AL$57="Catastrófico"),CONCATENATE("R2C",'Mapa final'!$S$57),"")</f>
        <v/>
      </c>
      <c r="AN28" s="43" t="str">
        <f>IF(AND('Mapa final'!$AJ$58="Alta",'Mapa final'!$AL$58="Catastrófico"),CONCATENATE("R2C",'Mapa final'!$S$58),"")</f>
        <v/>
      </c>
      <c r="AO28" s="69"/>
      <c r="AP28" s="441"/>
      <c r="AQ28" s="442"/>
      <c r="AR28" s="442"/>
      <c r="AS28" s="442"/>
      <c r="AT28" s="442"/>
      <c r="AU28" s="443"/>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37"/>
      <c r="D29" s="337"/>
      <c r="E29" s="338"/>
      <c r="F29" s="432"/>
      <c r="G29" s="433"/>
      <c r="H29" s="433"/>
      <c r="I29" s="433"/>
      <c r="J29" s="433"/>
      <c r="K29" s="53" t="str">
        <f>IF(AND('Mapa final'!$AJ$59="Alta",'Mapa final'!$AL$59="Leve"),CONCATENATE("R2C",'Mapa final'!$S$59),"")</f>
        <v/>
      </c>
      <c r="L29" s="54" t="str">
        <f>IF(AND('Mapa final'!$AJ$60="Alta",'Mapa final'!$AL$60="Leve"),CONCATENATE("R2C",'Mapa final'!$S$60),"")</f>
        <v/>
      </c>
      <c r="M29" s="54" t="str">
        <f>IF(AND('Mapa final'!$AJ$61="Alta",'Mapa final'!$AL$61="Leve"),CONCATENATE("R2C",'Mapa final'!$S$61),"")</f>
        <v/>
      </c>
      <c r="N29" s="54" t="str">
        <f>IF(AND('Mapa final'!$AJ$62="Alta",'Mapa final'!$AL$62="Leve"),CONCATENATE("R2C",'Mapa final'!$S$62),"")</f>
        <v/>
      </c>
      <c r="O29" s="54" t="str">
        <f>IF(AND('Mapa final'!$AJ$63="Alta",'Mapa final'!$AL$63="Leve"),CONCATENATE("R2C",'Mapa final'!$S$63),"")</f>
        <v/>
      </c>
      <c r="P29" s="55" t="str">
        <f>IF(AND('Mapa final'!$AJ$64="Alta",'Mapa final'!$AL$64="Leve"),CONCATENATE("R2C",'Mapa final'!$S$64),"")</f>
        <v/>
      </c>
      <c r="Q29" s="53" t="str">
        <f>IF(AND('Mapa final'!$AJ$59="Alta",'Mapa final'!$AL$59="Menor"),CONCATENATE("R2C",'Mapa final'!$S$59),"")</f>
        <v/>
      </c>
      <c r="R29" s="54" t="str">
        <f>IF(AND('Mapa final'!$AJ$60="Alta",'Mapa final'!$AL$60="Menor"),CONCATENATE("R2C",'Mapa final'!$S$60),"")</f>
        <v/>
      </c>
      <c r="S29" s="54" t="str">
        <f>IF(AND('Mapa final'!$AJ$61="Alta",'Mapa final'!$AL$61="Menor"),CONCATENATE("R2C",'Mapa final'!$S$61),"")</f>
        <v/>
      </c>
      <c r="T29" s="54" t="str">
        <f>IF(AND('Mapa final'!$AJ$62="Alta",'Mapa final'!$AL$62="Menor"),CONCATENATE("R2C",'Mapa final'!$S$62),"")</f>
        <v/>
      </c>
      <c r="U29" s="54" t="str">
        <f>IF(AND('Mapa final'!$AJ$63="Alta",'Mapa final'!$AL$63="Menor"),CONCATENATE("R2C",'Mapa final'!$S$63),"")</f>
        <v/>
      </c>
      <c r="V29" s="55" t="str">
        <f>IF(AND('Mapa final'!$AJ$64="Alta",'Mapa final'!$AL$64="Menor"),CONCATENATE("R2C",'Mapa final'!$S$64),"")</f>
        <v/>
      </c>
      <c r="W29" s="38" t="str">
        <f>IF(AND('Mapa final'!$AJ$59="Alta",'Mapa final'!$AL$59="Moderado"),CONCATENATE("R2C",'Mapa final'!$S$59),"")</f>
        <v/>
      </c>
      <c r="X29" s="39" t="str">
        <f>IF(AND('Mapa final'!$AJ$60="Alta",'Mapa final'!$AL$60="Moderado"),CONCATENATE("R2C",'Mapa final'!$S$60),"")</f>
        <v/>
      </c>
      <c r="Y29" s="39" t="str">
        <f>IF(AND('Mapa final'!$AJ$61="Alta",'Mapa final'!$AL$61="Moderado"),CONCATENATE("R2C",'Mapa final'!$S$61),"")</f>
        <v/>
      </c>
      <c r="Z29" s="39" t="str">
        <f>IF(AND('Mapa final'!$AJ$62="Alta",'Mapa final'!$AL$62="Moderado"),CONCATENATE("R2C",'Mapa final'!$S$62),"")</f>
        <v/>
      </c>
      <c r="AA29" s="39" t="str">
        <f>IF(AND('Mapa final'!$AJ$63="Alta",'Mapa final'!$AL$63="Moderado"),CONCATENATE("R2C",'Mapa final'!$S$63),"")</f>
        <v/>
      </c>
      <c r="AB29" s="40" t="str">
        <f>IF(AND('Mapa final'!$AJ$64="Alta",'Mapa final'!$AL$64="Moderado"),CONCATENATE("R2C",'Mapa final'!$S$64),"")</f>
        <v/>
      </c>
      <c r="AC29" s="38" t="str">
        <f>IF(AND('Mapa final'!$AJ$59="Alta",'Mapa final'!$AL$59="Mayor"),CONCATENATE("R2C",'Mapa final'!$S$59),"")</f>
        <v/>
      </c>
      <c r="AD29" s="39" t="str">
        <f>IF(AND('Mapa final'!$AJ$60="Alta",'Mapa final'!$AL$60="Mayor"),CONCATENATE("R2C",'Mapa final'!$S$60),"")</f>
        <v/>
      </c>
      <c r="AE29" s="39" t="str">
        <f>IF(AND('Mapa final'!$AJ$61="Alta",'Mapa final'!$AL$61="Mayor"),CONCATENATE("R2C",'Mapa final'!$S$61),"")</f>
        <v/>
      </c>
      <c r="AF29" s="39" t="str">
        <f>IF(AND('Mapa final'!$AJ$62="Alta",'Mapa final'!$AL$62="Mayor"),CONCATENATE("R2C",'Mapa final'!$S$62),"")</f>
        <v/>
      </c>
      <c r="AG29" s="39" t="str">
        <f>IF(AND('Mapa final'!$AJ$63="Alta",'Mapa final'!$AL$63="Mayor"),CONCATENATE("R2C",'Mapa final'!$S$63),"")</f>
        <v/>
      </c>
      <c r="AH29" s="40" t="str">
        <f>IF(AND('Mapa final'!$AJ$64="Alta",'Mapa final'!$AL$64="Mayor"),CONCATENATE("R2C",'Mapa final'!$S$64),"")</f>
        <v/>
      </c>
      <c r="AI29" s="41" t="str">
        <f>IF(AND('Mapa final'!$AJ$59="Alta",'Mapa final'!$AL$59="Catastrófico"),CONCATENATE("R2C",'Mapa final'!$S$59),"")</f>
        <v/>
      </c>
      <c r="AJ29" s="42" t="str">
        <f>IF(AND('Mapa final'!$AJ$60="Alta",'Mapa final'!$AL$60="Catastrófico"),CONCATENATE("R2C",'Mapa final'!$S$60),"")</f>
        <v/>
      </c>
      <c r="AK29" s="42" t="str">
        <f>IF(AND('Mapa final'!$AJ$61="Alta",'Mapa final'!$AL$61="Catastrófico"),CONCATENATE("R2C",'Mapa final'!$S$61),"")</f>
        <v/>
      </c>
      <c r="AL29" s="42" t="str">
        <f>IF(AND('Mapa final'!$AJ$62="Alta",'Mapa final'!$AL$62="Catastrófico"),CONCATENATE("R2C",'Mapa final'!$S$62),"")</f>
        <v/>
      </c>
      <c r="AM29" s="42" t="str">
        <f>IF(AND('Mapa final'!$AJ$63="Alta",'Mapa final'!$AL$63="Catastrófico"),CONCATENATE("R2C",'Mapa final'!$S$63),"")</f>
        <v/>
      </c>
      <c r="AN29" s="43" t="str">
        <f>IF(AND('Mapa final'!$AJ$64="Alta",'Mapa final'!$AL$64="Catastrófico"),CONCATENATE("R2C",'Mapa final'!$S$64),"")</f>
        <v/>
      </c>
      <c r="AO29" s="69"/>
      <c r="AP29" s="441"/>
      <c r="AQ29" s="442"/>
      <c r="AR29" s="442"/>
      <c r="AS29" s="442"/>
      <c r="AT29" s="442"/>
      <c r="AU29" s="443"/>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37"/>
      <c r="D30" s="337"/>
      <c r="E30" s="338"/>
      <c r="F30" s="432"/>
      <c r="G30" s="433"/>
      <c r="H30" s="433"/>
      <c r="I30" s="433"/>
      <c r="J30" s="433"/>
      <c r="K30" s="53" t="str">
        <f>IF(AND('Mapa final'!$AJ$65="Alta",'Mapa final'!$AL$65="Leve"),CONCATENATE("R2C",'Mapa final'!$S$65),"")</f>
        <v/>
      </c>
      <c r="L30" s="54" t="str">
        <f>IF(AND('Mapa final'!$AJ$66="Alta",'Mapa final'!$AL$66="Leve"),CONCATENATE("R2C",'Mapa final'!$S$66),"")</f>
        <v/>
      </c>
      <c r="M30" s="54" t="str">
        <f>IF(AND('Mapa final'!$AJ$67="Alta",'Mapa final'!$AL$67="Leve"),CONCATENATE("R2C",'Mapa final'!$S$67),"")</f>
        <v/>
      </c>
      <c r="N30" s="54" t="str">
        <f>IF(AND('Mapa final'!$AJ$68="Alta",'Mapa final'!$AL$68="Leve"),CONCATENATE("R2C",'Mapa final'!$S$68),"")</f>
        <v/>
      </c>
      <c r="O30" s="54" t="str">
        <f>IF(AND('Mapa final'!$AJ$69="Alta",'Mapa final'!$AL$69="Leve"),CONCATENATE("R2C",'Mapa final'!$S$69),"")</f>
        <v/>
      </c>
      <c r="P30" s="55" t="str">
        <f>IF(AND('Mapa final'!$AJ$70="Alta",'Mapa final'!$AL$70="Leve"),CONCATENATE("R2C",'Mapa final'!$S$70),"")</f>
        <v/>
      </c>
      <c r="Q30" s="53" t="str">
        <f>IF(AND('Mapa final'!$AJ$65="Alta",'Mapa final'!$AL$65="Menor"),CONCATENATE("R2C",'Mapa final'!$S$65),"")</f>
        <v/>
      </c>
      <c r="R30" s="54" t="str">
        <f>IF(AND('Mapa final'!$AJ$66="Alta",'Mapa final'!$AL$66="Menor"),CONCATENATE("R2C",'Mapa final'!$S$66),"")</f>
        <v/>
      </c>
      <c r="S30" s="54" t="str">
        <f>IF(AND('Mapa final'!$AJ$67="Alta",'Mapa final'!$AL$67="Menor"),CONCATENATE("R2C",'Mapa final'!$S$67),"")</f>
        <v/>
      </c>
      <c r="T30" s="54" t="str">
        <f>IF(AND('Mapa final'!$AJ$68="Alta",'Mapa final'!$AL$68="Menor"),CONCATENATE("R2C",'Mapa final'!$S$68),"")</f>
        <v/>
      </c>
      <c r="U30" s="54" t="str">
        <f>IF(AND('Mapa final'!$AJ$69="Alta",'Mapa final'!$AL$69="Menor"),CONCATENATE("R2C",'Mapa final'!$S$69),"")</f>
        <v/>
      </c>
      <c r="V30" s="55" t="str">
        <f>IF(AND('Mapa final'!$AJ$70="Alta",'Mapa final'!$AL$70="Menor"),CONCATENATE("R2C",'Mapa final'!$S$70),"")</f>
        <v/>
      </c>
      <c r="W30" s="38" t="str">
        <f>IF(AND('Mapa final'!$AJ$65="Alta",'Mapa final'!$AL$65="Moderado"),CONCATENATE("R2C",'Mapa final'!$S$65),"")</f>
        <v/>
      </c>
      <c r="X30" s="39" t="str">
        <f>IF(AND('Mapa final'!$AJ$66="Alta",'Mapa final'!$AL$66="Moderado"),CONCATENATE("R2C",'Mapa final'!$S$66),"")</f>
        <v/>
      </c>
      <c r="Y30" s="39" t="str">
        <f>IF(AND('Mapa final'!$AJ$67="Alta",'Mapa final'!$AL$67="Moderado"),CONCATENATE("R2C",'Mapa final'!$S$67),"")</f>
        <v/>
      </c>
      <c r="Z30" s="39" t="str">
        <f>IF(AND('Mapa final'!$AJ$68="Alta",'Mapa final'!$AL$68="Moderado"),CONCATENATE("R2C",'Mapa final'!$S$68),"")</f>
        <v/>
      </c>
      <c r="AA30" s="39" t="str">
        <f>IF(AND('Mapa final'!$AJ$69="Alta",'Mapa final'!$AL$69="Moderado"),CONCATENATE("R2C",'Mapa final'!$S$69),"")</f>
        <v/>
      </c>
      <c r="AB30" s="40" t="str">
        <f>IF(AND('Mapa final'!$AJ$70="Alta",'Mapa final'!$AL$70="Moderado"),CONCATENATE("R2C",'Mapa final'!$S$70),"")</f>
        <v/>
      </c>
      <c r="AC30" s="38" t="str">
        <f>IF(AND('Mapa final'!$AJ$65="Alta",'Mapa final'!$AL$65="Mayor"),CONCATENATE("R2C",'Mapa final'!$S$65),"")</f>
        <v/>
      </c>
      <c r="AD30" s="39" t="str">
        <f>IF(AND('Mapa final'!$AJ$66="Alta",'Mapa final'!$AL$66="Mayor"),CONCATENATE("R2C",'Mapa final'!$S$66),"")</f>
        <v/>
      </c>
      <c r="AE30" s="39" t="str">
        <f>IF(AND('Mapa final'!$AJ$67="Alta",'Mapa final'!$AL$67="Mayor"),CONCATENATE("R2C",'Mapa final'!$S$67),"")</f>
        <v/>
      </c>
      <c r="AF30" s="39" t="str">
        <f>IF(AND('Mapa final'!$AJ$68="Alta",'Mapa final'!$AL$68="Mayor"),CONCATENATE("R2C",'Mapa final'!$S$68),"")</f>
        <v/>
      </c>
      <c r="AG30" s="39" t="str">
        <f>IF(AND('Mapa final'!$AJ$69="Alta",'Mapa final'!$AL$69="Mayor"),CONCATENATE("R2C",'Mapa final'!$S$69),"")</f>
        <v/>
      </c>
      <c r="AH30" s="40" t="str">
        <f>IF(AND('Mapa final'!$AJ$70="Alta",'Mapa final'!$AL$70="Mayor"),CONCATENATE("R2C",'Mapa final'!$S$70),"")</f>
        <v/>
      </c>
      <c r="AI30" s="41" t="str">
        <f>IF(AND('Mapa final'!$AJ$65="Alta",'Mapa final'!$AL$65="Catastrófico"),CONCATENATE("R2C",'Mapa final'!$S$65),"")</f>
        <v/>
      </c>
      <c r="AJ30" s="42" t="str">
        <f>IF(AND('Mapa final'!$AJ$66="Alta",'Mapa final'!$AL$66="Catastrófico"),CONCATENATE("R2C",'Mapa final'!$S$66),"")</f>
        <v/>
      </c>
      <c r="AK30" s="42" t="str">
        <f>IF(AND('Mapa final'!$AJ$67="Alta",'Mapa final'!$AL$67="Catastrófico"),CONCATENATE("R2C",'Mapa final'!$S$67),"")</f>
        <v/>
      </c>
      <c r="AL30" s="42" t="str">
        <f>IF(AND('Mapa final'!$AJ$68="Alta",'Mapa final'!$AL$68="Catastrófico"),CONCATENATE("R2C",'Mapa final'!$S$68),"")</f>
        <v/>
      </c>
      <c r="AM30" s="42" t="str">
        <f>IF(AND('Mapa final'!$AJ$69="Alta",'Mapa final'!$AL$69="Catastrófico"),CONCATENATE("R2C",'Mapa final'!$S$69),"")</f>
        <v/>
      </c>
      <c r="AN30" s="43" t="str">
        <f>IF(AND('Mapa final'!$AJ$70="Alta",'Mapa final'!$AL$70="Catastrófico"),CONCATENATE("R2C",'Mapa final'!$S$70),"")</f>
        <v/>
      </c>
      <c r="AO30" s="69"/>
      <c r="AP30" s="441"/>
      <c r="AQ30" s="442"/>
      <c r="AR30" s="442"/>
      <c r="AS30" s="442"/>
      <c r="AT30" s="442"/>
      <c r="AU30" s="443"/>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37"/>
      <c r="D31" s="337"/>
      <c r="E31" s="338"/>
      <c r="F31" s="435"/>
      <c r="G31" s="436"/>
      <c r="H31" s="436"/>
      <c r="I31" s="436"/>
      <c r="J31" s="436"/>
      <c r="K31" s="56" t="str">
        <f>IF(AND('Mapa final'!$AJ$71="Alta",'Mapa final'!$AL$71="Leve"),CONCATENATE("R2C",'Mapa final'!$S$71),"")</f>
        <v/>
      </c>
      <c r="L31" s="57" t="str">
        <f>IF(AND('Mapa final'!$AJ$72="Alta",'Mapa final'!$AL$72="Leve"),CONCATENATE("R2C",'Mapa final'!$S$72),"")</f>
        <v/>
      </c>
      <c r="M31" s="57" t="str">
        <f>IF(AND('Mapa final'!$AJ$73="Alta",'Mapa final'!$AL$73="Leve"),CONCATENATE("R2C",'Mapa final'!$S$73),"")</f>
        <v/>
      </c>
      <c r="N31" s="57" t="str">
        <f>IF(AND('Mapa final'!$AJ$74="Alta",'Mapa final'!$AL$74="Leve"),CONCATENATE("R2C",'Mapa final'!$S$74),"")</f>
        <v/>
      </c>
      <c r="O31" s="57" t="str">
        <f>IF(AND('Mapa final'!$AJ$76="Alta",'Mapa final'!$AL$76="Leve"),CONCATENATE("R2C",'Mapa final'!$S$76),"")</f>
        <v/>
      </c>
      <c r="P31" s="58" t="str">
        <f>IF(AND('Mapa final'!$AJ$77="Alta",'Mapa final'!$AL$77="Leve"),CONCATENATE("R2C",'Mapa final'!$S$77),"")</f>
        <v/>
      </c>
      <c r="Q31" s="56" t="str">
        <f>IF(AND('Mapa final'!$AJ$71="Alta",'Mapa final'!$AL$71="Menor"),CONCATENATE("R2C",'Mapa final'!$S$71),"")</f>
        <v/>
      </c>
      <c r="R31" s="57" t="str">
        <f>IF(AND('Mapa final'!$AJ$72="Alta",'Mapa final'!$AL$72="Menor"),CONCATENATE("R2C",'Mapa final'!$S$72),"")</f>
        <v/>
      </c>
      <c r="S31" s="57" t="str">
        <f>IF(AND('Mapa final'!$AJ$73="Alta",'Mapa final'!$AL$73="Menor"),CONCATENATE("R2C",'Mapa final'!$S$73),"")</f>
        <v/>
      </c>
      <c r="T31" s="57" t="str">
        <f>IF(AND('Mapa final'!$AJ$74="Alta",'Mapa final'!$AL$74="Menor"),CONCATENATE("R2C",'Mapa final'!$S$74),"")</f>
        <v/>
      </c>
      <c r="U31" s="57" t="str">
        <f>IF(AND('Mapa final'!$AJ$76="Alta",'Mapa final'!$AL$76="Menor"),CONCATENATE("R2C",'Mapa final'!$S$76),"")</f>
        <v/>
      </c>
      <c r="V31" s="58" t="str">
        <f>IF(AND('Mapa final'!$AJ$77="Alta",'Mapa final'!$AL$77="Menor"),CONCATENATE("R2C",'Mapa final'!$S$77),"")</f>
        <v/>
      </c>
      <c r="W31" s="44" t="str">
        <f>IF(AND('Mapa final'!$AJ$71="Alta",'Mapa final'!$AL$71="Moderado"),CONCATENATE("R2C",'Mapa final'!$S$71),"")</f>
        <v/>
      </c>
      <c r="X31" s="45" t="str">
        <f>IF(AND('Mapa final'!$AJ$72="Alta",'Mapa final'!$AL$72="Moderado"),CONCATENATE("R2C",'Mapa final'!$S$72),"")</f>
        <v/>
      </c>
      <c r="Y31" s="45" t="str">
        <f>IF(AND('Mapa final'!$AJ$73="Alta",'Mapa final'!$AL$73="Moderado"),CONCATENATE("R2C",'Mapa final'!$S$73),"")</f>
        <v/>
      </c>
      <c r="Z31" s="45" t="str">
        <f>IF(AND('Mapa final'!$AJ$74="Alta",'Mapa final'!$AL$74="Moderado"),CONCATENATE("R2C",'Mapa final'!$S$74),"")</f>
        <v/>
      </c>
      <c r="AA31" s="45" t="str">
        <f>IF(AND('Mapa final'!$AJ$76="Alta",'Mapa final'!$AL$76="Moderado"),CONCATENATE("R2C",'Mapa final'!$S$76),"")</f>
        <v/>
      </c>
      <c r="AB31" s="46" t="str">
        <f>IF(AND('Mapa final'!$AJ$77="Alta",'Mapa final'!$AL$77="Moderado"),CONCATENATE("R2C",'Mapa final'!$S$77),"")</f>
        <v/>
      </c>
      <c r="AC31" s="44" t="str">
        <f>IF(AND('Mapa final'!$AJ$71="Alta",'Mapa final'!$AL$71="Mayor"),CONCATENATE("R2C",'Mapa final'!$S$71),"")</f>
        <v/>
      </c>
      <c r="AD31" s="45" t="str">
        <f>IF(AND('Mapa final'!$AJ$72="Alta",'Mapa final'!$AL$72="Mayor"),CONCATENATE("R2C",'Mapa final'!$S$72),"")</f>
        <v/>
      </c>
      <c r="AE31" s="45" t="str">
        <f>IF(AND('Mapa final'!$AJ$73="Alta",'Mapa final'!$AL$73="Mayor"),CONCATENATE("R2C",'Mapa final'!$S$73),"")</f>
        <v/>
      </c>
      <c r="AF31" s="45" t="str">
        <f>IF(AND('Mapa final'!$AJ$74="Alta",'Mapa final'!$AL$74="Mayor"),CONCATENATE("R2C",'Mapa final'!$S$74),"")</f>
        <v/>
      </c>
      <c r="AG31" s="45" t="str">
        <f>IF(AND('Mapa final'!$AJ$76="Alta",'Mapa final'!$AL$76="Mayor"),CONCATENATE("R2C",'Mapa final'!$S$76),"")</f>
        <v/>
      </c>
      <c r="AH31" s="46" t="str">
        <f>IF(AND('Mapa final'!$AJ$77="Alta",'Mapa final'!$AL$77="Mayor"),CONCATENATE("R2C",'Mapa final'!$S$77),"")</f>
        <v/>
      </c>
      <c r="AI31" s="47" t="str">
        <f>IF(AND('Mapa final'!$AJ$71="Alta",'Mapa final'!$AL$71="Catastrófico"),CONCATENATE("R2C",'Mapa final'!$S$71),"")</f>
        <v/>
      </c>
      <c r="AJ31" s="48" t="str">
        <f>IF(AND('Mapa final'!$AJ$72="Alta",'Mapa final'!$AL$72="Catastrófico"),CONCATENATE("R2C",'Mapa final'!$S$72),"")</f>
        <v/>
      </c>
      <c r="AK31" s="48" t="str">
        <f>IF(AND('Mapa final'!$AJ$73="Alta",'Mapa final'!$AL$73="Catastrófico"),CONCATENATE("R2C",'Mapa final'!$S$73),"")</f>
        <v/>
      </c>
      <c r="AL31" s="48" t="str">
        <f>IF(AND('Mapa final'!$AJ$74="Alta",'Mapa final'!$AL$74="Catastrófico"),CONCATENATE("R2C",'Mapa final'!$S$74),"")</f>
        <v/>
      </c>
      <c r="AM31" s="48" t="str">
        <f>IF(AND('Mapa final'!$AJ$76="Alta",'Mapa final'!$AL$76="Catastrófico"),CONCATENATE("R2C",'Mapa final'!$S$76),"")</f>
        <v/>
      </c>
      <c r="AN31" s="49" t="str">
        <f>IF(AND('Mapa final'!$AJ$77="Muy Alta",'Mapa final'!$AL$77="Catastrófico"),CONCATENATE("R2C",'Mapa final'!$S$77),"")</f>
        <v/>
      </c>
      <c r="AO31" s="69"/>
      <c r="AP31" s="444"/>
      <c r="AQ31" s="445"/>
      <c r="AR31" s="445"/>
      <c r="AS31" s="445"/>
      <c r="AT31" s="445"/>
      <c r="AU31" s="446"/>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37"/>
      <c r="D32" s="337"/>
      <c r="E32" s="338"/>
      <c r="F32" s="429" t="s">
        <v>116</v>
      </c>
      <c r="G32" s="430"/>
      <c r="H32" s="430"/>
      <c r="I32" s="430"/>
      <c r="J32" s="431"/>
      <c r="K32" s="50" t="str">
        <f ca="1">IF(AND('Mapa final'!$AJ$15="Media",'Mapa final'!$AL$15="Leve"),CONCATENATE("R2C",'Mapa final'!$S$15),"")</f>
        <v/>
      </c>
      <c r="L32" s="51" t="str">
        <f>IF(AND('Mapa final'!$AJ$16="Media",'Mapa final'!$AL$16="Leve"),CONCATENATE("R2C",'Mapa final'!$S$16),"")</f>
        <v/>
      </c>
      <c r="M32" s="51" t="str">
        <f>IF(AND('Mapa final'!$AJ$17="Media",'Mapa final'!$AL$17="Leve"),CONCATENATE("R2C",'Mapa final'!$S$17),"")</f>
        <v/>
      </c>
      <c r="N32" s="51" t="str">
        <f ca="1">IF(AND('Mapa final'!$AJ$18="Media",'Mapa final'!$AL$18="Leve"),CONCATENATE("R2C",'Mapa final'!$S$18),"")</f>
        <v/>
      </c>
      <c r="O32" s="51" t="str">
        <f>IF(AND('Mapa final'!$AJ$19="Media",'Mapa final'!$AL$19="Leve"),CONCATENATE("R2C",'Mapa final'!$S$19),"")</f>
        <v/>
      </c>
      <c r="P32" s="52" t="str">
        <f ca="1">IF(AND('Mapa final'!$AJ$20="Media",'Mapa final'!$AL$20="Leve"),CONCATENATE("R2C",'Mapa final'!$S$20),"")</f>
        <v/>
      </c>
      <c r="Q32" s="50" t="str">
        <f ca="1">IF(AND('Mapa final'!$AJ$15="Media",'Mapa final'!$AL$15="Menor"),CONCATENATE("R2C",'Mapa final'!$S$15),"")</f>
        <v/>
      </c>
      <c r="R32" s="51" t="str">
        <f>IF(AND('Mapa final'!$AJ$16="Media",'Mapa final'!$AL$16="Menore"),CONCATENATE("R2C",'Mapa final'!$S$16),"")</f>
        <v/>
      </c>
      <c r="S32" s="51" t="str">
        <f>IF(AND('Mapa final'!$AJ$17="Media",'Mapa final'!$AL$17="Menor"),CONCATENATE("R2C",'Mapa final'!$S$17),"")</f>
        <v/>
      </c>
      <c r="T32" s="51" t="str">
        <f ca="1">IF(AND('Mapa final'!$AJ$18="Media",'Mapa final'!$AL$18="Menor"),CONCATENATE("R2C",'Mapa final'!$S$18),"")</f>
        <v/>
      </c>
      <c r="U32" s="51" t="str">
        <f>IF(AND('Mapa final'!$AJ$19="Media",'Mapa final'!$AL$19="Menor"),CONCATENATE("R2C",'Mapa final'!$S$19),"")</f>
        <v/>
      </c>
      <c r="V32" s="52" t="str">
        <f ca="1">IF(AND('Mapa final'!$AJ$20="Media",'Mapa final'!$AL$20="Menor"),CONCATENATE("R2C",'Mapa final'!$S$20),"")</f>
        <v/>
      </c>
      <c r="W32" s="50" t="str">
        <f ca="1">IF(AND('Mapa final'!$AJ$15="Media",'Mapa final'!$AL$15="Moderado"),CONCATENATE("R2C",'Mapa final'!$S$15),"")</f>
        <v/>
      </c>
      <c r="X32" s="51" t="str">
        <f>IF(AND('Mapa final'!$AJ$16="Media",'Mapa final'!$AL$16="Moderado"),CONCATENATE("R2C",'Mapa final'!$S$16),"")</f>
        <v/>
      </c>
      <c r="Y32" s="51"/>
      <c r="Z32" s="51" t="str">
        <f ca="1">IF(AND('Mapa final'!$AJ$18="Media",'Mapa final'!$AL$18="Moderado"),CONCATENATE("R2C",'Mapa final'!$S$18),"")</f>
        <v/>
      </c>
      <c r="AA32" s="51" t="str">
        <f>IF(AND('Mapa final'!$AJ$19="Media",'Mapa final'!$AL$19="Moderado"),CONCATENATE("R2C",'Mapa final'!$S$19),"")</f>
        <v/>
      </c>
      <c r="AB32" s="52" t="str">
        <f ca="1">IF(AND('Mapa final'!$AJ$20="Media",'Mapa final'!$AL$20="Moderado"),CONCATENATE("R2C",'Mapa final'!$S$20),"")</f>
        <v/>
      </c>
      <c r="AC32" s="32" t="str">
        <f ca="1">IF(AND('Mapa final'!$AJ$15="Media",'Mapa final'!$AL$15="Mayor"),CONCATENATE("R2C",'Mapa final'!$S$15),"")</f>
        <v/>
      </c>
      <c r="AD32" s="33" t="str">
        <f>IF(AND('Mapa final'!$AJ$16="Media",'Mapa final'!$AL$16="Mayor"),CONCATENATE("R2C",'Mapa final'!$S$16),"")</f>
        <v/>
      </c>
      <c r="AE32" s="33" t="str">
        <f>IF(AND('Mapa final'!$AJ$17="Media",'Mapa final'!$AL$17="Mayor"),CONCATENATE("R2C",'Mapa final'!$D$17),"")</f>
        <v/>
      </c>
      <c r="AF32" s="33" t="str">
        <f ca="1">IF(AND('Mapa final'!$AJ$18="Media",'Mapa final'!$AL$18="Mayor"),CONCATENATE("R2C",'Mapa final'!$S$18),"")</f>
        <v/>
      </c>
      <c r="AG32" s="33" t="str">
        <f>IF(AND('Mapa final'!$AJ$19="Media",'Mapa final'!$AL$19="Mayor"),CONCATENATE("R2C",'Mapa final'!$S$19),"")</f>
        <v/>
      </c>
      <c r="AH32" s="34" t="str">
        <f ca="1">IF(AND('Mapa final'!$AJ$20="Media",'Mapa final'!$AL$20="Mayor"),CONCATENATE("R2C",'Mapa final'!$S$20),"")</f>
        <v/>
      </c>
      <c r="AI32" s="35" t="str">
        <f ca="1">IF(AND('Mapa final'!$AJ$15="Media",'Mapa final'!$AL$15="Catastrófico"),CONCATENATE("R2C",'Mapa final'!$S$15),"")</f>
        <v/>
      </c>
      <c r="AJ32" s="36" t="str">
        <f>IF(AND('Mapa final'!$AJ$16="Media",'Mapa final'!$AL$16="Catastrófico"),CONCATENATE("R2C",'Mapa final'!$S$16),"")</f>
        <v/>
      </c>
      <c r="AK32" s="36" t="str">
        <f>IF(AND('Mapa final'!$AJ$17="Media",'Mapa final'!$AL$17="Catastrófico"),CONCATENATE("R2C",'Mapa final'!$S$17),"")</f>
        <v/>
      </c>
      <c r="AL32" s="36" t="str">
        <f ca="1">IF(AND('Mapa final'!$AJ$18="Media",'Mapa final'!$AL$18="Catastrófico"),CONCATENATE("R2C",'Mapa final'!$S$18),"")</f>
        <v/>
      </c>
      <c r="AM32" s="36" t="str">
        <f>IF(AND('Mapa final'!$AJ$19="Media",'Mapa final'!$AL$19="Catastrófico"),CONCATENATE("R2C",'Mapa final'!$S$19),"")</f>
        <v/>
      </c>
      <c r="AN32" s="37" t="str">
        <f ca="1">IF(AND('Mapa final'!$AJ$20="Media",'Mapa final'!$AL$20="Catastrófico"),CONCATENATE("R2C",'Mapa final'!$S$20),"")</f>
        <v/>
      </c>
      <c r="AO32" s="69"/>
      <c r="AP32" s="470" t="s">
        <v>80</v>
      </c>
      <c r="AQ32" s="471"/>
      <c r="AR32" s="471"/>
      <c r="AS32" s="471"/>
      <c r="AT32" s="471"/>
      <c r="AU32" s="472"/>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37"/>
      <c r="D33" s="337"/>
      <c r="E33" s="338"/>
      <c r="F33" s="447"/>
      <c r="G33" s="433"/>
      <c r="H33" s="433"/>
      <c r="I33" s="433"/>
      <c r="J33" s="434"/>
      <c r="K33" s="53" t="str">
        <f>IF(AND('Mapa final'!$AJ$23="Media",'Mapa final'!$AL$23="Leve"),CONCATENATE("R2C",'Mapa final'!$S$23),"")</f>
        <v/>
      </c>
      <c r="L33" s="54" t="str">
        <f>IF(AND('Mapa final'!$AJ$24="Media",'Mapa final'!$AL$24="Leve"),CONCATENATE("R2C",'Mapa final'!$S$24),"")</f>
        <v/>
      </c>
      <c r="M33" s="54" t="str">
        <f>IF(AND('Mapa final'!$AJ$25="Media",'Mapa final'!$AL$25="Leve"),CONCATENATE("R2C",'Mapa final'!$S$25),"")</f>
        <v/>
      </c>
      <c r="N33" s="54" t="str">
        <f>IF(AND('Mapa final'!$AJ$26="Media",'Mapa final'!$AL$26="Leve"),CONCATENATE("R2C",'Mapa final'!$S$26),"")</f>
        <v/>
      </c>
      <c r="O33" s="54" t="str">
        <f>IF(AND('Mapa final'!$AJ$27="Media",'Mapa final'!$AL$27="Leve"),CONCATENATE("R2C",'Mapa final'!$S$27),"")</f>
        <v/>
      </c>
      <c r="P33" s="55" t="str">
        <f>IF(AND('Mapa final'!$AJ$28="Media",'Mapa final'!$AL$28="Leve"),CONCATENATE("R2C",'Mapa final'!$S$28),"")</f>
        <v/>
      </c>
      <c r="Q33" s="53" t="str">
        <f>IF(AND('Mapa final'!$AJ$23="Media",'Mapa final'!$AL$23="Menor"),CONCATENATE("R2C",'Mapa final'!$S$23),"")</f>
        <v/>
      </c>
      <c r="R33" s="54" t="str">
        <f>IF(AND('Mapa final'!$AJ$24="Media",'Mapa final'!$AL$24="Menor"),CONCATENATE("R2C",'Mapa final'!$S$24),"")</f>
        <v/>
      </c>
      <c r="S33" s="54" t="str">
        <f>IF(AND('Mapa final'!$AJ$25="Media",'Mapa final'!$AL$25="Menor"),CONCATENATE("R2C",'Mapa final'!$S$25),"")</f>
        <v/>
      </c>
      <c r="T33" s="54" t="str">
        <f>IF(AND('Mapa final'!$AJ$26="Media",'Mapa final'!$AL$26="Menor"),CONCATENATE("R2C",'Mapa final'!$S$26),"")</f>
        <v/>
      </c>
      <c r="U33" s="54" t="str">
        <f>IF(AND('Mapa final'!$AJ$27="Media",'Mapa final'!$AL$27="Menor"),CONCATENATE("R2C",'Mapa final'!$S$27),"")</f>
        <v/>
      </c>
      <c r="V33" s="55" t="str">
        <f>IF(AND('Mapa final'!$AJ$28="Media",'Mapa final'!$AL$28="Menor"),CONCATENATE("R2C",'Mapa final'!$S$28),"")</f>
        <v/>
      </c>
      <c r="W33" s="53" t="str">
        <f>IF(AND('Mapa final'!$AJ$23="Media",'Mapa final'!$AL$23="Moderado"),CONCATENATE("R2C",'Mapa final'!$S$23),"")</f>
        <v/>
      </c>
      <c r="X33" s="54" t="str">
        <f>IF(AND('Mapa final'!$AJ$24="Media",'Mapa final'!$AL$24="Moderado"),CONCATENATE("R2C",'Mapa final'!$S$24),"")</f>
        <v/>
      </c>
      <c r="Y33" s="54" t="str">
        <f>IF(AND('Mapa final'!$AJ$25="Media",'Mapa final'!$AL$25="Moderado"),CONCATENATE("R2C",'Mapa final'!$S$25),"")</f>
        <v/>
      </c>
      <c r="Z33" s="54" t="str">
        <f>IF(AND('Mapa final'!$AJ$26="Media",'Mapa final'!$AL$26="Moderado"),CONCATENATE("R2C",'Mapa final'!$S$26),"")</f>
        <v/>
      </c>
      <c r="AA33" s="54" t="str">
        <f>IF(AND('Mapa final'!$AJ$27="Media",'Mapa final'!$AL$27="Moderado"),CONCATENATE("R2C",'Mapa final'!$S$27),"")</f>
        <v/>
      </c>
      <c r="AB33" s="55" t="str">
        <f>IF(AND('Mapa final'!$AJ$28="Media",'Mapa final'!$AL$28="Moderado"),CONCATENATE("R2C",'Mapa final'!$S$28),"")</f>
        <v/>
      </c>
      <c r="AC33" s="38" t="str">
        <f>IF(AND('Mapa final'!$AJ$23="Media",'Mapa final'!$AL$23="Mayor"),CONCATENATE("R2C",'Mapa final'!$S$23),"")</f>
        <v/>
      </c>
      <c r="AD33" s="39" t="str">
        <f>IF(AND('Mapa final'!$AJ$24="Muy Alta",'Mapa final'!$AL$24="Mayor"),CONCATENATE("R2C",'Mapa final'!$S$24),"")</f>
        <v/>
      </c>
      <c r="AE33" s="39" t="str">
        <f>IF(AND('Mapa final'!$AJ$25="Media",'Mapa final'!$AL$25="Mayor"),CONCATENATE("R2C",'Mapa final'!$S$25),"")</f>
        <v/>
      </c>
      <c r="AF33" s="39" t="str">
        <f>IF(AND('Mapa final'!$AJ$26="Media",'Mapa final'!$AL$26="Mayor"),CONCATENATE("R2C",'Mapa final'!$S$26),"")</f>
        <v/>
      </c>
      <c r="AG33" s="39" t="str">
        <f>IF(AND('Mapa final'!$AJ$27="Media",'Mapa final'!$AL$27="Mayor"),CONCATENATE("R2C",'Mapa final'!$S$27),"")</f>
        <v/>
      </c>
      <c r="AH33" s="40" t="str">
        <f>IF(AND('Mapa final'!$AJ$28="Media",'Mapa final'!$AL$28="Mayor"),CONCATENATE("R2C",'Mapa final'!$S$28),"")</f>
        <v/>
      </c>
      <c r="AI33" s="41" t="str">
        <f>IF(AND('Mapa final'!$AJ$23="Media",'Mapa final'!$AL$23="Catastrófico"),CONCATENATE("R2C",'Mapa final'!$S$23),"")</f>
        <v/>
      </c>
      <c r="AJ33" s="42" t="str">
        <f>IF(AND('Mapa final'!$AJ$24="Media",'Mapa final'!$AL$24="Catastrófico"),CONCATENATE("R2C",'Mapa final'!$S$24),"")</f>
        <v/>
      </c>
      <c r="AK33" s="42" t="str">
        <f>IF(AND('Mapa final'!$AJ$25="Media",'Mapa final'!$AL$25="Catastrófico"),CONCATENATE("R2C",'Mapa final'!$S$25),"")</f>
        <v/>
      </c>
      <c r="AL33" s="42" t="str">
        <f>IF(AND('Mapa final'!$AJ$26="Media",'Mapa final'!$AL$26="Catastrófico"),CONCATENATE("R2C",'Mapa final'!$S$26),"")</f>
        <v/>
      </c>
      <c r="AM33" s="42" t="str">
        <f>IF(AND('Mapa final'!$AJ$27="Media",'Mapa final'!$AL$27="Catastrófico"),CONCATENATE("R2C",'Mapa final'!$S$27),"")</f>
        <v/>
      </c>
      <c r="AN33" s="43" t="str">
        <f>IF(AND('Mapa final'!$AJ$28="Media",'Mapa final'!$AL$28="Catastrófico"),CONCATENATE("R2C",'Mapa final'!$S$28),"")</f>
        <v/>
      </c>
      <c r="AO33" s="69"/>
      <c r="AP33" s="473"/>
      <c r="AQ33" s="474"/>
      <c r="AR33" s="474"/>
      <c r="AS33" s="474"/>
      <c r="AT33" s="474"/>
      <c r="AU33" s="475"/>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37"/>
      <c r="D34" s="337"/>
      <c r="E34" s="338"/>
      <c r="F34" s="432"/>
      <c r="G34" s="433"/>
      <c r="H34" s="433"/>
      <c r="I34" s="433"/>
      <c r="J34" s="434"/>
      <c r="K34" s="53" t="str">
        <f>IF(AND('Mapa final'!$AJ$29="Media",'Mapa final'!$AL$29="Leve"),CONCATENATE("R2C",'Mapa final'!$S$29),"")</f>
        <v/>
      </c>
      <c r="L34" s="54" t="str">
        <f>IF(AND('Mapa final'!$AJ$30="Media",'Mapa final'!$AL$30="Leve"),CONCATENATE("R2C",'Mapa final'!$S$30),"")</f>
        <v/>
      </c>
      <c r="M34" s="54" t="str">
        <f>IF(AND('Mapa final'!$AJ$31="Media",'Mapa final'!$AL$31="Leve"),CONCATENATE("R2C",'Mapa final'!$S$31),"")</f>
        <v/>
      </c>
      <c r="N34" s="54" t="str">
        <f>IF(AND('Mapa final'!$AJ$32="Media",'Mapa final'!$AL$32="Leve"),CONCATENATE("R2C",'Mapa final'!$S$32),"")</f>
        <v/>
      </c>
      <c r="O34" s="54" t="str">
        <f>IF(AND('Mapa final'!$AJ$33="Media",'Mapa final'!$AL$33="Leve"),CONCATENATE("R2C",'Mapa final'!$S$33),"")</f>
        <v/>
      </c>
      <c r="P34" s="55" t="str">
        <f>IF(AND('Mapa final'!$AJ$34="Media",'Mapa final'!$AL$34="Leve"),CONCATENATE("R2C",'Mapa final'!$S$34),"")</f>
        <v/>
      </c>
      <c r="Q34" s="53" t="str">
        <f>IF(AND('Mapa final'!$AJ$29="Media",'Mapa final'!$AL$29="Menor"),CONCATENATE("R2C",'Mapa final'!$S$29),"")</f>
        <v/>
      </c>
      <c r="R34" s="54" t="str">
        <f>IF(AND('Mapa final'!$AJ$30="Media",'Mapa final'!$AL$30="Menor"),CONCATENATE("R2C",'Mapa final'!$S$30),"")</f>
        <v/>
      </c>
      <c r="S34" s="54" t="str">
        <f>IF(AND('Mapa final'!$AJ$31="Media",'Mapa final'!$AL$31="Menor"),CONCATENATE("R2C",'Mapa final'!$S$31),"")</f>
        <v/>
      </c>
      <c r="T34" s="54" t="str">
        <f>IF(AND('Mapa final'!$AJ$32="Media",'Mapa final'!$AL$32="Menor"),CONCATENATE("R2C",'Mapa final'!$S$32),"")</f>
        <v/>
      </c>
      <c r="U34" s="54" t="str">
        <f>IF(AND('Mapa final'!$AJ$33="Media",'Mapa final'!$AL$33="Menor"),CONCATENATE("R2C",'Mapa final'!$S$33),"")</f>
        <v/>
      </c>
      <c r="V34" s="55" t="str">
        <f>IF(AND('Mapa final'!$AJ$34="Media",'Mapa final'!$AL$34="Menor"),CONCATENATE("R2C",'Mapa final'!$S$34),"")</f>
        <v/>
      </c>
      <c r="W34" s="53" t="str">
        <f>IF(AND('Mapa final'!$AJ$29="Media",'Mapa final'!$AL$29="Moderado"),CONCATENATE("R2C",'Mapa final'!$S$29),"")</f>
        <v/>
      </c>
      <c r="X34" s="54" t="str">
        <f>IF(AND('Mapa final'!$AJ$30="Media",'Mapa final'!$AL$30="Moderado"),CONCATENATE("R2C",'Mapa final'!$S$30),"")</f>
        <v/>
      </c>
      <c r="Y34" s="54" t="str">
        <f>IF(AND('Mapa final'!$AJ$31="Media",'Mapa final'!$AL$31="Moderado"),CONCATENATE("R2C",'Mapa final'!$S$31),"")</f>
        <v/>
      </c>
      <c r="Z34" s="54" t="str">
        <f>IF(AND('Mapa final'!$AJ$32="Media",'Mapa final'!$AL$32="Moderado"),CONCATENATE("R2C",'Mapa final'!$S$32),"")</f>
        <v/>
      </c>
      <c r="AA34" s="54" t="str">
        <f>IF(AND('Mapa final'!$AJ$33="Media",'Mapa final'!$AL$33="Moderado"),CONCATENATE("R2C",'Mapa final'!$S$33),"")</f>
        <v/>
      </c>
      <c r="AB34" s="55" t="str">
        <f>IF(AND('Mapa final'!$AJ$34="Media",'Mapa final'!$AL$34="Moderado"),CONCATENATE("R2C",'Mapa final'!$S$34),"")</f>
        <v/>
      </c>
      <c r="AC34" s="38" t="str">
        <f>IF(AND('Mapa final'!$AJ$29="Media",'Mapa final'!$AL$29="Mayor"),CONCATENATE("R2C",'Mapa final'!$S$29),"")</f>
        <v/>
      </c>
      <c r="AD34" s="39" t="str">
        <f>IF(AND('Mapa final'!$AJ$30="Media",'Mapa final'!$AL$30="Mayor"),CONCATENATE("R2C",'Mapa final'!$S$30),"")</f>
        <v/>
      </c>
      <c r="AE34" s="39" t="str">
        <f>IF(AND('Mapa final'!$AJ$31="Media",'Mapa final'!$AL$31="Mayor"),CONCATENATE("R2C",'Mapa final'!$S$31),"")</f>
        <v/>
      </c>
      <c r="AF34" s="39" t="str">
        <f>IF(AND('Mapa final'!$AJ$32="Media",'Mapa final'!$AL$32="Mayor"),CONCATENATE("R2C",'Mapa final'!$S$32),"")</f>
        <v/>
      </c>
      <c r="AG34" s="39" t="str">
        <f>IF(AND('Mapa final'!$AJ$33="Media",'Mapa final'!$AL$33="Mayor"),CONCATENATE("R2C",'Mapa final'!$S$33),"")</f>
        <v/>
      </c>
      <c r="AH34" s="40" t="str">
        <f>IF(AND('Mapa final'!$AJ$34="Media",'Mapa final'!$AL$34="Mayor"),CONCATENATE("R2C",'Mapa final'!$S$34),"")</f>
        <v/>
      </c>
      <c r="AI34" s="41" t="str">
        <f>IF(AND('Mapa final'!$AJ$29="Media",'Mapa final'!$AL$29="Catastrófico"),CONCATENATE("R2C",'Mapa final'!$S$29),"")</f>
        <v/>
      </c>
      <c r="AJ34" s="42" t="str">
        <f>IF(AND('Mapa final'!$AJ$30="Media",'Mapa final'!$AL$30="Catastrófico"),CONCATENATE("R2C",'Mapa final'!$S$30),"")</f>
        <v/>
      </c>
      <c r="AK34" s="42" t="str">
        <f>IF(AND('Mapa final'!$AJ$31="Media",'Mapa final'!$AL$31="Catastrófico"),CONCATENATE("R2C",'Mapa final'!$S$31),"")</f>
        <v/>
      </c>
      <c r="AL34" s="42" t="str">
        <f>IF(AND('Mapa final'!$AJ$32="Media",'Mapa final'!$AL$32="Catastrófico"),CONCATENATE("R2C",'Mapa final'!$S$32),"")</f>
        <v/>
      </c>
      <c r="AM34" s="42" t="str">
        <f>IF(AND('Mapa final'!$AJ$33="Media",'Mapa final'!$AL$33="Catastrófico"),CONCATENATE("R2C",'Mapa final'!$S$33),"")</f>
        <v/>
      </c>
      <c r="AN34" s="43" t="str">
        <f>IF(AND('Mapa final'!$AJ$34="Media",'Mapa final'!$AL$34="Catastrófico"),CONCATENATE("R2C",'Mapa final'!$S$34),"")</f>
        <v/>
      </c>
      <c r="AO34" s="69"/>
      <c r="AP34" s="473"/>
      <c r="AQ34" s="474"/>
      <c r="AR34" s="474"/>
      <c r="AS34" s="474"/>
      <c r="AT34" s="474"/>
      <c r="AU34" s="475"/>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37"/>
      <c r="D35" s="337"/>
      <c r="E35" s="338"/>
      <c r="F35" s="432"/>
      <c r="G35" s="433"/>
      <c r="H35" s="433"/>
      <c r="I35" s="433"/>
      <c r="J35" s="434"/>
      <c r="K35" s="53" t="str">
        <f>IF(AND('Mapa final'!$AJ$35="Media",'Mapa final'!$AL$35="Leve"),CONCATENATE("R2C",'Mapa final'!$S$35),"")</f>
        <v/>
      </c>
      <c r="L35" s="54" t="str">
        <f>IF(AND('Mapa final'!$AJ$36="Media",'Mapa final'!$AL$36="Leve"),CONCATENATE("R2C",'Mapa final'!$S$36),"")</f>
        <v/>
      </c>
      <c r="M35" s="54" t="str">
        <f>IF(AND('Mapa final'!$AJ$37="Media",'Mapa final'!$AL$37="Leve"),CONCATENATE("R2C",'Mapa final'!$S$37),"")</f>
        <v/>
      </c>
      <c r="N35" s="54" t="str">
        <f>IF(AND('Mapa final'!$AJ$38="Media",'Mapa final'!$AL$38="Leve"),CONCATENATE("R2C",'Mapa final'!$S$38),"")</f>
        <v/>
      </c>
      <c r="O35" s="54" t="str">
        <f>IF(AND('Mapa final'!$AJ$39="Media",'Mapa final'!$AL$39="Leve"),CONCATENATE("R2C",'Mapa final'!$S$39),"")</f>
        <v/>
      </c>
      <c r="P35" s="55" t="str">
        <f>IF(AND('Mapa final'!$AJ$40="Media",'Mapa final'!$AL$40="Leve"),CONCATENATE("R2C",'Mapa final'!$S$40),"")</f>
        <v/>
      </c>
      <c r="Q35" s="53" t="str">
        <f>IF(AND('Mapa final'!$AJ$35="Media",'Mapa final'!$AL$35="Menor"),CONCATENATE("R2C",'Mapa final'!$S$35),"")</f>
        <v/>
      </c>
      <c r="R35" s="54" t="str">
        <f>IF(AND('Mapa final'!$AJ$36="Media",'Mapa final'!$AL$36="Menor"),CONCATENATE("R2C",'Mapa final'!$S$36),"")</f>
        <v/>
      </c>
      <c r="S35" s="54" t="str">
        <f>IF(AND('Mapa final'!$AJ$37="Media",'Mapa final'!$AL$37="Menor"),CONCATENATE("R2C",'Mapa final'!$S$37),"")</f>
        <v/>
      </c>
      <c r="T35" s="54" t="str">
        <f>IF(AND('Mapa final'!$AJ$38="Media",'Mapa final'!$AL$38="Menor"),CONCATENATE("R2C",'Mapa final'!$S$38),"")</f>
        <v/>
      </c>
      <c r="U35" s="54" t="str">
        <f>IF(AND('Mapa final'!$AJ$39="Media",'Mapa final'!$AL$39="LMenor"),CONCATENATE("R2C",'Mapa final'!$S$39),"")</f>
        <v/>
      </c>
      <c r="V35" s="55" t="str">
        <f>IF(AND('Mapa final'!$AJ$40="Media",'Mapa final'!$AL$40="Menor"),CONCATENATE("R2C",'Mapa final'!$S$40),"")</f>
        <v/>
      </c>
      <c r="W35" s="53" t="str">
        <f>IF(AND('Mapa final'!$AJ$35="Media",'Mapa final'!$AL$35="Moderado"),CONCATENATE("R2C",'Mapa final'!$S$35),"")</f>
        <v/>
      </c>
      <c r="X35" s="54" t="str">
        <f>IF(AND('Mapa final'!$AJ$36="Media",'Mapa final'!$AL$36="Moderado"),CONCATENATE("R2C",'Mapa final'!$S$36),"")</f>
        <v/>
      </c>
      <c r="Y35" s="54" t="str">
        <f>IF(AND('Mapa final'!$AJ$37="Media",'Mapa final'!$AL$37="Moderado"),CONCATENATE("R2C",'Mapa final'!$S$37),"")</f>
        <v/>
      </c>
      <c r="Z35" s="54" t="str">
        <f>IF(AND('Mapa final'!$AJ$38="Media",'Mapa final'!$AL$38="Moderado"),CONCATENATE("R2C",'Mapa final'!$S$38),"")</f>
        <v/>
      </c>
      <c r="AA35" s="54" t="str">
        <f>IF(AND('Mapa final'!$AJ$39="Media",'Mapa final'!$AL$39="Moderado"),CONCATENATE("R2C",'Mapa final'!$S$39),"")</f>
        <v/>
      </c>
      <c r="AB35" s="55" t="str">
        <f>IF(AND('Mapa final'!$AJ$40="Media",'Mapa final'!$AL$40="Moderado"),CONCATENATE("R2C",'Mapa final'!$S$40),"")</f>
        <v/>
      </c>
      <c r="AC35" s="38" t="str">
        <f>IF(AND('Mapa final'!$AJ$35="Media",'Mapa final'!$AL$35="Mayor"),CONCATENATE("R2C",'Mapa final'!$S$35),"")</f>
        <v/>
      </c>
      <c r="AD35" s="39" t="str">
        <f>IF(AND('Mapa final'!$AJ$36="Media",'Mapa final'!$AL$36="Mayor"),CONCATENATE("R2C",'Mapa final'!$S$36),"")</f>
        <v/>
      </c>
      <c r="AE35" s="39" t="str">
        <f>IF(AND('Mapa final'!$AJ$37="Media",'Mapa final'!$AL$37="Mayor"),CONCATENATE("R2C",'Mapa final'!$S$37),"")</f>
        <v/>
      </c>
      <c r="AF35" s="39" t="str">
        <f>IF(AND('Mapa final'!$AJ$38="Media",'Mapa final'!$AL$38="Mayor"),CONCATENATE("R2C",'Mapa final'!$S$38),"")</f>
        <v/>
      </c>
      <c r="AG35" s="39" t="str">
        <f>IF(AND('Mapa final'!$AJ$39="Media",'Mapa final'!$AL$39="Mayor"),CONCATENATE("R2C",'Mapa final'!$S$39),"")</f>
        <v/>
      </c>
      <c r="AH35" s="40" t="str">
        <f>IF(AND('Mapa final'!$AJ$40="Media",'Mapa final'!$AL$40="Mayor"),CONCATENATE("R2C",'Mapa final'!$S$40),"")</f>
        <v/>
      </c>
      <c r="AI35" s="41" t="str">
        <f>IF(AND('Mapa final'!$AJ$35="Media",'Mapa final'!$AL$35="Catastrófico"),CONCATENATE("R2C",'Mapa final'!$S$35),"")</f>
        <v/>
      </c>
      <c r="AJ35" s="42" t="str">
        <f>IF(AND('Mapa final'!$AJ$36="Media",'Mapa final'!$AL$36="Catastrófico"),CONCATENATE("R2C",'Mapa final'!$S$36),"")</f>
        <v/>
      </c>
      <c r="AK35" s="42" t="str">
        <f>IF(AND('Mapa final'!$AJ$37="Media",'Mapa final'!$AL$37="Catastrófico"),CONCATENATE("R2C",'Mapa final'!$S$37),"")</f>
        <v/>
      </c>
      <c r="AL35" s="42" t="str">
        <f>IF(AND('Mapa final'!$AJ$38="Media",'Mapa final'!$AL$38="Catastrófico"),CONCATENATE("R2C",'Mapa final'!$S$38),"")</f>
        <v/>
      </c>
      <c r="AM35" s="42" t="str">
        <f>IF(AND('Mapa final'!$AJ$39="Media",'Mapa final'!$AL$39="LCatastrófico"),CONCATENATE("R2C",'Mapa final'!$S$39),"")</f>
        <v/>
      </c>
      <c r="AN35" s="43" t="str">
        <f>IF(AND('Mapa final'!$AJ$40="Media",'Mapa final'!$AL$40="Catastrófico"),CONCATENATE("R2C",'Mapa final'!$S$40),"")</f>
        <v/>
      </c>
      <c r="AO35" s="69"/>
      <c r="AP35" s="473"/>
      <c r="AQ35" s="474"/>
      <c r="AR35" s="474"/>
      <c r="AS35" s="474"/>
      <c r="AT35" s="474"/>
      <c r="AU35" s="475"/>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37"/>
      <c r="D36" s="337"/>
      <c r="E36" s="338"/>
      <c r="F36" s="432"/>
      <c r="G36" s="433"/>
      <c r="H36" s="433"/>
      <c r="I36" s="433"/>
      <c r="J36" s="434"/>
      <c r="K36" s="53" t="str">
        <f>IF(AND('Mapa final'!$AJ$41="Media",'Mapa final'!$AL$41="Leve"),CONCATENATE("R2C",'Mapa final'!$S$41),"")</f>
        <v/>
      </c>
      <c r="L36" s="54" t="str">
        <f>IF(AND('Mapa final'!$AJ$42="Media",'Mapa final'!$AL$42="Leve"),CONCATENATE("R2C",'Mapa final'!$S$42),"")</f>
        <v/>
      </c>
      <c r="M36" s="54" t="str">
        <f>IF(AND('Mapa final'!$AJ$43="Media",'Mapa final'!$AL$43="Leve"),CONCATENATE("R2C",'Mapa final'!$S$43),"")</f>
        <v/>
      </c>
      <c r="N36" s="54" t="str">
        <f>IF(AND('Mapa final'!$AJ$44="Media",'Mapa final'!$AL$44="Leve"),CONCATENATE("R2C",'Mapa final'!$S$44),"")</f>
        <v/>
      </c>
      <c r="O36" s="54" t="str">
        <f>IF(AND('Mapa final'!$AJ$45="Media",'Mapa final'!$AL$45="Leve"),CONCATENATE("R2C",'Mapa final'!$S$45),"")</f>
        <v/>
      </c>
      <c r="P36" s="55" t="str">
        <f>IF(AND('Mapa final'!$AJ$46="Media",'Mapa final'!$AL$46="Leve"),CONCATENATE("R2C",'Mapa final'!$S$46),"")</f>
        <v/>
      </c>
      <c r="Q36" s="53" t="str">
        <f>IF(AND('Mapa final'!$AJ$41="Media",'Mapa final'!$AL$41="Menor"),CONCATENATE("R2C",'Mapa final'!$S$41),"")</f>
        <v/>
      </c>
      <c r="R36" s="54" t="str">
        <f>IF(AND('Mapa final'!$AJ$42="Media",'Mapa final'!$AL$42="Menor"),CONCATENATE("R2C",'Mapa final'!$S$42),"")</f>
        <v/>
      </c>
      <c r="S36" s="54" t="str">
        <f>IF(AND('Mapa final'!$AJ$43="Media",'Mapa final'!$AL$43="Menor"),CONCATENATE("R2C",'Mapa final'!$S$43),"")</f>
        <v/>
      </c>
      <c r="T36" s="54" t="str">
        <f>IF(AND('Mapa final'!$AJ$44="Media",'Mapa final'!$AL$44="Menor"),CONCATENATE("R2C",'Mapa final'!$S$44),"")</f>
        <v/>
      </c>
      <c r="U36" s="54" t="str">
        <f>IF(AND('Mapa final'!$AJ$45="Media",'Mapa final'!$AL$45="Menor"),CONCATENATE("R2C",'Mapa final'!$S$45),"")</f>
        <v/>
      </c>
      <c r="V36" s="55" t="str">
        <f>IF(AND('Mapa final'!$AJ$46="Media",'Mapa final'!$AL$46="Menor"),CONCATENATE("R2C",'Mapa final'!$S$46),"")</f>
        <v/>
      </c>
      <c r="W36" s="53" t="str">
        <f>IF(AND('Mapa final'!$AJ$41="Media",'Mapa final'!$AL$41="Moderado"),CONCATENATE("R2C",'Mapa final'!$S$41),"")</f>
        <v/>
      </c>
      <c r="X36" s="54" t="str">
        <f>IF(AND('Mapa final'!$AJ$42="Media",'Mapa final'!$AL$42="Moderado"),CONCATENATE("R2C",'Mapa final'!$S$42),"")</f>
        <v/>
      </c>
      <c r="Y36" s="54" t="str">
        <f>IF(AND('Mapa final'!$AJ$43="Media",'Mapa final'!$AL$43="Moderado"),CONCATENATE("R2C",'Mapa final'!$S$43),"")</f>
        <v/>
      </c>
      <c r="Z36" s="54" t="str">
        <f>IF(AND('Mapa final'!$AJ$44="Media",'Mapa final'!$AL$44="Moderado"),CONCATENATE("R2C",'Mapa final'!$S$44),"")</f>
        <v/>
      </c>
      <c r="AA36" s="54" t="str">
        <f>IF(AND('Mapa final'!$AJ$45="Media",'Mapa final'!$AL$45="Moderado"),CONCATENATE("R2C",'Mapa final'!$S$45),"")</f>
        <v/>
      </c>
      <c r="AB36" s="55" t="str">
        <f>IF(AND('Mapa final'!$AJ$46="Media",'Mapa final'!$AL$46="Moderado"),CONCATENATE("R2C",'Mapa final'!$S$46),"")</f>
        <v/>
      </c>
      <c r="AC36" s="38" t="str">
        <f>IF(AND('Mapa final'!$AJ$41="Media",'Mapa final'!$AL$41="Mayor"),CONCATENATE("R2C",'Mapa final'!$S$41),"")</f>
        <v/>
      </c>
      <c r="AD36" s="39" t="str">
        <f>IF(AND('Mapa final'!$AJ$42="Media",'Mapa final'!$AL$42="Mayor"),CONCATENATE("R2C",'Mapa final'!$S$42),"")</f>
        <v/>
      </c>
      <c r="AE36" s="39" t="str">
        <f>IF(AND('Mapa final'!$AJ$43="Media",'Mapa final'!$AL$43="Mayor"),CONCATENATE("R2C",'Mapa final'!$S$43),"")</f>
        <v/>
      </c>
      <c r="AF36" s="39" t="str">
        <f>IF(AND('Mapa final'!$AJ$44="Media",'Mapa final'!$AL$44="Mayor"),CONCATENATE("R2C",'Mapa final'!$S$44),"")</f>
        <v/>
      </c>
      <c r="AG36" s="39" t="str">
        <f>IF(AND('Mapa final'!$AJ$45="Media",'Mapa final'!$AL$45="Mayor"),CONCATENATE("R2C",'Mapa final'!$S$45),"")</f>
        <v/>
      </c>
      <c r="AH36" s="40" t="str">
        <f>IF(AND('Mapa final'!$AJ$46="Media",'Mapa final'!$AL$46="Mayor"),CONCATENATE("R2C",'Mapa final'!$S$46),"")</f>
        <v/>
      </c>
      <c r="AI36" s="41" t="str">
        <f>IF(AND('Mapa final'!$AJ$41="Media",'Mapa final'!$AL$41="Catastrófico"),CONCATENATE("R2C",'Mapa final'!$S$41),"")</f>
        <v/>
      </c>
      <c r="AJ36" s="42" t="str">
        <f>IF(AND('Mapa final'!$AJ$42="Media",'Mapa final'!$AL$42="Catastrófico"),CONCATENATE("R2C",'Mapa final'!$S$42),"")</f>
        <v/>
      </c>
      <c r="AK36" s="42" t="str">
        <f>IF(AND('Mapa final'!$AJ$43="Media",'Mapa final'!$AL$43="Catastrófico"),CONCATENATE("R2C",'Mapa final'!$S$43),"")</f>
        <v/>
      </c>
      <c r="AL36" s="42" t="str">
        <f>IF(AND('Mapa final'!$AJ$44="Media",'Mapa final'!$AL$44="Catastrófico"),CONCATENATE("R2C",'Mapa final'!$S$44),"")</f>
        <v/>
      </c>
      <c r="AM36" s="42" t="str">
        <f>IF(AND('Mapa final'!$AJ$45="Media",'Mapa final'!$AL$45="Catastrófico"),CONCATENATE("R2C",'Mapa final'!$S$45),"")</f>
        <v/>
      </c>
      <c r="AN36" s="43" t="str">
        <f>IF(AND('Mapa final'!$AJ$46="Media",'Mapa final'!$AL$46="Catastrófico"),CONCATENATE("R2C",'Mapa final'!$S$46),"")</f>
        <v/>
      </c>
      <c r="AO36" s="69"/>
      <c r="AP36" s="473"/>
      <c r="AQ36" s="474"/>
      <c r="AR36" s="474"/>
      <c r="AS36" s="474"/>
      <c r="AT36" s="474"/>
      <c r="AU36" s="475"/>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37"/>
      <c r="D37" s="337"/>
      <c r="E37" s="338"/>
      <c r="F37" s="432"/>
      <c r="G37" s="433"/>
      <c r="H37" s="433"/>
      <c r="I37" s="433"/>
      <c r="J37" s="434"/>
      <c r="K37" s="53" t="str">
        <f>IF(AND('Mapa final'!$AJ$47="Media",'Mapa final'!$AL$47="Leve"),CONCATENATE("R2C",'Mapa final'!$S$47),"")</f>
        <v/>
      </c>
      <c r="L37" s="54" t="str">
        <f>IF(AND('Mapa final'!$AJ$48="Media",'Mapa final'!$AL$48="Leve"),CONCATENATE("R2C",'Mapa final'!$S$48),"")</f>
        <v/>
      </c>
      <c r="M37" s="54" t="str">
        <f>IF(AND('Mapa final'!$AJ$49="Media",'Mapa final'!$AL$49="Leve"),CONCATENATE("R2C",'Mapa final'!$S$49),"")</f>
        <v/>
      </c>
      <c r="N37" s="54" t="str">
        <f>IF(AND('Mapa final'!$AJ$50="Media",'Mapa final'!$AL$50="Leve"),CONCATENATE("R2C",'Mapa final'!$S$50),"")</f>
        <v/>
      </c>
      <c r="O37" s="54" t="str">
        <f>IF(AND('Mapa final'!$AJ$51="Media",'Mapa final'!$AL$51="Leve"),CONCATENATE("R2C",'Mapa final'!$S$51),"")</f>
        <v/>
      </c>
      <c r="P37" s="55" t="str">
        <f>IF(AND('Mapa final'!$AJ$62="Media",'Mapa final'!$AL$52="Leve"),CONCATENATE("R2C",'Mapa final'!$S$52),"")</f>
        <v/>
      </c>
      <c r="Q37" s="53" t="str">
        <f>IF(AND('Mapa final'!$AJ$47="Media",'Mapa final'!$AL$47="Menor"),CONCATENATE("R2C",'Mapa final'!$S$47),"")</f>
        <v/>
      </c>
      <c r="R37" s="54" t="str">
        <f>IF(AND('Mapa final'!$AJ$48="Media",'Mapa final'!$AL$48="Menor"),CONCATENATE("R2C",'Mapa final'!$S$48),"")</f>
        <v/>
      </c>
      <c r="S37" s="54" t="str">
        <f>IF(AND('Mapa final'!$AJ$49="Media",'Mapa final'!$AL$49="Menor"),CONCATENATE("R2C",'Mapa final'!$S$49),"")</f>
        <v/>
      </c>
      <c r="T37" s="54" t="str">
        <f>IF(AND('Mapa final'!$AJ$50="Media",'Mapa final'!$AL$50="Menor"),CONCATENATE("R2C",'Mapa final'!$S$50),"")</f>
        <v/>
      </c>
      <c r="U37" s="54" t="str">
        <f>IF(AND('Mapa final'!$AJ$51="Media",'Mapa final'!$AL$51="Menor"),CONCATENATE("R2C",'Mapa final'!$S$51),"")</f>
        <v/>
      </c>
      <c r="V37" s="55" t="str">
        <f>IF(AND('Mapa final'!$AJ$62="Media",'Mapa final'!$AL$52="Menor"),CONCATENATE("R2C",'Mapa final'!$S$52),"")</f>
        <v/>
      </c>
      <c r="W37" s="53" t="str">
        <f>IF(AND('Mapa final'!$AJ$47="Media",'Mapa final'!$AL$47="Moderado"),CONCATENATE("R2C",'Mapa final'!$S$47),"")</f>
        <v/>
      </c>
      <c r="X37" s="54" t="str">
        <f>IF(AND('Mapa final'!$AJ$48="Media",'Mapa final'!$AL$48="Moderado"),CONCATENATE("R2C",'Mapa final'!$S$48),"")</f>
        <v/>
      </c>
      <c r="Y37" s="54" t="str">
        <f>IF(AND('Mapa final'!$AJ$49="Media",'Mapa final'!$AL$49="Moderado"),CONCATENATE("R2C",'Mapa final'!$S$49),"")</f>
        <v/>
      </c>
      <c r="Z37" s="54" t="str">
        <f>IF(AND('Mapa final'!$AJ$50="Media",'Mapa final'!$AL$50="Moderado"),CONCATENATE("R2C",'Mapa final'!$S$50),"")</f>
        <v/>
      </c>
      <c r="AA37" s="54" t="str">
        <f>IF(AND('Mapa final'!$AJ$51="Media",'Mapa final'!$AL$51="Moderado"),CONCATENATE("R2C",'Mapa final'!$S$51),"")</f>
        <v/>
      </c>
      <c r="AB37" s="55" t="str">
        <f>IF(AND('Mapa final'!$AJ$62="Media",'Mapa final'!$AL$52="Moderado"),CONCATENATE("R2C",'Mapa final'!$S$52),"")</f>
        <v/>
      </c>
      <c r="AC37" s="38" t="str">
        <f>IF(AND('Mapa final'!$AJ$47="Media",'Mapa final'!$AL$47="Mayor"),CONCATENATE("R2C",'Mapa final'!$S$47),"")</f>
        <v/>
      </c>
      <c r="AD37" s="39" t="str">
        <f>IF(AND('Mapa final'!$AJ$48="Media",'Mapa final'!$AL$48="Mayor"),CONCATENATE("R2C",'Mapa final'!$S$48),"")</f>
        <v/>
      </c>
      <c r="AE37" s="39" t="str">
        <f>IF(AND('Mapa final'!$AJ$49="Media",'Mapa final'!$AL$49="Mayor"),CONCATENATE("R2C",'Mapa final'!$S$49),"")</f>
        <v/>
      </c>
      <c r="AF37" s="39" t="str">
        <f>IF(AND('Mapa final'!$AJ$50="Media",'Mapa final'!$AL$50="Mayor"),CONCATENATE("R2C",'Mapa final'!$S$50),"")</f>
        <v/>
      </c>
      <c r="AG37" s="39" t="str">
        <f>IF(AND('Mapa final'!$AJ$51="Media",'Mapa final'!$AL$51="Mayor"),CONCATENATE("R2C",'Mapa final'!$S$51),"")</f>
        <v/>
      </c>
      <c r="AH37" s="40" t="str">
        <f>IF(AND('Mapa final'!$AJ$62="Media",'Mapa final'!$AL$52="Mayor"),CONCATENATE("R2C",'Mapa final'!$S$52),"")</f>
        <v/>
      </c>
      <c r="AI37" s="41" t="str">
        <f>IF(AND('Mapa final'!$AJ$47="Media",'Mapa final'!$AL$47="Catastrófico"),CONCATENATE("R2C",'Mapa final'!$S$47),"")</f>
        <v/>
      </c>
      <c r="AJ37" s="42" t="str">
        <f>IF(AND('Mapa final'!$AJ$48="Media",'Mapa final'!$AL$48="Catastrófico"),CONCATENATE("R2C",'Mapa final'!$S$48),"")</f>
        <v/>
      </c>
      <c r="AK37" s="42" t="str">
        <f>IF(AND('Mapa final'!$AJ$49="Media",'Mapa final'!$AL$49="Catastrófico"),CONCATENATE("R2C",'Mapa final'!$S$49),"")</f>
        <v/>
      </c>
      <c r="AL37" s="42" t="str">
        <f>IF(AND('Mapa final'!$AJ$50="Media",'Mapa final'!$AL$50="Catastrófico"),CONCATENATE("R2C",'Mapa final'!$S$50),"")</f>
        <v/>
      </c>
      <c r="AM37" s="42" t="str">
        <f>IF(AND('Mapa final'!$AJ$51="Media",'Mapa final'!$AL$51="Catastrófico"),CONCATENATE("R2C",'Mapa final'!$S$51),"")</f>
        <v/>
      </c>
      <c r="AN37" s="43" t="str">
        <f>IF(AND('Mapa final'!$AJ$62="Media",'Mapa final'!$AL$52="Catastrófico"),CONCATENATE("R2C",'Mapa final'!$S$52),"")</f>
        <v/>
      </c>
      <c r="AO37" s="69"/>
      <c r="AP37" s="473"/>
      <c r="AQ37" s="474"/>
      <c r="AR37" s="474"/>
      <c r="AS37" s="474"/>
      <c r="AT37" s="474"/>
      <c r="AU37" s="475"/>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37"/>
      <c r="D38" s="337"/>
      <c r="E38" s="338"/>
      <c r="F38" s="432"/>
      <c r="G38" s="433"/>
      <c r="H38" s="433"/>
      <c r="I38" s="433"/>
      <c r="J38" s="434"/>
      <c r="K38" s="53" t="str">
        <f>IF(AND('Mapa final'!$AJ$53="Media",'Mapa final'!$AL$53="Leve"),CONCATENATE("R2C",'Mapa final'!$S$53),"")</f>
        <v/>
      </c>
      <c r="L38" s="54" t="str">
        <f>IF(AND('Mapa final'!$AJ$54="Media",'Mapa final'!$AL$54="Leve"),CONCATENATE("R2C",'Mapa final'!$S$54),"")</f>
        <v/>
      </c>
      <c r="M38" s="54" t="str">
        <f>IF(AND('Mapa final'!$AJ$55="Media",'Mapa final'!$AL$55="Leve"),CONCATENATE("R2C",'Mapa final'!$S$55),"")</f>
        <v/>
      </c>
      <c r="N38" s="54" t="str">
        <f>IF(AND('Mapa final'!$AJ$56="Media",'Mapa final'!$AL$56="Leve"),CONCATENATE("R2C",'Mapa final'!$S$56),"")</f>
        <v/>
      </c>
      <c r="O38" s="54" t="str">
        <f>IF(AND('Mapa final'!$AJ$57="Media",'Mapa final'!$AL$57="Leve"),CONCATENATE("R2C",'Mapa final'!$S$57),"")</f>
        <v/>
      </c>
      <c r="P38" s="55" t="str">
        <f>IF(AND('Mapa final'!$AJ$58="Media",'Mapa final'!$AL$58="Leve"),CONCATENATE("R2C",'Mapa final'!$S$58),"")</f>
        <v/>
      </c>
      <c r="Q38" s="53" t="str">
        <f>IF(AND('Mapa final'!$AJ$53="Media",'Mapa final'!$AL$53="Menor"),CONCATENATE("R2C",'Mapa final'!$S$53),"")</f>
        <v/>
      </c>
      <c r="R38" s="54" t="str">
        <f>IF(AND('Mapa final'!$AJ$54="Media",'Mapa final'!$AL$54="Menor"),CONCATENATE("R2C",'Mapa final'!$S$54),"")</f>
        <v/>
      </c>
      <c r="S38" s="54" t="str">
        <f>IF(AND('Mapa final'!$AJ$55="Media",'Mapa final'!$AL$55="Menor"),CONCATENATE("R2C",'Mapa final'!$S$55),"")</f>
        <v/>
      </c>
      <c r="T38" s="54" t="str">
        <f>IF(AND('Mapa final'!$AJ$56="Media",'Mapa final'!$AL$56="Menor"),CONCATENATE("R2C",'Mapa final'!$S$56),"")</f>
        <v/>
      </c>
      <c r="U38" s="54" t="str">
        <f>IF(AND('Mapa final'!$AJ$57="Media",'Mapa final'!$AL$57="Menor"),CONCATENATE("R2C",'Mapa final'!$S$57),"")</f>
        <v/>
      </c>
      <c r="V38" s="55" t="str">
        <f>IF(AND('Mapa final'!$AJ$58="Media",'Mapa final'!$AL$58="Menor"),CONCATENATE("R2C",'Mapa final'!$S$58),"")</f>
        <v/>
      </c>
      <c r="W38" s="53" t="str">
        <f>IF(AND('Mapa final'!$AJ$53="Media",'Mapa final'!$AL$53="Moderado"),CONCATENATE("R2C",'Mapa final'!$S$53),"")</f>
        <v/>
      </c>
      <c r="X38" s="54" t="str">
        <f>IF(AND('Mapa final'!$AJ$54="Media",'Mapa final'!$AL$54="Moderado"),CONCATENATE("R2C",'Mapa final'!$S$54),"")</f>
        <v/>
      </c>
      <c r="Y38" s="54" t="str">
        <f>IF(AND('Mapa final'!$AJ$55="Media",'Mapa final'!$AL$55="Moderado"),CONCATENATE("R2C",'Mapa final'!$S$55),"")</f>
        <v/>
      </c>
      <c r="Z38" s="54" t="str">
        <f>IF(AND('Mapa final'!$AJ$56="Media",'Mapa final'!$AL$56="Moderado"),CONCATENATE("R2C",'Mapa final'!$S$56),"")</f>
        <v/>
      </c>
      <c r="AA38" s="54" t="str">
        <f>IF(AND('Mapa final'!$AJ$57="Media",'Mapa final'!$AL$57="Moderado"),CONCATENATE("R2C",'Mapa final'!$S$57),"")</f>
        <v/>
      </c>
      <c r="AB38" s="55" t="str">
        <f>IF(AND('Mapa final'!$AJ$58="Media",'Mapa final'!$AL$58="Moderado"),CONCATENATE("R2C",'Mapa final'!$S$58),"")</f>
        <v/>
      </c>
      <c r="AC38" s="38" t="str">
        <f>IF(AND('Mapa final'!$AJ$53="Media",'Mapa final'!$AL$53="Mayor"),CONCATENATE("R2C",'Mapa final'!$S$53),"")</f>
        <v/>
      </c>
      <c r="AD38" s="39" t="str">
        <f>IF(AND('Mapa final'!$AJ$54="Media",'Mapa final'!$AL$54="Mayor"),CONCATENATE("R2C",'Mapa final'!$S$54),"")</f>
        <v/>
      </c>
      <c r="AE38" s="39" t="str">
        <f>IF(AND('Mapa final'!$AJ$55="Media",'Mapa final'!$AL$55="Mayor"),CONCATENATE("R2C",'Mapa final'!$S$55),"")</f>
        <v/>
      </c>
      <c r="AF38" s="39" t="str">
        <f>IF(AND('Mapa final'!$AJ$56="Media",'Mapa final'!$AL$56="Mayor"),CONCATENATE("R2C",'Mapa final'!$S$56),"")</f>
        <v/>
      </c>
      <c r="AG38" s="39" t="str">
        <f>IF(AND('Mapa final'!$AJ$57="Media",'Mapa final'!$AL$57="Mayor"),CONCATENATE("R2C",'Mapa final'!$S$57),"")</f>
        <v/>
      </c>
      <c r="AH38" s="40" t="str">
        <f>IF(AND('Mapa final'!$AJ$58="Media",'Mapa final'!$AL$58="Mayor"),CONCATENATE("R2C",'Mapa final'!$S$58),"")</f>
        <v/>
      </c>
      <c r="AI38" s="41" t="str">
        <f>IF(AND('Mapa final'!$AJ$53="Media",'Mapa final'!$AL$53="Catastrófico"),CONCATENATE("R2C",'Mapa final'!$S$53),"")</f>
        <v/>
      </c>
      <c r="AJ38" s="42" t="str">
        <f>IF(AND('Mapa final'!$AJ$54="Media",'Mapa final'!$AL$54="Catastrófico"),CONCATENATE("R2C",'Mapa final'!$S$54),"")</f>
        <v/>
      </c>
      <c r="AK38" s="42" t="str">
        <f>IF(AND('Mapa final'!$AJ$55="Media",'Mapa final'!$AL$55="Catastrófico"),CONCATENATE("R2C",'Mapa final'!$S$55),"")</f>
        <v/>
      </c>
      <c r="AL38" s="42" t="str">
        <f>IF(AND('Mapa final'!$AJ$56="Media",'Mapa final'!$AL$56="Catastrófico"),CONCATENATE("R2C",'Mapa final'!$S$56),"")</f>
        <v/>
      </c>
      <c r="AM38" s="42" t="str">
        <f>IF(AND('Mapa final'!$AJ$57="Media",'Mapa final'!$AL$57="Catastrófico"),CONCATENATE("R2C",'Mapa final'!$S$57),"")</f>
        <v/>
      </c>
      <c r="AN38" s="43" t="str">
        <f>IF(AND('Mapa final'!$AJ$58="Media",'Mapa final'!$AL$58="Catastrófico"),CONCATENATE("R2C",'Mapa final'!$S$58),"")</f>
        <v/>
      </c>
      <c r="AO38" s="69"/>
      <c r="AP38" s="473"/>
      <c r="AQ38" s="474"/>
      <c r="AR38" s="474"/>
      <c r="AS38" s="474"/>
      <c r="AT38" s="474"/>
      <c r="AU38" s="475"/>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37"/>
      <c r="D39" s="337"/>
      <c r="E39" s="338"/>
      <c r="F39" s="432"/>
      <c r="G39" s="433"/>
      <c r="H39" s="433"/>
      <c r="I39" s="433"/>
      <c r="J39" s="434"/>
      <c r="K39" s="53" t="str">
        <f>IF(AND('Mapa final'!$AJ$59="Media",'Mapa final'!$AL$59="Leve"),CONCATENATE("R2C",'Mapa final'!$S$59),"")</f>
        <v/>
      </c>
      <c r="L39" s="54" t="str">
        <f>IF(AND('Mapa final'!$AJ$60="Media",'Mapa final'!$AL$60="Leve"),CONCATENATE("R2C",'Mapa final'!$S$60),"")</f>
        <v/>
      </c>
      <c r="M39" s="54" t="str">
        <f>IF(AND('Mapa final'!$AJ$61="Media",'Mapa final'!$AL$61="Leve"),CONCATENATE("R2C",'Mapa final'!$S$61),"")</f>
        <v/>
      </c>
      <c r="N39" s="54" t="str">
        <f>IF(AND('Mapa final'!$AJ$62="Media",'Mapa final'!$AL$62="Leve"),CONCATENATE("R2C",'Mapa final'!$S$62),"")</f>
        <v/>
      </c>
      <c r="O39" s="54" t="str">
        <f>IF(AND('Mapa final'!$AJ$63="Media",'Mapa final'!$AL$63="Leve"),CONCATENATE("R2C",'Mapa final'!$S$63),"")</f>
        <v/>
      </c>
      <c r="P39" s="55" t="str">
        <f>IF(AND('Mapa final'!$AJ$64="Media",'Mapa final'!$AL$64="Leve"),CONCATENATE("R2C",'Mapa final'!$S$64),"")</f>
        <v/>
      </c>
      <c r="Q39" s="53" t="str">
        <f>IF(AND('Mapa final'!$AJ$59="Media",'Mapa final'!$AL$59="Menor"),CONCATENATE("R2C",'Mapa final'!$S$59),"")</f>
        <v/>
      </c>
      <c r="R39" s="54" t="str">
        <f>IF(AND('Mapa final'!$AJ$60="Media",'Mapa final'!$AL$60="Menor"),CONCATENATE("R2C",'Mapa final'!$S$60),"")</f>
        <v/>
      </c>
      <c r="S39" s="54" t="str">
        <f>IF(AND('Mapa final'!$AJ$61="Media",'Mapa final'!$AL$61="Menor"),CONCATENATE("R2C",'Mapa final'!$S$61),"")</f>
        <v/>
      </c>
      <c r="T39" s="54" t="str">
        <f>IF(AND('Mapa final'!$AJ$62="Media",'Mapa final'!$AL$62="Menor"),CONCATENATE("R2C",'Mapa final'!$S$62),"")</f>
        <v/>
      </c>
      <c r="U39" s="54" t="str">
        <f>IF(AND('Mapa final'!$AJ$63="Media",'Mapa final'!$AL$63="Menor"),CONCATENATE("R2C",'Mapa final'!$S$63),"")</f>
        <v/>
      </c>
      <c r="V39" s="55" t="str">
        <f>IF(AND('Mapa final'!$AJ$64="Media",'Mapa final'!$AL$64="Menor"),CONCATENATE("R2C",'Mapa final'!$S$64),"")</f>
        <v/>
      </c>
      <c r="W39" s="53" t="str">
        <f>IF(AND('Mapa final'!$AJ$59="Media",'Mapa final'!$AL$59="Moderado"),CONCATENATE("R2C",'Mapa final'!$S$59),"")</f>
        <v/>
      </c>
      <c r="X39" s="54" t="str">
        <f>IF(AND('Mapa final'!$AJ$60="Media",'Mapa final'!$AL$60="Moderado"),CONCATENATE("R2C",'Mapa final'!$S$60),"")</f>
        <v/>
      </c>
      <c r="Y39" s="54" t="str">
        <f>IF(AND('Mapa final'!$AJ$61="Media",'Mapa final'!$AL$61="Moderado"),CONCATENATE("R2C",'Mapa final'!$S$61),"")</f>
        <v/>
      </c>
      <c r="Z39" s="54" t="str">
        <f>IF(AND('Mapa final'!$AJ$62="Media",'Mapa final'!$AL$62="Moderado"),CONCATENATE("R2C",'Mapa final'!$S$62),"")</f>
        <v/>
      </c>
      <c r="AA39" s="54" t="str">
        <f>IF(AND('Mapa final'!$AJ$63="Media",'Mapa final'!$AL$63="Moderado"),CONCATENATE("R2C",'Mapa final'!$S$63),"")</f>
        <v/>
      </c>
      <c r="AB39" s="55" t="str">
        <f>IF(AND('Mapa final'!$AJ$64="Media",'Mapa final'!$AL$64="Moderado"),CONCATENATE("R2C",'Mapa final'!$S$64),"")</f>
        <v/>
      </c>
      <c r="AC39" s="38" t="str">
        <f>IF(AND('Mapa final'!$AJ$59="Media",'Mapa final'!$AL$59="Mayor"),CONCATENATE("R2C",'Mapa final'!$S$59),"")</f>
        <v/>
      </c>
      <c r="AD39" s="39" t="str">
        <f>IF(AND('Mapa final'!$AJ$60="Media",'Mapa final'!$AL$60="Mayor"),CONCATENATE("R2C",'Mapa final'!$S$60),"")</f>
        <v/>
      </c>
      <c r="AE39" s="39" t="str">
        <f>IF(AND('Mapa final'!$AJ$61="Media",'Mapa final'!$AL$61="Mayor"),CONCATENATE("R2C",'Mapa final'!$S$61),"")</f>
        <v/>
      </c>
      <c r="AF39" s="39" t="str">
        <f>IF(AND('Mapa final'!$AJ$62="Media",'Mapa final'!$AL$62="Mayor"),CONCATENATE("R2C",'Mapa final'!$S$62),"")</f>
        <v/>
      </c>
      <c r="AG39" s="39" t="str">
        <f>IF(AND('Mapa final'!$AJ$63="Media",'Mapa final'!$AL$63="Mayor"),CONCATENATE("R2C",'Mapa final'!$S$63),"")</f>
        <v/>
      </c>
      <c r="AH39" s="40" t="str">
        <f>IF(AND('Mapa final'!$AJ$64="Media",'Mapa final'!$AL$64="Mayor"),CONCATENATE("R2C",'Mapa final'!$S$64),"")</f>
        <v/>
      </c>
      <c r="AI39" s="41" t="str">
        <f>IF(AND('Mapa final'!$AJ$59="Media",'Mapa final'!$AL$59="Catastrófico"),CONCATENATE("R2C",'Mapa final'!$S$59),"")</f>
        <v/>
      </c>
      <c r="AJ39" s="42" t="str">
        <f>IF(AND('Mapa final'!$AJ$60="Media",'Mapa final'!$AL$60="Catastrófico"),CONCATENATE("R2C",'Mapa final'!$S$60),"")</f>
        <v/>
      </c>
      <c r="AK39" s="42" t="str">
        <f>IF(AND('Mapa final'!$AJ$61="Media",'Mapa final'!$AL$61="Catastrófico"),CONCATENATE("R2C",'Mapa final'!$S$61),"")</f>
        <v/>
      </c>
      <c r="AL39" s="42" t="str">
        <f>IF(AND('Mapa final'!$AJ$62="Media",'Mapa final'!$AL$62="Catastrófico"),CONCATENATE("R2C",'Mapa final'!$S$62),"")</f>
        <v/>
      </c>
      <c r="AM39" s="42" t="str">
        <f>IF(AND('Mapa final'!$AJ$63="Media",'Mapa final'!$AL$63="Catastrófico"),CONCATENATE("R2C",'Mapa final'!$S$63),"")</f>
        <v/>
      </c>
      <c r="AN39" s="43" t="str">
        <f>IF(AND('Mapa final'!$AJ$64="Media",'Mapa final'!$AL$64="Catastrófico"),CONCATENATE("R2C",'Mapa final'!$S$64),"")</f>
        <v/>
      </c>
      <c r="AO39" s="69"/>
      <c r="AP39" s="473"/>
      <c r="AQ39" s="474"/>
      <c r="AR39" s="474"/>
      <c r="AS39" s="474"/>
      <c r="AT39" s="474"/>
      <c r="AU39" s="475"/>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37"/>
      <c r="D40" s="337"/>
      <c r="E40" s="338"/>
      <c r="F40" s="432"/>
      <c r="G40" s="433"/>
      <c r="H40" s="433"/>
      <c r="I40" s="433"/>
      <c r="J40" s="434"/>
      <c r="K40" s="53" t="str">
        <f>IF(AND('Mapa final'!$AJ$65="Media",'Mapa final'!$AL$65="Leve"),CONCATENATE("R2C",'Mapa final'!$S$65),"")</f>
        <v/>
      </c>
      <c r="L40" s="54" t="str">
        <f>IF(AND('Mapa final'!$AJ$66="Media",'Mapa final'!$AL$66="Leve"),CONCATENATE("R2C",'Mapa final'!$S$66),"")</f>
        <v/>
      </c>
      <c r="M40" s="54" t="str">
        <f>IF(AND('Mapa final'!$AJ$67="Media",'Mapa final'!$AL$67="Leve"),CONCATENATE("R2C",'Mapa final'!$S$67),"")</f>
        <v/>
      </c>
      <c r="N40" s="54" t="str">
        <f>IF(AND('Mapa final'!$AJ$68="Media",'Mapa final'!$AL$68="Leve"),CONCATENATE("R2C",'Mapa final'!$S$68),"")</f>
        <v/>
      </c>
      <c r="O40" s="54" t="str">
        <f>IF(AND('Mapa final'!$AJ$69="Media",'Mapa final'!$AL$69="Leve"),CONCATENATE("R2C",'Mapa final'!$S$69),"")</f>
        <v/>
      </c>
      <c r="P40" s="55" t="str">
        <f>IF(AND('Mapa final'!$AJ$70="Media",'Mapa final'!$AL$70="Leve"),CONCATENATE("R2C",'Mapa final'!$S$70),"")</f>
        <v/>
      </c>
      <c r="Q40" s="53" t="str">
        <f>IF(AND('Mapa final'!$AJ$65="Media",'Mapa final'!$AL$65="Menor"),CONCATENATE("R2C",'Mapa final'!$S$65),"")</f>
        <v/>
      </c>
      <c r="R40" s="54" t="str">
        <f>IF(AND('Mapa final'!$AJ$66="Media",'Mapa final'!$AL$66="Menor"),CONCATENATE("R2C",'Mapa final'!$S$66),"")</f>
        <v/>
      </c>
      <c r="S40" s="54" t="str">
        <f>IF(AND('Mapa final'!$AJ$67="Media",'Mapa final'!$AL$67="Menor"),CONCATENATE("R2C",'Mapa final'!$S$67),"")</f>
        <v/>
      </c>
      <c r="T40" s="54" t="str">
        <f>IF(AND('Mapa final'!$AJ$68="Media",'Mapa final'!$AL$68="Menor"),CONCATENATE("R2C",'Mapa final'!$S$68),"")</f>
        <v/>
      </c>
      <c r="U40" s="54" t="str">
        <f>IF(AND('Mapa final'!$AJ$69="Media",'Mapa final'!$AL$69="Menor"),CONCATENATE("R2C",'Mapa final'!$S$69),"")</f>
        <v/>
      </c>
      <c r="V40" s="55" t="str">
        <f>IF(AND('Mapa final'!$AJ$70="Media",'Mapa final'!$AL$70="Menor"),CONCATENATE("R2C",'Mapa final'!$S$70),"")</f>
        <v/>
      </c>
      <c r="W40" s="53" t="str">
        <f>IF(AND('Mapa final'!$AJ$65="Media",'Mapa final'!$AL$65="Moderado"),CONCATENATE("R2C",'Mapa final'!$S$65),"")</f>
        <v/>
      </c>
      <c r="X40" s="54" t="str">
        <f>IF(AND('Mapa final'!$AJ$66="Media",'Mapa final'!$AL$66="Moderado"),CONCATENATE("R2C",'Mapa final'!$S$66),"")</f>
        <v/>
      </c>
      <c r="Y40" s="54" t="str">
        <f>IF(AND('Mapa final'!$AJ$67="Media",'Mapa final'!$AL$67="Moderado"),CONCATENATE("R2C",'Mapa final'!$S$67),"")</f>
        <v/>
      </c>
      <c r="Z40" s="54" t="str">
        <f>IF(AND('Mapa final'!$AJ$68="Media",'Mapa final'!$AL$68="Moderado"),CONCATENATE("R2C",'Mapa final'!$S$68),"")</f>
        <v/>
      </c>
      <c r="AA40" s="54" t="str">
        <f>IF(AND('Mapa final'!$AJ$69="Media",'Mapa final'!$AL$69="Moderado"),CONCATENATE("R2C",'Mapa final'!$S$69),"")</f>
        <v/>
      </c>
      <c r="AB40" s="55" t="str">
        <f>IF(AND('Mapa final'!$AJ$70="Media",'Mapa final'!$AL$70="Moderado"),CONCATENATE("R2C",'Mapa final'!$S$70),"")</f>
        <v/>
      </c>
      <c r="AC40" s="38" t="str">
        <f>IF(AND('Mapa final'!$AJ$65="Media",'Mapa final'!$AL$65="Mayor"),CONCATENATE("R2C",'Mapa final'!$S$65),"")</f>
        <v/>
      </c>
      <c r="AD40" s="39" t="str">
        <f>IF(AND('Mapa final'!$AJ$66="Media",'Mapa final'!$AL$66="Mayor"),CONCATENATE("R2C",'Mapa final'!$S$66),"")</f>
        <v/>
      </c>
      <c r="AE40" s="39" t="str">
        <f>IF(AND('Mapa final'!$AJ$67="Media",'Mapa final'!$AL$67="Mayor"),CONCATENATE("R2C",'Mapa final'!$S$67),"")</f>
        <v/>
      </c>
      <c r="AF40" s="39" t="str">
        <f>IF(AND('Mapa final'!$AJ$68="Media",'Mapa final'!$AL$68="Mayor"),CONCATENATE("R2C",'Mapa final'!$S$68),"")</f>
        <v/>
      </c>
      <c r="AG40" s="39" t="str">
        <f>IF(AND('Mapa final'!$AJ$69="Media",'Mapa final'!$AL$69="Mayor"),CONCATENATE("R2C",'Mapa final'!$S$69),"")</f>
        <v/>
      </c>
      <c r="AH40" s="40" t="str">
        <f>IF(AND('Mapa final'!$AJ$70="Media",'Mapa final'!$AL$70="Mayor"),CONCATENATE("R2C",'Mapa final'!$S$70),"")</f>
        <v/>
      </c>
      <c r="AI40" s="41" t="str">
        <f>IF(AND('Mapa final'!$AJ$65="Media",'Mapa final'!$AL$65="Catastrófico"),CONCATENATE("R2C",'Mapa final'!$S$65),"")</f>
        <v/>
      </c>
      <c r="AJ40" s="42" t="str">
        <f>IF(AND('Mapa final'!$AJ$66="Media",'Mapa final'!$AL$66="Catastrófico"),CONCATENATE("R2C",'Mapa final'!$S$66),"")</f>
        <v/>
      </c>
      <c r="AK40" s="42" t="str">
        <f>IF(AND('Mapa final'!$AJ$67="Media",'Mapa final'!$AL$67="Catastrófico"),CONCATENATE("R2C",'Mapa final'!$S$67),"")</f>
        <v/>
      </c>
      <c r="AL40" s="42" t="str">
        <f>IF(AND('Mapa final'!$AJ$68="Media",'Mapa final'!$AL$68="Catastrófico"),CONCATENATE("R2C",'Mapa final'!$S$68),"")</f>
        <v/>
      </c>
      <c r="AM40" s="42" t="str">
        <f>IF(AND('Mapa final'!$AJ$69="Media",'Mapa final'!$AL$69="Catastrófico"),CONCATENATE("R2C",'Mapa final'!$S$69),"")</f>
        <v/>
      </c>
      <c r="AN40" s="43" t="str">
        <f>IF(AND('Mapa final'!$AJ$70="Media",'Mapa final'!$AL$70="Catastrófico"),CONCATENATE("R2C",'Mapa final'!$S$70),"")</f>
        <v/>
      </c>
      <c r="AO40" s="69"/>
      <c r="AP40" s="473"/>
      <c r="AQ40" s="474"/>
      <c r="AR40" s="474"/>
      <c r="AS40" s="474"/>
      <c r="AT40" s="474"/>
      <c r="AU40" s="475"/>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37"/>
      <c r="D41" s="337"/>
      <c r="E41" s="338"/>
      <c r="F41" s="435"/>
      <c r="G41" s="436"/>
      <c r="H41" s="436"/>
      <c r="I41" s="436"/>
      <c r="J41" s="437"/>
      <c r="K41" s="53" t="str">
        <f>IF(AND('Mapa final'!$AJ$71="Media",'Mapa final'!$AL$71="Leve"),CONCATENATE("R2C",'Mapa final'!$S$71),"")</f>
        <v/>
      </c>
      <c r="L41" s="54" t="str">
        <f>IF(AND('Mapa final'!$AJ$72="Media",'Mapa final'!$AL$72="Leve"),CONCATENATE("R2C",'Mapa final'!$S$72),"")</f>
        <v/>
      </c>
      <c r="M41" s="54" t="str">
        <f>IF(AND('Mapa final'!$AJ$73="Media",'Mapa final'!$AL$73="Leve"),CONCATENATE("R2C",'Mapa final'!$S$73),"")</f>
        <v/>
      </c>
      <c r="N41" s="54" t="str">
        <f>IF(AND('Mapa final'!$AJ$74="Media",'Mapa final'!$AL$74="Leve"),CONCATENATE("R2C",'Mapa final'!$S$74),"")</f>
        <v/>
      </c>
      <c r="O41" s="54" t="str">
        <f>IF(AND('Mapa final'!$AJ$76="Media",'Mapa final'!$AL$76="Leve"),CONCATENATE("R2C",'Mapa final'!$S$76),"")</f>
        <v/>
      </c>
      <c r="P41" s="55" t="str">
        <f>IF(AND('Mapa final'!$AJ$77="Media",'Mapa final'!$AL$77="Leve"),CONCATENATE("R2C",'Mapa final'!$S$77),"")</f>
        <v/>
      </c>
      <c r="Q41" s="53" t="str">
        <f>IF(AND('Mapa final'!$AJ$71="Media",'Mapa final'!$AL$71="Menor"),CONCATENATE("R2C",'Mapa final'!$S$71),"")</f>
        <v/>
      </c>
      <c r="R41" s="54" t="str">
        <f>IF(AND('Mapa final'!$AJ$72="Media",'Mapa final'!$AL$72="Menor"),CONCATENATE("R2C",'Mapa final'!$S$72),"")</f>
        <v/>
      </c>
      <c r="S41" s="54" t="str">
        <f>IF(AND('Mapa final'!$AJ$73="Media",'Mapa final'!$AL$73="Menor"),CONCATENATE("R2C",'Mapa final'!$S$73),"")</f>
        <v/>
      </c>
      <c r="T41" s="54" t="str">
        <f>IF(AND('Mapa final'!$AJ$74="Media",'Mapa final'!$AL$74="Menor"),CONCATENATE("R2C",'Mapa final'!$S$74),"")</f>
        <v/>
      </c>
      <c r="U41" s="54" t="str">
        <f>IF(AND('Mapa final'!$AJ$76="Media",'Mapa final'!$AL$76="Menor"),CONCATENATE("R2C",'Mapa final'!$S$76),"")</f>
        <v/>
      </c>
      <c r="V41" s="55" t="str">
        <f>IF(AND('Mapa final'!$AJ$77="Media",'Mapa final'!$AL$77="Menor"),CONCATENATE("R2C",'Mapa final'!$S$77),"")</f>
        <v/>
      </c>
      <c r="W41" s="53" t="str">
        <f>IF(AND('Mapa final'!$AJ$71="Media",'Mapa final'!$AL$71="Moderado"),CONCATENATE("R2C",'Mapa final'!$S$71),"")</f>
        <v/>
      </c>
      <c r="X41" s="54" t="str">
        <f>IF(AND('Mapa final'!$AJ$72="Media",'Mapa final'!$AL$72="Moderado"),CONCATENATE("R2C",'Mapa final'!$S$72),"")</f>
        <v/>
      </c>
      <c r="Y41" s="54" t="str">
        <f>IF(AND('Mapa final'!$AJ$73="Media",'Mapa final'!$AL$73="Moderado"),CONCATENATE("R2C",'Mapa final'!$S$73),"")</f>
        <v/>
      </c>
      <c r="Z41" s="54" t="str">
        <f>IF(AND('Mapa final'!$AJ$74="Media",'Mapa final'!$AL$74="Moderado"),CONCATENATE("R2C",'Mapa final'!$S$74),"")</f>
        <v/>
      </c>
      <c r="AA41" s="54" t="str">
        <f>IF(AND('Mapa final'!$AJ$76="Media",'Mapa final'!$AL$76="Moderado"),CONCATENATE("R2C",'Mapa final'!$S$76),"")</f>
        <v/>
      </c>
      <c r="AB41" s="55" t="str">
        <f>IF(AND('Mapa final'!$AJ$77="Media",'Mapa final'!$AL$77="Moderado"),CONCATENATE("R2C",'Mapa final'!$S$77),"")</f>
        <v/>
      </c>
      <c r="AC41" s="38" t="str">
        <f>IF(AND('Mapa final'!$AJ$71="Media",'Mapa final'!$AL$71="Mayor"),CONCATENATE("R2C",'Mapa final'!$S$71),"")</f>
        <v/>
      </c>
      <c r="AD41" s="178" t="str">
        <f>IF(AND('Mapa final'!$AJ$72="Media",'Mapa final'!$AL$72="Mayor"),CONCATENATE("R2C",'Mapa final'!$S$72),"")</f>
        <v/>
      </c>
      <c r="AE41" s="178" t="str">
        <f>IF(AND('Mapa final'!$AJ$73="Media",'Mapa final'!$AL$73="Mayor"),CONCATENATE("R2C",'Mapa final'!$S$73),"")</f>
        <v/>
      </c>
      <c r="AF41" s="178" t="str">
        <f>IF(AND('Mapa final'!$AJ$74="Media",'Mapa final'!$AL$74="Mayor"),CONCATENATE("R2C",'Mapa final'!$S$74),"")</f>
        <v/>
      </c>
      <c r="AG41" s="178" t="str">
        <f>IF(AND('Mapa final'!$AJ$76="Media",'Mapa final'!$AL$76="Mayor"),CONCATENATE("R2C",'Mapa final'!$S$76),"")</f>
        <v/>
      </c>
      <c r="AH41" s="40" t="str">
        <f>IF(AND('Mapa final'!$AJ$77="Media",'Mapa final'!$AL$77="Mayor"),CONCATENATE("R2C",'Mapa final'!$S$77),"")</f>
        <v/>
      </c>
      <c r="AI41" s="47" t="str">
        <f>IF(AND('Mapa final'!$AJ$71="Media",'Mapa final'!$AL$71="Catastrófico"),CONCATENATE("R2C",'Mapa final'!$S$71),"")</f>
        <v/>
      </c>
      <c r="AJ41" s="48" t="str">
        <f>IF(AND('Mapa final'!$AJ$72="Media",'Mapa final'!$AL$72="Catastrófico"),CONCATENATE("R2C",'Mapa final'!$S$72),"")</f>
        <v/>
      </c>
      <c r="AK41" s="48" t="str">
        <f>IF(AND('Mapa final'!$AJ$73="Media",'Mapa final'!$AL$73="Catastrófico"),CONCATENATE("R2C",'Mapa final'!$S$73),"")</f>
        <v/>
      </c>
      <c r="AL41" s="48" t="str">
        <f>IF(AND('Mapa final'!$AJ$74="Media",'Mapa final'!$AL$74="Catastrófico"),CONCATENATE("R2C",'Mapa final'!$S$74),"")</f>
        <v/>
      </c>
      <c r="AM41" s="48" t="str">
        <f>IF(AND('Mapa final'!$AJ$76="Media",'Mapa final'!$AL$76="Catastrófico"),CONCATENATE("R2C",'Mapa final'!$S$76),"")</f>
        <v/>
      </c>
      <c r="AN41" s="49" t="str">
        <f>IF(AND('Mapa final'!$AJ$77="Muy Alta",'Mapa final'!$AL$77="Catastrófico"),CONCATENATE("R2C",'Mapa final'!$S$77),"")</f>
        <v/>
      </c>
      <c r="AO41" s="69"/>
      <c r="AP41" s="476"/>
      <c r="AQ41" s="477"/>
      <c r="AR41" s="477"/>
      <c r="AS41" s="477"/>
      <c r="AT41" s="477"/>
      <c r="AU41" s="478"/>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37"/>
      <c r="D42" s="337"/>
      <c r="E42" s="338"/>
      <c r="F42" s="429" t="s">
        <v>113</v>
      </c>
      <c r="G42" s="430"/>
      <c r="H42" s="430"/>
      <c r="I42" s="430"/>
      <c r="J42" s="430"/>
      <c r="K42" s="59" t="str">
        <f ca="1">IF(AND('Mapa final'!$AJ$15="Baja",'Mapa final'!$AL$15="Leve"),CONCATENATE("R2C",'Mapa final'!$S$15),"")</f>
        <v/>
      </c>
      <c r="L42" s="60" t="str">
        <f>IF(AND('Mapa final'!$AJ$17="Baja",'Mapa final'!$AL$17="Leve"),CONCATENATE("R2C",'Mapa final'!$D$17),"")</f>
        <v/>
      </c>
      <c r="M42" s="60" t="str">
        <f ca="1">IF(AND('Mapa final'!$AJ$18="Baja",'Mapa final'!$AL$18="Leve"),CONCATENATE("R2C",'Mapa final'!$S$18),"")</f>
        <v/>
      </c>
      <c r="N42" s="60" t="str">
        <f ca="1">IF(AND('Mapa final'!$AJ$18="Baja",'Mapa final'!$AL$18="Leve"),CONCATENATE("R2C",'Mapa final'!$S$18),"")</f>
        <v/>
      </c>
      <c r="O42" s="60"/>
      <c r="P42" s="61" t="str">
        <f ca="1">IF(AND('Mapa final'!$AJ$20="Baja",'Mapa final'!$AL$20="Leve"),CONCATENATE("R2C",'Mapa final'!$S$20),"")</f>
        <v/>
      </c>
      <c r="Q42" s="50" t="str">
        <f ca="1">IF(AND('Mapa final'!$AJ$15="Baja",'Mapa final'!$AL$15="Menor"),CONCATENATE("R2C",'Mapa final'!$S$15),"")</f>
        <v/>
      </c>
      <c r="R42" s="51" t="str">
        <f>IF(AND('Mapa final'!$AJ$16="Baja",'Mapa final'!$AL$16="Menore"),CONCATENATE("R2C",'Mapa final'!$S$16),"")</f>
        <v/>
      </c>
      <c r="S42" s="51" t="str">
        <f>IF(AND('Mapa final'!$AJ$17="Baja",'Mapa final'!$AL$17="Menor"),CONCATENATE("R2C",'Mapa final'!$S$17),"")</f>
        <v/>
      </c>
      <c r="T42" s="51" t="str">
        <f ca="1">IF(AND('Mapa final'!$AJ$18="Baja",'Mapa final'!$AL$18="Menor"),CONCATENATE("R2C",'Mapa final'!$S$18),"")</f>
        <v/>
      </c>
      <c r="U42" s="51" t="str">
        <f>IF(AND('Mapa final'!$AJ$19="Baja",'Mapa final'!$AL$19="Menor"),CONCATENATE("R2C",'Mapa final'!$S$19),"")</f>
        <v/>
      </c>
      <c r="V42" s="52" t="str">
        <f ca="1">IF(AND('Mapa final'!$AJ$20="Baja",'Mapa final'!$AL$20="Menor"),CONCATENATE("R2C",'Mapa final'!$D$20),"")</f>
        <v>R2C3</v>
      </c>
      <c r="W42" s="50" t="str">
        <f ca="1">IF(AND('Mapa final'!$AJ$15="Baja",'Mapa final'!$AL$15="Moderado"),CONCATENATE("R2C",'Mapa final'!$D$15),"")</f>
        <v>R2C1</v>
      </c>
      <c r="X42" s="51" t="str">
        <f>IF(AND('Mapa final'!$AJ$16="Baja",'Mapa final'!$AL$16="Moderado"),CONCATENATE("R2C",'Mapa final'!$S$16),"")</f>
        <v/>
      </c>
      <c r="Y42" s="51"/>
      <c r="Z42" s="51" t="str">
        <f ca="1">IF(AND('Mapa final'!$AJ$18="Baja",'Mapa final'!$AL$18="Moderado"),CONCATENATE("R2C",'Mapa final'!$S$18),"")</f>
        <v/>
      </c>
      <c r="AA42" s="51" t="str">
        <f>IF(AND('Mapa final'!$AJ$19="Baja",'Mapa final'!$AL$19="Moderado"),CONCATENATE("R2C",'Mapa final'!$S$19),"")</f>
        <v/>
      </c>
      <c r="AB42" s="52" t="str">
        <f ca="1">IF(AND('Mapa final'!$AJ$20="Baja",'Mapa final'!$AL$20="Moderado"),CONCATENATE("R2C",'Mapa final'!$S$20),"")</f>
        <v/>
      </c>
      <c r="AC42" s="32" t="str">
        <f ca="1">IF(AND('Mapa final'!$AJ$15="Baja",'Mapa final'!$AL$15="Mayor"),CONCATENATE("R2C",'Mapa final'!$D$15),"")</f>
        <v/>
      </c>
      <c r="AD42" s="33" t="str">
        <f>IF(AND('Mapa final'!$AJ$16="Baja",'Mapa final'!$AL$16="Mayor"),CONCATENATE("R2C",'Mapa final'!$S$16),"")</f>
        <v/>
      </c>
      <c r="AE42" s="33" t="str">
        <f>IF(AND('Mapa final'!$AJ$17="Baja",'Mapa final'!$AL$17="Mayor"),CONCATENATE("R2C",'Mapa final'!$D$17),"")</f>
        <v/>
      </c>
      <c r="AF42" s="33" t="str">
        <f ca="1">IF(AND('Mapa final'!$AJ$18="Baja",'Mapa final'!$AL$18="Mayor"),CONCATENATE("R2C",'Mapa final'!$D$18),"")</f>
        <v>R2C2</v>
      </c>
      <c r="AG42" s="33" t="str">
        <f>IF(AND('Mapa final'!$AJ$19="Baja",'Mapa final'!$AL$19="Mayor"),CONCATENATE("R2C",'Mapa final'!$S$19),"")</f>
        <v/>
      </c>
      <c r="AH42" s="34" t="str">
        <f ca="1">IF(AND('Mapa final'!$AJ$20="Baja",'Mapa final'!$AL$20="Mayor"),CONCATENATE("R2C",'Mapa final'!$S$20),"")</f>
        <v/>
      </c>
      <c r="AI42" s="35" t="str">
        <f ca="1">IF(AND('Mapa final'!$AJ$15="Baja",'Mapa final'!$AL$15="Catastrófico"),CONCATENATE("R2C",'Mapa final'!$S$15),"")</f>
        <v/>
      </c>
      <c r="AJ42" s="36" t="str">
        <f>IF(AND('Mapa final'!$AJ$16="Baja",'Mapa final'!$AL$16="Catastrófico"),CONCATENATE("R2C",'Mapa final'!$S$16),"")</f>
        <v/>
      </c>
      <c r="AK42" s="36" t="str">
        <f>IF(AND('Mapa final'!$AJ$17="Baja",'Mapa final'!$AL$17="Catastrófico"),CONCATENATE("R2C",'Mapa final'!$S$17),"")</f>
        <v/>
      </c>
      <c r="AL42" s="36" t="str">
        <f ca="1">IF(AND('Mapa final'!$AJ$18="Baja",'Mapa final'!$AL$18="Catastrófico"),CONCATENATE("R2C",'Mapa final'!$S$18),"")</f>
        <v/>
      </c>
      <c r="AM42" s="36" t="str">
        <f>IF(AND('Mapa final'!$AJ$19="Baja",'Mapa final'!$AL$19="Catastrófico"),CONCATENATE("R2C",'Mapa final'!$S$19),"")</f>
        <v/>
      </c>
      <c r="AN42" s="37" t="str">
        <f ca="1">IF(AND('Mapa final'!$AJ$20="Baja",'Mapa final'!$AL$20="Catastrófico"),CONCATENATE("R2C",'Mapa final'!$S$20),"")</f>
        <v/>
      </c>
      <c r="AO42" s="69"/>
      <c r="AP42" s="461" t="s">
        <v>81</v>
      </c>
      <c r="AQ42" s="462"/>
      <c r="AR42" s="462"/>
      <c r="AS42" s="462"/>
      <c r="AT42" s="462"/>
      <c r="AU42" s="463"/>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37"/>
      <c r="D43" s="337"/>
      <c r="E43" s="338"/>
      <c r="F43" s="447"/>
      <c r="G43" s="433"/>
      <c r="H43" s="433"/>
      <c r="I43" s="433"/>
      <c r="J43" s="433"/>
      <c r="K43" s="62" t="str">
        <f>IF(AND('Mapa final'!$AJ$23="Baja",'Mapa final'!$AL$23="Leve"),CONCATENATE("R2C",'Mapa final'!$D$23),"")</f>
        <v>R2C5</v>
      </c>
      <c r="L43" s="63" t="str">
        <f>IF(AND('Mapa final'!$AJ$24="Baja",'Mapa final'!$AL$24="Leve"),CONCATENATE("R2C",'Mapa final'!$S$24),"")</f>
        <v/>
      </c>
      <c r="M43" s="63" t="str">
        <f>IF(AND('Mapa final'!$AJ$25="Baja",'Mapa final'!$AL$25="Leve"),CONCATENATE("R2C",'Mapa final'!$S$25),"")</f>
        <v/>
      </c>
      <c r="N43" s="63" t="str">
        <f>IF(AND('Mapa final'!$AJ$26="Baja",'Mapa final'!$AL$26="Leve"),CONCATENATE("R2C",'Mapa final'!$S$26),"")</f>
        <v/>
      </c>
      <c r="O43" s="63" t="str">
        <f>IF(AND('Mapa final'!$AJ$27="Baja",'Mapa final'!$AL$27="Leve"),CONCATENATE("R2C",'Mapa final'!$S$27),"")</f>
        <v/>
      </c>
      <c r="P43" s="64" t="str">
        <f>IF(AND('Mapa final'!$AJ$28="Baja",'Mapa final'!$AL$28="Leve"),CONCATENATE("R2C",'Mapa final'!$S$28),"")</f>
        <v/>
      </c>
      <c r="Q43" s="53" t="str">
        <f>IF(AND('Mapa final'!$AJ$23="Baja",'Mapa final'!$AL$23="Menor"),CONCATENATE("R2C",'Mapa final'!$S$23),"")</f>
        <v/>
      </c>
      <c r="R43" s="54" t="str">
        <f>IF(AND('Mapa final'!$AJ$24="Baja",'Mapa final'!$AL$24="Menor"),CONCATENATE("R2C",'Mapa final'!$S$24),"")</f>
        <v/>
      </c>
      <c r="S43" s="54" t="str">
        <f>IF(AND('Mapa final'!$AJ$25="Baja",'Mapa final'!$AL$25="Menor"),CONCATENATE("R2C",'Mapa final'!$S$25),"")</f>
        <v/>
      </c>
      <c r="T43" s="54" t="str">
        <f>IF(AND('Mapa final'!$AJ$26="Baja",'Mapa final'!$AL$26="Menor"),CONCATENATE("R2C",'Mapa final'!$S$26),"")</f>
        <v/>
      </c>
      <c r="U43" s="54" t="str">
        <f>IF(AND('Mapa final'!$AJ$27="Baja",'Mapa final'!$AL$27="Menor"),CONCATENATE("R2C",'Mapa final'!$S$27),"")</f>
        <v/>
      </c>
      <c r="V43" s="55" t="str">
        <f>IF(AND('Mapa final'!$AJ$28="Baja",'Mapa final'!$AL$28="Menor"),CONCATENATE("R2C",'Mapa final'!$S$28),"")</f>
        <v/>
      </c>
      <c r="W43" s="53" t="str">
        <f ca="1">IF(AND('Mapa final'!$AJ$21="Baja",'Mapa final'!$AL$21="Moderado"),CONCATENATE("R2C",'Mapa final'!$D$21),"")</f>
        <v>R2C4</v>
      </c>
      <c r="X43" s="54" t="str">
        <f>IF(AND('Mapa final'!$AJ$24="Baja",'Mapa final'!$AL$24="Moderado"),CONCATENATE("R2C",'Mapa final'!$S$24),"")</f>
        <v/>
      </c>
      <c r="Y43" s="54" t="str">
        <f>IF(AND('Mapa final'!$AJ$25="Baja",'Mapa final'!$AL$25="Moderado"),CONCATENATE("R2C",'Mapa final'!$S$25),"")</f>
        <v/>
      </c>
      <c r="Z43" s="54" t="str">
        <f>IF(AND('Mapa final'!$AJ$26="Baja",'Mapa final'!$AL$26="Moderado"),CONCATENATE("R2C",'Mapa final'!$S$26),"")</f>
        <v/>
      </c>
      <c r="AA43" s="54" t="str">
        <f>IF(AND('Mapa final'!$AJ$27="Baja",'Mapa final'!$AL$27="Moderado"),CONCATENATE("R2C",'Mapa final'!$S$27),"")</f>
        <v/>
      </c>
      <c r="AB43" s="55" t="str">
        <f>IF(AND('Mapa final'!$AJ$28="Baja",'Mapa final'!$AL$28="Moderado"),CONCATENATE("R2C",'Mapa final'!$S$28),"")</f>
        <v/>
      </c>
      <c r="AC43" s="38" t="str">
        <f>IF(AND('Mapa final'!$AJ$23="Baja",'Mapa final'!$AL$23="Mayor"),CONCATENATE("R2C",'Mapa final'!$S$23),"")</f>
        <v/>
      </c>
      <c r="AD43" s="178" t="str">
        <f>IF(AND('Mapa final'!$AJ$24="Baja",'Mapa final'!$AL$24="Mayor"),CONCATENATE("R2C",'Mapa final'!$S$24),"")</f>
        <v/>
      </c>
      <c r="AE43" s="178" t="str">
        <f>IF(AND('Mapa final'!$AJ$25="Baja",'Mapa final'!$AL$25="Mayor"),CONCATENATE("R2C",'Mapa final'!$S$25),"")</f>
        <v/>
      </c>
      <c r="AF43" s="178" t="str">
        <f>IF(AND('Mapa final'!$AJ$26="Baja",'Mapa final'!$AL$26="Mayor"),CONCATENATE("R2C",'Mapa final'!$S$26),"")</f>
        <v/>
      </c>
      <c r="AG43" s="178" t="str">
        <f>IF(AND('Mapa final'!$AJ$27="Baja",'Mapa final'!$AL$27="Mayor"),CONCATENATE("R2C",'Mapa final'!$S$27),"")</f>
        <v/>
      </c>
      <c r="AH43" s="40" t="str">
        <f>IF(AND('Mapa final'!$AJ$28="Baja",'Mapa final'!$AL$28="Mayor"),CONCATENATE("R2C",'Mapa final'!$S$28),"")</f>
        <v/>
      </c>
      <c r="AI43" s="41" t="str">
        <f>IF(AND('Mapa final'!$AJ$23="Baja",'Mapa final'!$AL$23="Catastrófico"),CONCATENATE("R2C",'Mapa final'!$S$23),"")</f>
        <v/>
      </c>
      <c r="AJ43" s="42" t="str">
        <f>IF(AND('Mapa final'!$AJ$24="Baja",'Mapa final'!$AL$24="Catastrófico"),CONCATENATE("R2C",'Mapa final'!$S$24),"")</f>
        <v/>
      </c>
      <c r="AK43" s="42" t="str">
        <f>IF(AND('Mapa final'!$AJ$25="Baja",'Mapa final'!$AL$25="Catastrófico"),CONCATENATE("R2C",'Mapa final'!$S$25),"")</f>
        <v/>
      </c>
      <c r="AL43" s="42" t="str">
        <f>IF(AND('Mapa final'!$AJ$26="Baja",'Mapa final'!$AL$26="Catastrófico"),CONCATENATE("R2C",'Mapa final'!$S$26),"")</f>
        <v/>
      </c>
      <c r="AM43" s="42" t="str">
        <f>IF(AND('Mapa final'!$AJ$27="Baja",'Mapa final'!$AL$27="Catastrófico"),CONCATENATE("R2C",'Mapa final'!$S$27),"")</f>
        <v/>
      </c>
      <c r="AN43" s="43" t="str">
        <f>IF(AND('Mapa final'!$AJ$28="Baja",'Mapa final'!$AL$28="Catastrófico"),CONCATENATE("R2C",'Mapa final'!$S$28),"")</f>
        <v/>
      </c>
      <c r="AO43" s="69"/>
      <c r="AP43" s="464"/>
      <c r="AQ43" s="465"/>
      <c r="AR43" s="465"/>
      <c r="AS43" s="465"/>
      <c r="AT43" s="465"/>
      <c r="AU43" s="466"/>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37"/>
      <c r="D44" s="337"/>
      <c r="E44" s="338"/>
      <c r="F44" s="432"/>
      <c r="G44" s="433"/>
      <c r="H44" s="433"/>
      <c r="I44" s="433"/>
      <c r="J44" s="433"/>
      <c r="K44" s="62" t="str">
        <f>IF(AND('Mapa final'!$AJ$29="Baja",'Mapa final'!$AL$29="Leve"),CONCATENATE("R2C",'Mapa final'!$S$29),"")</f>
        <v/>
      </c>
      <c r="L44" s="63" t="str">
        <f>IF(AND('Mapa final'!$AJ$30="Baja",'Mapa final'!$AL$30="Leve"),CONCATENATE("R2C",'Mapa final'!$S$30),"")</f>
        <v/>
      </c>
      <c r="M44" s="63" t="str">
        <f>IF(AND('Mapa final'!$AJ$31="Baja",'Mapa final'!$AL$31="Leve"),CONCATENATE("R2C",'Mapa final'!$S$31),"")</f>
        <v/>
      </c>
      <c r="N44" s="63" t="str">
        <f>IF(AND('Mapa final'!$AJ$32="Baja",'Mapa final'!$AL$32="Leve"),CONCATENATE("R2C",'Mapa final'!$S$32),"")</f>
        <v/>
      </c>
      <c r="O44" s="63" t="str">
        <f>IF(AND('Mapa final'!$AJ$33="Baja",'Mapa final'!$AL$33="Leve"),CONCATENATE("R2C",'Mapa final'!$S$33),"")</f>
        <v/>
      </c>
      <c r="P44" s="64" t="str">
        <f>IF(AND('Mapa final'!$AJ$34="Baja",'Mapa final'!$AL$34="Leve"),CONCATENATE("R2C",'Mapa final'!$S$34),"")</f>
        <v/>
      </c>
      <c r="Q44" s="53" t="str">
        <f>IF(AND('Mapa final'!$AJ$29="Baja",'Mapa final'!$AL$29="Menor"),CONCATENATE("R2C",'Mapa final'!$S$29),"")</f>
        <v/>
      </c>
      <c r="R44" s="54" t="str">
        <f>IF(AND('Mapa final'!$AJ$30="Baja",'Mapa final'!$AL$30="Menor"),CONCATENATE("R2C",'Mapa final'!$S$30),"")</f>
        <v/>
      </c>
      <c r="S44" s="54" t="str">
        <f>IF(AND('Mapa final'!$AJ$31="Baja",'Mapa final'!$AL$31="Menor"),CONCATENATE("R2C",'Mapa final'!$S$31),"")</f>
        <v/>
      </c>
      <c r="T44" s="54" t="str">
        <f>IF(AND('Mapa final'!$AJ$32="Baja",'Mapa final'!$AL$32="Menor"),CONCATENATE("R2C",'Mapa final'!$S$32),"")</f>
        <v/>
      </c>
      <c r="U44" s="54" t="str">
        <f>IF(AND('Mapa final'!$AJ$33="Baja",'Mapa final'!$AL$33="Menor"),CONCATENATE("R2C",'Mapa final'!$S$33),"")</f>
        <v/>
      </c>
      <c r="V44" s="55" t="str">
        <f>IF(AND('Mapa final'!$AJ$34="Baja",'Mapa final'!$AL$34="Menor"),CONCATENATE("R2C",'Mapa final'!$S$34),"")</f>
        <v/>
      </c>
      <c r="W44" s="53" t="str">
        <f>IF(AND('Mapa final'!$AJ$29="Baja",'Mapa final'!$AL$29="Moderado"),CONCATENATE("R2C",'Mapa final'!$S$29),"")</f>
        <v/>
      </c>
      <c r="X44" s="54" t="str">
        <f>IF(AND('Mapa final'!$AJ$30="Baja",'Mapa final'!$AL$30="Moderado"),CONCATENATE("R2C",'Mapa final'!$S$30),"")</f>
        <v/>
      </c>
      <c r="Y44" s="54" t="str">
        <f>IF(AND('Mapa final'!$AJ$31="Baja",'Mapa final'!$AL$31="Moderado"),CONCATENATE("R2C",'Mapa final'!$S$31),"")</f>
        <v/>
      </c>
      <c r="Z44" s="54" t="str">
        <f>IF(AND('Mapa final'!$AJ$32="Baja",'Mapa final'!$AL$32="Moderado"),CONCATENATE("R2C",'Mapa final'!$S$32),"")</f>
        <v/>
      </c>
      <c r="AA44" s="54" t="str">
        <f>IF(AND('Mapa final'!$AJ$33="Baja",'Mapa final'!$AL$33="Moderado"),CONCATENATE("R2C",'Mapa final'!$S$33),"")</f>
        <v/>
      </c>
      <c r="AB44" s="55" t="str">
        <f>IF(AND('Mapa final'!$AJ$34="Baja",'Mapa final'!$AL$34="Moderado"),CONCATENATE("R2C",'Mapa final'!$S$34),"")</f>
        <v/>
      </c>
      <c r="AC44" s="38" t="str">
        <f>IF(AND('Mapa final'!$AJ$29="Baja",'Mapa final'!$AL$29="Mayor"),CONCATENATE("R2C",'Mapa final'!$S$29),"")</f>
        <v/>
      </c>
      <c r="AD44" s="178" t="str">
        <f>IF(AND('Mapa final'!$AJ$30="Baja",'Mapa final'!$AL$30="Mayor"),CONCATENATE("R2C",'Mapa final'!$S$30),"")</f>
        <v/>
      </c>
      <c r="AE44" s="178" t="str">
        <f>IF(AND('Mapa final'!$AJ$31="Baja",'Mapa final'!$AL$31="Mayor"),CONCATENATE("R2C",'Mapa final'!$S$31),"")</f>
        <v/>
      </c>
      <c r="AF44" s="178" t="str">
        <f>IF(AND('Mapa final'!$AJ$32="Baja",'Mapa final'!$AL$32="Mayor"),CONCATENATE("R2C",'Mapa final'!$S$32),"")</f>
        <v/>
      </c>
      <c r="AG44" s="178" t="str">
        <f>IF(AND('Mapa final'!$AJ$33="Baja",'Mapa final'!$AL$33="Mayor"),CONCATENATE("R2C",'Mapa final'!$S$33),"")</f>
        <v/>
      </c>
      <c r="AH44" s="40" t="str">
        <f>IF(AND('Mapa final'!$AJ$34="Baja",'Mapa final'!$AL$34="Mayor"),CONCATENATE("R2C",'Mapa final'!$S$34),"")</f>
        <v/>
      </c>
      <c r="AI44" s="41" t="str">
        <f>IF(AND('Mapa final'!$AJ$29="Baja",'Mapa final'!$AL$29="Catastrófico"),CONCATENATE("R2C",'Mapa final'!$S$29),"")</f>
        <v/>
      </c>
      <c r="AJ44" s="42" t="str">
        <f>IF(AND('Mapa final'!$AJ$30="Baja",'Mapa final'!$AL$30="Catastrófico"),CONCATENATE("R2C",'Mapa final'!$S$30),"")</f>
        <v/>
      </c>
      <c r="AK44" s="42" t="str">
        <f>IF(AND('Mapa final'!$AJ$31="Baja",'Mapa final'!$AL$31="Catastrófico"),CONCATENATE("R2C",'Mapa final'!$S$31),"")</f>
        <v/>
      </c>
      <c r="AL44" s="42" t="str">
        <f>IF(AND('Mapa final'!$AJ$32="Baja",'Mapa final'!$AL$32="Catastrófico"),CONCATENATE("R2C",'Mapa final'!$S$32),"")</f>
        <v/>
      </c>
      <c r="AM44" s="42" t="str">
        <f>IF(AND('Mapa final'!$AJ$33="Baja",'Mapa final'!$AL$33="Catastrófico"),CONCATENATE("R2C",'Mapa final'!$S$33),"")</f>
        <v/>
      </c>
      <c r="AN44" s="43" t="str">
        <f>IF(AND('Mapa final'!$AJ$34="Baja",'Mapa final'!$AL$34="Catastrófico"),CONCATENATE("R2C",'Mapa final'!$S$34),"")</f>
        <v/>
      </c>
      <c r="AO44" s="69"/>
      <c r="AP44" s="464"/>
      <c r="AQ44" s="465"/>
      <c r="AR44" s="465"/>
      <c r="AS44" s="465"/>
      <c r="AT44" s="465"/>
      <c r="AU44" s="466"/>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37"/>
      <c r="D45" s="337"/>
      <c r="E45" s="338"/>
      <c r="F45" s="432"/>
      <c r="G45" s="433"/>
      <c r="H45" s="433"/>
      <c r="I45" s="433"/>
      <c r="J45" s="433"/>
      <c r="K45" s="62" t="str">
        <f>IF(AND('Mapa final'!$AJ$35="Baja",'Mapa final'!$AL$35="Leve"),CONCATENATE("R2C",'Mapa final'!$S$35),"")</f>
        <v/>
      </c>
      <c r="L45" s="63" t="str">
        <f>IF(AND('Mapa final'!$AJ$36="Baja",'Mapa final'!$AL$36="Leve"),CONCATENATE("R2C",'Mapa final'!$S$36),"")</f>
        <v/>
      </c>
      <c r="M45" s="63" t="str">
        <f>IF(AND('Mapa final'!$AJ$37="Baja",'Mapa final'!$AL$37="Leve"),CONCATENATE("R2C",'Mapa final'!$S$37),"")</f>
        <v/>
      </c>
      <c r="N45" s="63" t="str">
        <f>IF(AND('Mapa final'!$AJ$38="Baja",'Mapa final'!$AL$38="Leve"),CONCATENATE("R2C",'Mapa final'!$S$38),"")</f>
        <v/>
      </c>
      <c r="O45" s="63" t="str">
        <f>IF(AND('Mapa final'!$AJ$39="Baja",'Mapa final'!$AL$39="Leve"),CONCATENATE("R2C",'Mapa final'!$S$39),"")</f>
        <v/>
      </c>
      <c r="P45" s="64" t="str">
        <f>IF(AND('Mapa final'!$AJ$40="Baja",'Mapa final'!$AL$40="Leve"),CONCATENATE("R2C",'Mapa final'!$S$40),"")</f>
        <v/>
      </c>
      <c r="Q45" s="53" t="str">
        <f>IF(AND('Mapa final'!$AJ$35="Baja",'Mapa final'!$AL$35="Menor"),CONCATENATE("R2C",'Mapa final'!$S$35),"")</f>
        <v/>
      </c>
      <c r="R45" s="54" t="str">
        <f>IF(AND('Mapa final'!$AJ$36="Baja",'Mapa final'!$AL$36="Menor"),CONCATENATE("R2C",'Mapa final'!$S$36),"")</f>
        <v/>
      </c>
      <c r="S45" s="54" t="str">
        <f>IF(AND('Mapa final'!$AJ$37="Baja",'Mapa final'!$AL$37="Menor"),CONCATENATE("R2C",'Mapa final'!$S$37),"")</f>
        <v/>
      </c>
      <c r="T45" s="54" t="str">
        <f>IF(AND('Mapa final'!$AJ$38="Baja",'Mapa final'!$AL$38="Menor"),CONCATENATE("R2C",'Mapa final'!$S$38),"")</f>
        <v/>
      </c>
      <c r="U45" s="54" t="str">
        <f>IF(AND('Mapa final'!$AJ$39="Baja",'Mapa final'!$AL$39="LMenor"),CONCATENATE("R2C",'Mapa final'!$S$39),"")</f>
        <v/>
      </c>
      <c r="V45" s="55" t="str">
        <f>IF(AND('Mapa final'!$AJ$40="Baja",'Mapa final'!$AL$40="Menor"),CONCATENATE("R2C",'Mapa final'!$S$40),"")</f>
        <v/>
      </c>
      <c r="W45" s="53" t="str">
        <f>IF(AND('Mapa final'!$AJ$35="Baja",'Mapa final'!$AL$35="Moderado"),CONCATENATE("R2C",'Mapa final'!$S$35),"")</f>
        <v/>
      </c>
      <c r="X45" s="54" t="str">
        <f>IF(AND('Mapa final'!$AJ$36="Baja",'Mapa final'!$AL$36="Moderado"),CONCATENATE("R2C",'Mapa final'!$S$36),"")</f>
        <v/>
      </c>
      <c r="Y45" s="54" t="str">
        <f>IF(AND('Mapa final'!$AJ$37="Baja",'Mapa final'!$AL$37="Moderado"),CONCATENATE("R2C",'Mapa final'!$S$37),"")</f>
        <v/>
      </c>
      <c r="Z45" s="54" t="str">
        <f>IF(AND('Mapa final'!$AJ$38="Baja",'Mapa final'!$AL$38="Moderado"),CONCATENATE("R2C",'Mapa final'!$S$38),"")</f>
        <v/>
      </c>
      <c r="AA45" s="54" t="str">
        <f>IF(AND('Mapa final'!$AJ$39="Baja",'Mapa final'!$AL$39="Moderado"),CONCATENATE("R2C",'Mapa final'!$S$39),"")</f>
        <v/>
      </c>
      <c r="AB45" s="55" t="str">
        <f>IF(AND('Mapa final'!$AJ$40="Baja",'Mapa final'!$AL$40="Moderado"),CONCATENATE("R2C",'Mapa final'!$S$40),"")</f>
        <v/>
      </c>
      <c r="AC45" s="38" t="str">
        <f>IF(AND('Mapa final'!$AJ$35="Baja",'Mapa final'!$AL$35="Mayor"),CONCATENATE("R2C",'Mapa final'!$S$35),"")</f>
        <v/>
      </c>
      <c r="AD45" s="178" t="str">
        <f>IF(AND('Mapa final'!$AJ$36="Baja",'Mapa final'!$AL$36="Mayor"),CONCATENATE("R2C",'Mapa final'!$S$36),"")</f>
        <v/>
      </c>
      <c r="AE45" s="178" t="str">
        <f>IF(AND('Mapa final'!$AJ$37="Baja",'Mapa final'!$AL$37="Mayor"),CONCATENATE("R2C",'Mapa final'!$S$37),"")</f>
        <v/>
      </c>
      <c r="AF45" s="178" t="str">
        <f>IF(AND('Mapa final'!$AJ$38="Baja",'Mapa final'!$AL$38="Mayor"),CONCATENATE("R2C",'Mapa final'!$S$38),"")</f>
        <v/>
      </c>
      <c r="AG45" s="178" t="str">
        <f>IF(AND('Mapa final'!$AJ$39="Baja",'Mapa final'!$AL$39="Mayor"),CONCATENATE("R2C",'Mapa final'!$S$39),"")</f>
        <v/>
      </c>
      <c r="AH45" s="40" t="str">
        <f>IF(AND('Mapa final'!$AJ$40="Baja",'Mapa final'!$AL$40="Mayor"),CONCATENATE("R2C",'Mapa final'!$S$40),"")</f>
        <v/>
      </c>
      <c r="AI45" s="41" t="str">
        <f>IF(AND('Mapa final'!$AJ$35="Baja",'Mapa final'!$AL$35="Catastrófico"),CONCATENATE("R2C",'Mapa final'!$S$35),"")</f>
        <v/>
      </c>
      <c r="AJ45" s="42" t="str">
        <f>IF(AND('Mapa final'!$AJ$36="Baja",'Mapa final'!$AL$36="Catastrófico"),CONCATENATE("R2C",'Mapa final'!$S$36),"")</f>
        <v/>
      </c>
      <c r="AK45" s="42" t="str">
        <f>IF(AND('Mapa final'!$AJ$37="Baja",'Mapa final'!$AL$37="Catastrófico"),CONCATENATE("R2C",'Mapa final'!$S$37),"")</f>
        <v/>
      </c>
      <c r="AL45" s="42" t="str">
        <f>IF(AND('Mapa final'!$AJ$38="Baja",'Mapa final'!$AL$38="Catastrófico"),CONCATENATE("R2C",'Mapa final'!$S$38),"")</f>
        <v/>
      </c>
      <c r="AM45" s="42" t="str">
        <f>IF(AND('Mapa final'!$AJ$39="Baja",'Mapa final'!$AL$39="LCatastrófico"),CONCATENATE("R2C",'Mapa final'!$S$39),"")</f>
        <v/>
      </c>
      <c r="AN45" s="43" t="str">
        <f>IF(AND('Mapa final'!$AJ$40="Baja",'Mapa final'!$AL$40="Catastrófico"),CONCATENATE("R2C",'Mapa final'!$S$40),"")</f>
        <v/>
      </c>
      <c r="AO45" s="69"/>
      <c r="AP45" s="464"/>
      <c r="AQ45" s="465"/>
      <c r="AR45" s="465"/>
      <c r="AS45" s="465"/>
      <c r="AT45" s="465"/>
      <c r="AU45" s="466"/>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37"/>
      <c r="D46" s="337"/>
      <c r="E46" s="338"/>
      <c r="F46" s="432"/>
      <c r="G46" s="433"/>
      <c r="H46" s="433"/>
      <c r="I46" s="433"/>
      <c r="J46" s="433"/>
      <c r="K46" s="62" t="str">
        <f>IF(AND('Mapa final'!$AJ$41="Baja",'Mapa final'!$AL$41="Leve"),CONCATENATE("R2C",'Mapa final'!$S$41),"")</f>
        <v/>
      </c>
      <c r="L46" s="63" t="str">
        <f>IF(AND('Mapa final'!$AJ$42="Baja",'Mapa final'!$AL$42="Leve"),CONCATENATE("R2C",'Mapa final'!$S$42),"")</f>
        <v/>
      </c>
      <c r="M46" s="63" t="str">
        <f>IF(AND('Mapa final'!$AJ$43="Baja",'Mapa final'!$AL$43="Leve"),CONCATENATE("R2C",'Mapa final'!$S$43),"")</f>
        <v/>
      </c>
      <c r="N46" s="63" t="str">
        <f>IF(AND('Mapa final'!$AJ$44="Baja",'Mapa final'!$AL$44="Leve"),CONCATENATE("R2C",'Mapa final'!$S$44),"")</f>
        <v/>
      </c>
      <c r="O46" s="63" t="str">
        <f>IF(AND('Mapa final'!$AJ$45="Baja",'Mapa final'!$AL$45="Leve"),CONCATENATE("R2C",'Mapa final'!$S$45),"")</f>
        <v/>
      </c>
      <c r="P46" s="64" t="str">
        <f>IF(AND('Mapa final'!$AJ$46="Baja",'Mapa final'!$AL$46="Leve"),CONCATENATE("R2C",'Mapa final'!$S$46),"")</f>
        <v/>
      </c>
      <c r="Q46" s="53" t="str">
        <f>IF(AND('Mapa final'!$AJ$41="Baja",'Mapa final'!$AL$41="Menor"),CONCATENATE("R2C",'Mapa final'!$S$41),"")</f>
        <v/>
      </c>
      <c r="R46" s="54" t="str">
        <f>IF(AND('Mapa final'!$AJ$42="Baja",'Mapa final'!$AL$42="Menor"),CONCATENATE("R2C",'Mapa final'!$S$42),"")</f>
        <v/>
      </c>
      <c r="S46" s="54" t="str">
        <f>IF(AND('Mapa final'!$AJ$43="Baja",'Mapa final'!$AL$43="Menor"),CONCATENATE("R2C",'Mapa final'!$S$43),"")</f>
        <v/>
      </c>
      <c r="T46" s="54" t="str">
        <f>IF(AND('Mapa final'!$AJ$44="Baja",'Mapa final'!$AL$44="Menor"),CONCATENATE("R2C",'Mapa final'!$S$44),"")</f>
        <v/>
      </c>
      <c r="U46" s="54" t="str">
        <f>IF(AND('Mapa final'!$AJ$45="Baja",'Mapa final'!$AL$45="Menor"),CONCATENATE("R2C",'Mapa final'!$S$45),"")</f>
        <v/>
      </c>
      <c r="V46" s="55" t="str">
        <f>IF(AND('Mapa final'!$AJ$46="Baja",'Mapa final'!$AL$46="Menor"),CONCATENATE("R2C",'Mapa final'!$S$46),"")</f>
        <v/>
      </c>
      <c r="W46" s="53" t="str">
        <f>IF(AND('Mapa final'!$AJ$41="Baja",'Mapa final'!$AL$41="Moderado"),CONCATENATE("R2C",'Mapa final'!$S$41),"")</f>
        <v/>
      </c>
      <c r="X46" s="54" t="str">
        <f>IF(AND('Mapa final'!$AJ$42="Baja",'Mapa final'!$AL$42="Moderado"),CONCATENATE("R2C",'Mapa final'!$S$42),"")</f>
        <v/>
      </c>
      <c r="Y46" s="54" t="str">
        <f>IF(AND('Mapa final'!$AJ$43="Baja",'Mapa final'!$AL$43="Moderado"),CONCATENATE("R2C",'Mapa final'!$S$43),"")</f>
        <v/>
      </c>
      <c r="Z46" s="54" t="str">
        <f>IF(AND('Mapa final'!$AJ$44="Baja",'Mapa final'!$AL$44="Moderado"),CONCATENATE("R2C",'Mapa final'!$S$44),"")</f>
        <v/>
      </c>
      <c r="AA46" s="54" t="str">
        <f>IF(AND('Mapa final'!$AJ$45="Baja",'Mapa final'!$AL$45="Moderado"),CONCATENATE("R2C",'Mapa final'!$S$45),"")</f>
        <v/>
      </c>
      <c r="AB46" s="55" t="str">
        <f>IF(AND('Mapa final'!$AJ$46="Baja",'Mapa final'!$AL$46="Moderado"),CONCATENATE("R2C",'Mapa final'!$S$46),"")</f>
        <v/>
      </c>
      <c r="AC46" s="38" t="str">
        <f>IF(AND('Mapa final'!$AJ$41="Baja",'Mapa final'!$AL$41="Mayor"),CONCATENATE("R2C",'Mapa final'!$S$41),"")</f>
        <v/>
      </c>
      <c r="AD46" s="178" t="str">
        <f>IF(AND('Mapa final'!$AJ$42="Baja",'Mapa final'!$AL$42="Mayor"),CONCATENATE("R2C",'Mapa final'!$S$42),"")</f>
        <v/>
      </c>
      <c r="AE46" s="178" t="str">
        <f>IF(AND('Mapa final'!$AJ$43="Baja",'Mapa final'!$AL$43="Mayor"),CONCATENATE("R2C",'Mapa final'!$S$43),"")</f>
        <v/>
      </c>
      <c r="AF46" s="178" t="str">
        <f>IF(AND('Mapa final'!$AJ$44="Baja",'Mapa final'!$AL$44="Mayor"),CONCATENATE("R2C",'Mapa final'!$S$44),"")</f>
        <v/>
      </c>
      <c r="AG46" s="178" t="str">
        <f>IF(AND('Mapa final'!$AJ$45="Baja",'Mapa final'!$AL$45="Mayor"),CONCATENATE("R2C",'Mapa final'!$S$45),"")</f>
        <v/>
      </c>
      <c r="AH46" s="40" t="str">
        <f>IF(AND('Mapa final'!$AJ$46="Baja",'Mapa final'!$AL$46="Mayor"),CONCATENATE("R2C",'Mapa final'!$S$46),"")</f>
        <v/>
      </c>
      <c r="AI46" s="41" t="str">
        <f>IF(AND('Mapa final'!$AJ$41="Baja",'Mapa final'!$AL$41="Catastrófico"),CONCATENATE("R2C",'Mapa final'!$S$41),"")</f>
        <v/>
      </c>
      <c r="AJ46" s="42" t="str">
        <f>IF(AND('Mapa final'!$AJ$42="Baja",'Mapa final'!$AL$42="Catastrófico"),CONCATENATE("R2C",'Mapa final'!$S$42),"")</f>
        <v/>
      </c>
      <c r="AK46" s="42" t="str">
        <f>IF(AND('Mapa final'!$AJ$43="Baja",'Mapa final'!$AL$43="Catastrófico"),CONCATENATE("R2C",'Mapa final'!$S$43),"")</f>
        <v/>
      </c>
      <c r="AL46" s="42" t="str">
        <f>IF(AND('Mapa final'!$AJ$44="Baja",'Mapa final'!$AL$44="Catastrófico"),CONCATENATE("R2C",'Mapa final'!$S$44),"")</f>
        <v/>
      </c>
      <c r="AM46" s="42" t="str">
        <f>IF(AND('Mapa final'!$AJ$45="Baja",'Mapa final'!$AL$45="Catastrófico"),CONCATENATE("R2C",'Mapa final'!$S$45),"")</f>
        <v/>
      </c>
      <c r="AN46" s="43" t="str">
        <f>IF(AND('Mapa final'!$AJ$46="Baja",'Mapa final'!$AL$46="Catastrófico"),CONCATENATE("R2C",'Mapa final'!$S$46),"")</f>
        <v/>
      </c>
      <c r="AO46" s="69"/>
      <c r="AP46" s="464"/>
      <c r="AQ46" s="465"/>
      <c r="AR46" s="465"/>
      <c r="AS46" s="465"/>
      <c r="AT46" s="465"/>
      <c r="AU46" s="466"/>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37"/>
      <c r="D47" s="337"/>
      <c r="E47" s="338"/>
      <c r="F47" s="432"/>
      <c r="G47" s="433"/>
      <c r="H47" s="433"/>
      <c r="I47" s="433"/>
      <c r="J47" s="433"/>
      <c r="K47" s="62" t="str">
        <f>IF(AND('Mapa final'!$AJ$47="Baja",'Mapa final'!$AL$47="Leve"),CONCATENATE("R2C",'Mapa final'!$S$47),"")</f>
        <v/>
      </c>
      <c r="L47" s="63" t="str">
        <f>IF(AND('Mapa final'!$AJ$48="Baja",'Mapa final'!$AL$48="Leve"),CONCATENATE("R2C",'Mapa final'!$S$48),"")</f>
        <v/>
      </c>
      <c r="M47" s="63" t="str">
        <f>IF(AND('Mapa final'!$AJ$49="Baja",'Mapa final'!$AL$49="Leve"),CONCATENATE("R2C",'Mapa final'!$S$49),"")</f>
        <v/>
      </c>
      <c r="N47" s="63" t="str">
        <f>IF(AND('Mapa final'!$AJ$50="Baja",'Mapa final'!$AL$50="Leve"),CONCATENATE("R2C",'Mapa final'!$S$50),"")</f>
        <v/>
      </c>
      <c r="O47" s="63" t="str">
        <f>IF(AND('Mapa final'!$AJ$51="Baja",'Mapa final'!$AL$51="Leve"),CONCATENATE("R2C",'Mapa final'!$S$51),"")</f>
        <v/>
      </c>
      <c r="P47" s="64" t="str">
        <f>IF(AND('Mapa final'!$AJ$62="Baja",'Mapa final'!$AL$52="Leve"),CONCATENATE("R2C",'Mapa final'!$S$52),"")</f>
        <v/>
      </c>
      <c r="Q47" s="53" t="str">
        <f>IF(AND('Mapa final'!$AJ$47="Baja",'Mapa final'!$AL$47="Menor"),CONCATENATE("R2C",'Mapa final'!$S$47),"")</f>
        <v/>
      </c>
      <c r="R47" s="54" t="str">
        <f>IF(AND('Mapa final'!$AJ$48="Baja",'Mapa final'!$AL$48="Menor"),CONCATENATE("R2C",'Mapa final'!$S$48),"")</f>
        <v/>
      </c>
      <c r="S47" s="54" t="str">
        <f>IF(AND('Mapa final'!$AJ$49="Baja",'Mapa final'!$AL$49="Menor"),CONCATENATE("R2C",'Mapa final'!$S$49),"")</f>
        <v/>
      </c>
      <c r="T47" s="54" t="str">
        <f>IF(AND('Mapa final'!$AJ$50="Baja",'Mapa final'!$AL$50="Menor"),CONCATENATE("R2C",'Mapa final'!$S$50),"")</f>
        <v/>
      </c>
      <c r="U47" s="54" t="str">
        <f>IF(AND('Mapa final'!$AJ$51="Baja",'Mapa final'!$AL$51="Menor"),CONCATENATE("R2C",'Mapa final'!$S$51),"")</f>
        <v/>
      </c>
      <c r="V47" s="55" t="str">
        <f>IF(AND('Mapa final'!$AJ$62="Baja",'Mapa final'!$AL$52="Menor"),CONCATENATE("R2C",'Mapa final'!$S$52),"")</f>
        <v/>
      </c>
      <c r="W47" s="53" t="str">
        <f>IF(AND('Mapa final'!$AJ$47="Baja",'Mapa final'!$AL$47="Moderado"),CONCATENATE("R2C",'Mapa final'!$S$47),"")</f>
        <v/>
      </c>
      <c r="X47" s="54" t="str">
        <f>IF(AND('Mapa final'!$AJ$48="Baja",'Mapa final'!$AL$48="Moderado"),CONCATENATE("R2C",'Mapa final'!$S$48),"")</f>
        <v/>
      </c>
      <c r="Y47" s="54" t="str">
        <f>IF(AND('Mapa final'!$AJ$49="Baja",'Mapa final'!$AL$49="Moderado"),CONCATENATE("R2C",'Mapa final'!$S$49),"")</f>
        <v/>
      </c>
      <c r="Z47" s="54" t="str">
        <f>IF(AND('Mapa final'!$AJ$50="Baja",'Mapa final'!$AL$50="Moderado"),CONCATENATE("R2C",'Mapa final'!$S$50),"")</f>
        <v/>
      </c>
      <c r="AA47" s="54" t="str">
        <f>IF(AND('Mapa final'!$AJ$51="Baja",'Mapa final'!$AL$51="Moderado"),CONCATENATE("R2C",'Mapa final'!$S$51),"")</f>
        <v/>
      </c>
      <c r="AB47" s="55" t="str">
        <f>IF(AND('Mapa final'!$AJ$62="Baja",'Mapa final'!$AL$52="Moderado"),CONCATENATE("R2C",'Mapa final'!$S$52),"")</f>
        <v/>
      </c>
      <c r="AC47" s="38" t="str">
        <f>IF(AND('Mapa final'!$AJ$47="Baja",'Mapa final'!$AL$47="Mayor"),CONCATENATE("R2C",'Mapa final'!$S$47),"")</f>
        <v/>
      </c>
      <c r="AD47" s="178" t="str">
        <f>IF(AND('Mapa final'!$AJ$48="Baja",'Mapa final'!$AL$48="Mayor"),CONCATENATE("R2C",'Mapa final'!$S$48),"")</f>
        <v/>
      </c>
      <c r="AE47" s="178" t="str">
        <f>IF(AND('Mapa final'!$AJ$49="Baja",'Mapa final'!$AL$49="Mayor"),CONCATENATE("R2C",'Mapa final'!$S$49),"")</f>
        <v/>
      </c>
      <c r="AF47" s="178" t="str">
        <f>IF(AND('Mapa final'!$AJ$50="Baja",'Mapa final'!$AL$50="Mayor"),CONCATENATE("R2C",'Mapa final'!$S$50),"")</f>
        <v/>
      </c>
      <c r="AG47" s="178" t="str">
        <f>IF(AND('Mapa final'!$AJ$51="Baja",'Mapa final'!$AL$51="Mayor"),CONCATENATE("R2C",'Mapa final'!$S$51),"")</f>
        <v/>
      </c>
      <c r="AH47" s="40" t="str">
        <f>IF(AND('Mapa final'!$AJ$62="Baja",'Mapa final'!$AL$52="Mayor"),CONCATENATE("R2C",'Mapa final'!$S$52),"")</f>
        <v/>
      </c>
      <c r="AI47" s="41" t="str">
        <f>IF(AND('Mapa final'!$AJ$47="Baja",'Mapa final'!$AL$47="Catastrófico"),CONCATENATE("R2C",'Mapa final'!$S$47),"")</f>
        <v/>
      </c>
      <c r="AJ47" s="42" t="str">
        <f>IF(AND('Mapa final'!$AJ$48="Baja",'Mapa final'!$AL$48="Catastrófico"),CONCATENATE("R2C",'Mapa final'!$S$48),"")</f>
        <v/>
      </c>
      <c r="AK47" s="42" t="str">
        <f>IF(AND('Mapa final'!$AJ$49="Baja",'Mapa final'!$AL$49="Catastrófico"),CONCATENATE("R2C",'Mapa final'!$S$49),"")</f>
        <v/>
      </c>
      <c r="AL47" s="42" t="str">
        <f>IF(AND('Mapa final'!$AJ$50="Baja",'Mapa final'!$AL$50="Catastrófico"),CONCATENATE("R2C",'Mapa final'!$S$50),"")</f>
        <v/>
      </c>
      <c r="AM47" s="42" t="str">
        <f>IF(AND('Mapa final'!$AJ$51="Baja",'Mapa final'!$AL$51="Catastrófico"),CONCATENATE("R2C",'Mapa final'!$S$51),"")</f>
        <v/>
      </c>
      <c r="AN47" s="43" t="str">
        <f>IF(AND('Mapa final'!$AJ$62="Baja",'Mapa final'!$AL$52="Catastrófico"),CONCATENATE("R2C",'Mapa final'!$S$52),"")</f>
        <v/>
      </c>
      <c r="AO47" s="69"/>
      <c r="AP47" s="464"/>
      <c r="AQ47" s="465"/>
      <c r="AR47" s="465"/>
      <c r="AS47" s="465"/>
      <c r="AT47" s="465"/>
      <c r="AU47" s="466"/>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37"/>
      <c r="D48" s="337"/>
      <c r="E48" s="338"/>
      <c r="F48" s="432"/>
      <c r="G48" s="433"/>
      <c r="H48" s="433"/>
      <c r="I48" s="433"/>
      <c r="J48" s="433"/>
      <c r="K48" s="62" t="str">
        <f>IF(AND('Mapa final'!$AJ$53="Baja",'Mapa final'!$AL$53="Leve"),CONCATENATE("R2C",'Mapa final'!$S$53),"")</f>
        <v/>
      </c>
      <c r="L48" s="63" t="str">
        <f>IF(AND('Mapa final'!$AJ$54="Baja",'Mapa final'!$AL$54="Leve"),CONCATENATE("R2C",'Mapa final'!$S$54),"")</f>
        <v/>
      </c>
      <c r="M48" s="63" t="str">
        <f>IF(AND('Mapa final'!$AJ$55="Baja",'Mapa final'!$AL$55="Leve"),CONCATENATE("R2C",'Mapa final'!$S$55),"")</f>
        <v/>
      </c>
      <c r="N48" s="63" t="str">
        <f>IF(AND('Mapa final'!$AJ$56="Baja",'Mapa final'!$AL$56="Leve"),CONCATENATE("R2C",'Mapa final'!$S$56),"")</f>
        <v/>
      </c>
      <c r="O48" s="63" t="str">
        <f>IF(AND('Mapa final'!$AJ$57="Baja",'Mapa final'!$AL$57="Leve"),CONCATENATE("R2C",'Mapa final'!$S$57),"")</f>
        <v/>
      </c>
      <c r="P48" s="64" t="str">
        <f>IF(AND('Mapa final'!$AJ$58="Baja",'Mapa final'!$AL$58="Leve"),CONCATENATE("R2C",'Mapa final'!$S$58),"")</f>
        <v/>
      </c>
      <c r="Q48" s="53" t="str">
        <f>IF(AND('Mapa final'!$AJ$53="Baja",'Mapa final'!$AL$53="Menor"),CONCATENATE("R2C",'Mapa final'!$S$53),"")</f>
        <v/>
      </c>
      <c r="R48" s="54" t="str">
        <f>IF(AND('Mapa final'!$AJ$54="Baja",'Mapa final'!$AL$54="Menor"),CONCATENATE("R2C",'Mapa final'!$S$54),"")</f>
        <v/>
      </c>
      <c r="S48" s="54" t="str">
        <f>IF(AND('Mapa final'!$AJ$55="Baja",'Mapa final'!$AL$55="Menor"),CONCATENATE("R2C",'Mapa final'!$S$55),"")</f>
        <v/>
      </c>
      <c r="T48" s="54" t="str">
        <f>IF(AND('Mapa final'!$AJ$56="Baja",'Mapa final'!$AL$56="Menor"),CONCATENATE("R2C",'Mapa final'!$S$56),"")</f>
        <v/>
      </c>
      <c r="U48" s="54" t="str">
        <f>IF(AND('Mapa final'!$AJ$57="Baja",'Mapa final'!$AL$57="Menor"),CONCATENATE("R2C",'Mapa final'!$S$57),"")</f>
        <v/>
      </c>
      <c r="V48" s="55" t="str">
        <f>IF(AND('Mapa final'!$AJ$58="Baja",'Mapa final'!$AL$58="Menor"),CONCATENATE("R2C",'Mapa final'!$S$58),"")</f>
        <v/>
      </c>
      <c r="W48" s="53" t="str">
        <f>IF(AND('Mapa final'!$AJ$53="Baja",'Mapa final'!$AL$53="Moderado"),CONCATENATE("R2C",'Mapa final'!$S$53),"")</f>
        <v/>
      </c>
      <c r="X48" s="54" t="str">
        <f>IF(AND('Mapa final'!$AJ$54="Baja",'Mapa final'!$AL$54="Moderado"),CONCATENATE("R2C",'Mapa final'!$S$54),"")</f>
        <v/>
      </c>
      <c r="Y48" s="54" t="str">
        <f>IF(AND('Mapa final'!$AJ$55="Baja",'Mapa final'!$AL$55="Moderado"),CONCATENATE("R2C",'Mapa final'!$S$55),"")</f>
        <v/>
      </c>
      <c r="Z48" s="54" t="str">
        <f>IF(AND('Mapa final'!$AJ$56="Baja",'Mapa final'!$AL$56="Moderado"),CONCATENATE("R2C",'Mapa final'!$S$56),"")</f>
        <v/>
      </c>
      <c r="AA48" s="54" t="str">
        <f>IF(AND('Mapa final'!$AJ$57="Baja",'Mapa final'!$AL$57="Moderado"),CONCATENATE("R2C",'Mapa final'!$S$57),"")</f>
        <v/>
      </c>
      <c r="AB48" s="55" t="str">
        <f>IF(AND('Mapa final'!$AJ$58="Baja",'Mapa final'!$AL$58="Moderado"),CONCATENATE("R2C",'Mapa final'!$S$58),"")</f>
        <v/>
      </c>
      <c r="AC48" s="38" t="str">
        <f>IF(AND('Mapa final'!$AJ$53="Baja",'Mapa final'!$AL$53="Mayor"),CONCATENATE("R2C",'Mapa final'!$S$53),"")</f>
        <v/>
      </c>
      <c r="AD48" s="178" t="str">
        <f>IF(AND('Mapa final'!$AJ$54="Baja",'Mapa final'!$AL$54="Mayor"),CONCATENATE("R2C",'Mapa final'!$S$54),"")</f>
        <v/>
      </c>
      <c r="AE48" s="178" t="str">
        <f>IF(AND('Mapa final'!$AJ$55="Baja",'Mapa final'!$AL$55="Mayor"),CONCATENATE("R2C",'Mapa final'!$S$55),"")</f>
        <v/>
      </c>
      <c r="AF48" s="178" t="str">
        <f>IF(AND('Mapa final'!$AJ$56="Baja",'Mapa final'!$AL$56="Mayor"),CONCATENATE("R2C",'Mapa final'!$S$56),"")</f>
        <v/>
      </c>
      <c r="AG48" s="178" t="str">
        <f>IF(AND('Mapa final'!$AJ$57="Baja",'Mapa final'!$AL$57="Mayor"),CONCATENATE("R2C",'Mapa final'!$S$57),"")</f>
        <v/>
      </c>
      <c r="AH48" s="40" t="str">
        <f>IF(AND('Mapa final'!$AJ$58="Baja",'Mapa final'!$AL$58="Mayor"),CONCATENATE("R2C",'Mapa final'!$S$58),"")</f>
        <v/>
      </c>
      <c r="AI48" s="41" t="str">
        <f>IF(AND('Mapa final'!$AJ$53="Baja",'Mapa final'!$AL$53="Catastrófico"),CONCATENATE("R2C",'Mapa final'!$S$53),"")</f>
        <v/>
      </c>
      <c r="AJ48" s="42" t="str">
        <f>IF(AND('Mapa final'!$AJ$54="Baja",'Mapa final'!$AL$54="Catastrófico"),CONCATENATE("R2C",'Mapa final'!$S$54),"")</f>
        <v/>
      </c>
      <c r="AK48" s="42" t="str">
        <f>IF(AND('Mapa final'!$AJ$55="Baja",'Mapa final'!$AL$55="Catastrófico"),CONCATENATE("R2C",'Mapa final'!$S$55),"")</f>
        <v/>
      </c>
      <c r="AL48" s="42" t="str">
        <f>IF(AND('Mapa final'!$AJ$56="Baja",'Mapa final'!$AL$56="Catastrófico"),CONCATENATE("R2C",'Mapa final'!$S$56),"")</f>
        <v/>
      </c>
      <c r="AM48" s="42" t="str">
        <f>IF(AND('Mapa final'!$AJ$57="Baja",'Mapa final'!$AL$57="Catastrófico"),CONCATENATE("R2C",'Mapa final'!$S$57),"")</f>
        <v/>
      </c>
      <c r="AN48" s="43" t="str">
        <f>IF(AND('Mapa final'!$AJ$58="Baja",'Mapa final'!$AL$58="Catastrófico"),CONCATENATE("R2C",'Mapa final'!$S$58),"")</f>
        <v/>
      </c>
      <c r="AO48" s="69"/>
      <c r="AP48" s="464"/>
      <c r="AQ48" s="465"/>
      <c r="AR48" s="465"/>
      <c r="AS48" s="465"/>
      <c r="AT48" s="465"/>
      <c r="AU48" s="466"/>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37"/>
      <c r="D49" s="337"/>
      <c r="E49" s="338"/>
      <c r="F49" s="432"/>
      <c r="G49" s="433"/>
      <c r="H49" s="433"/>
      <c r="I49" s="433"/>
      <c r="J49" s="433"/>
      <c r="K49" s="62" t="str">
        <f>IF(AND('Mapa final'!$AJ$59="Baja",'Mapa final'!$AL$59="Leve"),CONCATENATE("R2C",'Mapa final'!$S$59),"")</f>
        <v/>
      </c>
      <c r="L49" s="63" t="str">
        <f>IF(AND('Mapa final'!$AJ$60="Baja",'Mapa final'!$AL$60="Leve"),CONCATENATE("R2C",'Mapa final'!$S$60),"")</f>
        <v/>
      </c>
      <c r="M49" s="63" t="str">
        <f>IF(AND('Mapa final'!$AJ$61="Baja",'Mapa final'!$AL$61="Leve"),CONCATENATE("R2C",'Mapa final'!$S$61),"")</f>
        <v/>
      </c>
      <c r="N49" s="63" t="str">
        <f>IF(AND('Mapa final'!$AJ$62="Baja",'Mapa final'!$AL$62="Leve"),CONCATENATE("R2C",'Mapa final'!$S$62),"")</f>
        <v/>
      </c>
      <c r="O49" s="63" t="str">
        <f>IF(AND('Mapa final'!$AJ$63="Baja",'Mapa final'!$AL$63="Leve"),CONCATENATE("R2C",'Mapa final'!$S$63),"")</f>
        <v/>
      </c>
      <c r="P49" s="64" t="str">
        <f>IF(AND('Mapa final'!$AJ$64="Baja",'Mapa final'!$AL$64="Leve"),CONCATENATE("R2C",'Mapa final'!$S$64),"")</f>
        <v/>
      </c>
      <c r="Q49" s="53" t="str">
        <f>IF(AND('Mapa final'!$AJ$59="Baja",'Mapa final'!$AL$59="Menor"),CONCATENATE("R2C",'Mapa final'!$S$59),"")</f>
        <v/>
      </c>
      <c r="R49" s="54" t="str">
        <f>IF(AND('Mapa final'!$AJ$60="Baja",'Mapa final'!$AL$60="Menor"),CONCATENATE("R2C",'Mapa final'!$S$60),"")</f>
        <v/>
      </c>
      <c r="S49" s="54" t="str">
        <f>IF(AND('Mapa final'!$AJ$61="Baja",'Mapa final'!$AL$61="Menor"),CONCATENATE("R2C",'Mapa final'!$S$61),"")</f>
        <v/>
      </c>
      <c r="T49" s="54" t="str">
        <f>IF(AND('Mapa final'!$AJ$62="Baja",'Mapa final'!$AL$62="Menor"),CONCATENATE("R2C",'Mapa final'!$S$62),"")</f>
        <v/>
      </c>
      <c r="U49" s="54" t="str">
        <f>IF(AND('Mapa final'!$AJ$63="Baja",'Mapa final'!$AL$63="Menor"),CONCATENATE("R2C",'Mapa final'!$S$63),"")</f>
        <v/>
      </c>
      <c r="V49" s="55" t="str">
        <f>IF(AND('Mapa final'!$AJ$64="Baja",'Mapa final'!$AL$64="Menor"),CONCATENATE("R2C",'Mapa final'!$S$64),"")</f>
        <v/>
      </c>
      <c r="W49" s="53" t="str">
        <f>IF(AND('Mapa final'!$AJ$59="Baja",'Mapa final'!$AL$59="Moderado"),CONCATENATE("R2C",'Mapa final'!$S$59),"")</f>
        <v/>
      </c>
      <c r="X49" s="54" t="str">
        <f>IF(AND('Mapa final'!$AJ$60="Baja",'Mapa final'!$AL$60="Moderado"),CONCATENATE("R2C",'Mapa final'!$S$60),"")</f>
        <v/>
      </c>
      <c r="Y49" s="54" t="str">
        <f>IF(AND('Mapa final'!$AJ$61="Baja",'Mapa final'!$AL$61="Moderado"),CONCATENATE("R2C",'Mapa final'!$S$61),"")</f>
        <v/>
      </c>
      <c r="Z49" s="54" t="str">
        <f>IF(AND('Mapa final'!$AJ$62="Baja",'Mapa final'!$AL$62="Moderado"),CONCATENATE("R2C",'Mapa final'!$S$62),"")</f>
        <v/>
      </c>
      <c r="AA49" s="54" t="str">
        <f>IF(AND('Mapa final'!$AJ$63="Baja",'Mapa final'!$AL$63="Moderado"),CONCATENATE("R2C",'Mapa final'!$S$63),"")</f>
        <v/>
      </c>
      <c r="AB49" s="55" t="str">
        <f>IF(AND('Mapa final'!$AJ$64="Baja",'Mapa final'!$AL$64="Moderado"),CONCATENATE("R2C",'Mapa final'!$S$64),"")</f>
        <v/>
      </c>
      <c r="AC49" s="38" t="str">
        <f>IF(AND('Mapa final'!$AJ$59="Baja",'Mapa final'!$AL$59="Mayor"),CONCATENATE("R2C",'Mapa final'!$S$59),"")</f>
        <v/>
      </c>
      <c r="AD49" s="178" t="str">
        <f>IF(AND('Mapa final'!$AJ$60="Baja",'Mapa final'!$AL$60="Mayor"),CONCATENATE("R2C",'Mapa final'!$S$60),"")</f>
        <v/>
      </c>
      <c r="AE49" s="178" t="str">
        <f>IF(AND('Mapa final'!$AJ$61="Baja",'Mapa final'!$AL$61="Mayor"),CONCATENATE("R2C",'Mapa final'!$S$61),"")</f>
        <v/>
      </c>
      <c r="AF49" s="178" t="str">
        <f>IF(AND('Mapa final'!$AJ$62="Baja",'Mapa final'!$AL$62="Mayor"),CONCATENATE("R2C",'Mapa final'!$S$62),"")</f>
        <v/>
      </c>
      <c r="AG49" s="178" t="str">
        <f>IF(AND('Mapa final'!$AJ$63="Baja",'Mapa final'!$AL$63="Mayor"),CONCATENATE("R2C",'Mapa final'!$S$63),"")</f>
        <v/>
      </c>
      <c r="AH49" s="40" t="str">
        <f>IF(AND('Mapa final'!$AJ$64="Baja",'Mapa final'!$AL$64="Mayor"),CONCATENATE("R2C",'Mapa final'!$S$64),"")</f>
        <v/>
      </c>
      <c r="AI49" s="41" t="str">
        <f>IF(AND('Mapa final'!$AJ$59="Baja",'Mapa final'!$AL$59="Catastrófico"),CONCATENATE("R2C",'Mapa final'!$S$59),"")</f>
        <v/>
      </c>
      <c r="AJ49" s="42" t="str">
        <f>IF(AND('Mapa final'!$AJ$60="Baja",'Mapa final'!$AL$60="Catastrófico"),CONCATENATE("R2C",'Mapa final'!$S$60),"")</f>
        <v/>
      </c>
      <c r="AK49" s="42" t="str">
        <f>IF(AND('Mapa final'!$AJ$61="Baja",'Mapa final'!$AL$61="Catastrófico"),CONCATENATE("R2C",'Mapa final'!$S$61),"")</f>
        <v/>
      </c>
      <c r="AL49" s="42" t="str">
        <f>IF(AND('Mapa final'!$AJ$62="Baja",'Mapa final'!$AL$62="Catastrófico"),CONCATENATE("R2C",'Mapa final'!$S$62),"")</f>
        <v/>
      </c>
      <c r="AM49" s="42" t="str">
        <f>IF(AND('Mapa final'!$AJ$63="Baja",'Mapa final'!$AL$63="Catastrófico"),CONCATENATE("R2C",'Mapa final'!$S$63),"")</f>
        <v/>
      </c>
      <c r="AN49" s="43" t="str">
        <f>IF(AND('Mapa final'!$AJ$64="Baja",'Mapa final'!$AL$64="Catastrófico"),CONCATENATE("R2C",'Mapa final'!$S$64),"")</f>
        <v/>
      </c>
      <c r="AO49" s="69"/>
      <c r="AP49" s="464"/>
      <c r="AQ49" s="465"/>
      <c r="AR49" s="465"/>
      <c r="AS49" s="465"/>
      <c r="AT49" s="465"/>
      <c r="AU49" s="466"/>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37"/>
      <c r="D50" s="337"/>
      <c r="E50" s="338"/>
      <c r="F50" s="432"/>
      <c r="G50" s="433"/>
      <c r="H50" s="433"/>
      <c r="I50" s="433"/>
      <c r="J50" s="433"/>
      <c r="K50" s="62" t="str">
        <f>IF(AND('Mapa final'!$AJ$65="Baja",'Mapa final'!$AL$65="Leve"),CONCATENATE("R2C",'Mapa final'!$S$65),"")</f>
        <v/>
      </c>
      <c r="L50" s="63" t="str">
        <f>IF(AND('Mapa final'!$AJ$66="Baja",'Mapa final'!$AL$66="Leve"),CONCATENATE("R2C",'Mapa final'!$S$66),"")</f>
        <v/>
      </c>
      <c r="M50" s="63" t="str">
        <f>IF(AND('Mapa final'!$AJ$67="Baja",'Mapa final'!$AL$67="Leve"),CONCATENATE("R2C",'Mapa final'!$S$67),"")</f>
        <v/>
      </c>
      <c r="N50" s="63" t="str">
        <f>IF(AND('Mapa final'!$AJ$68="Baja",'Mapa final'!$AL$68="Leve"),CONCATENATE("R2C",'Mapa final'!$S$68),"")</f>
        <v/>
      </c>
      <c r="O50" s="63" t="str">
        <f>IF(AND('Mapa final'!$AJ$69="Baja",'Mapa final'!$AL$69="Leve"),CONCATENATE("R2C",'Mapa final'!$S$69),"")</f>
        <v/>
      </c>
      <c r="P50" s="64" t="str">
        <f>IF(AND('Mapa final'!$AJ$70="Baja",'Mapa final'!$AL$70="Leve"),CONCATENATE("R2C",'Mapa final'!$S$70),"")</f>
        <v/>
      </c>
      <c r="Q50" s="53" t="str">
        <f>IF(AND('Mapa final'!$AJ$65="Baja",'Mapa final'!$AL$65="Menor"),CONCATENATE("R2C",'Mapa final'!$S$65),"")</f>
        <v/>
      </c>
      <c r="R50" s="54" t="str">
        <f>IF(AND('Mapa final'!$AJ$66="Baja",'Mapa final'!$AL$66="Menor"),CONCATENATE("R2C",'Mapa final'!$S$66),"")</f>
        <v/>
      </c>
      <c r="S50" s="54" t="str">
        <f>IF(AND('Mapa final'!$AJ$67="Baja",'Mapa final'!$AL$67="Menor"),CONCATENATE("R2C",'Mapa final'!$S$67),"")</f>
        <v/>
      </c>
      <c r="T50" s="54" t="str">
        <f>IF(AND('Mapa final'!$AJ$68="Baja",'Mapa final'!$AL$68="Menor"),CONCATENATE("R2C",'Mapa final'!$S$68),"")</f>
        <v/>
      </c>
      <c r="U50" s="54" t="str">
        <f>IF(AND('Mapa final'!$AJ$69="Baja",'Mapa final'!$AL$69="Menor"),CONCATENATE("R2C",'Mapa final'!$S$69),"")</f>
        <v/>
      </c>
      <c r="V50" s="55" t="str">
        <f>IF(AND('Mapa final'!$AJ$70="Baja",'Mapa final'!$AL$70="Menor"),CONCATENATE("R2C",'Mapa final'!$S$70),"")</f>
        <v/>
      </c>
      <c r="W50" s="53" t="str">
        <f>IF(AND('Mapa final'!$AJ$65="Baja",'Mapa final'!$AL$65="Moderado"),CONCATENATE("R2C",'Mapa final'!$S$65),"")</f>
        <v/>
      </c>
      <c r="X50" s="54" t="str">
        <f>IF(AND('Mapa final'!$AJ$66="Baja",'Mapa final'!$AL$66="Moderado"),CONCATENATE("R2C",'Mapa final'!$S$66),"")</f>
        <v/>
      </c>
      <c r="Y50" s="54" t="str">
        <f>IF(AND('Mapa final'!$AJ$67="Baja",'Mapa final'!$AL$67="Moderado"),CONCATENATE("R2C",'Mapa final'!$S$67),"")</f>
        <v/>
      </c>
      <c r="Z50" s="54" t="str">
        <f>IF(AND('Mapa final'!$AJ$68="Baja",'Mapa final'!$AL$68="Moderado"),CONCATENATE("R2C",'Mapa final'!$S$68),"")</f>
        <v/>
      </c>
      <c r="AA50" s="54" t="str">
        <f>IF(AND('Mapa final'!$AJ$69="Baja",'Mapa final'!$AL$69="Moderado"),CONCATENATE("R2C",'Mapa final'!$S$69),"")</f>
        <v/>
      </c>
      <c r="AB50" s="55" t="str">
        <f>IF(AND('Mapa final'!$AJ$70="Baja",'Mapa final'!$AL$70="Moderado"),CONCATENATE("R2C",'Mapa final'!$S$70),"")</f>
        <v/>
      </c>
      <c r="AC50" s="38" t="str">
        <f>IF(AND('Mapa final'!$AJ$65="Baja",'Mapa final'!$AL$65="Mayor"),CONCATENATE("R2C",'Mapa final'!$S$65),"")</f>
        <v/>
      </c>
      <c r="AD50" s="178" t="str">
        <f>IF(AND('Mapa final'!$AJ$66="Baja",'Mapa final'!$AL$66="Mayor"),CONCATENATE("R2C",'Mapa final'!$S$66),"")</f>
        <v/>
      </c>
      <c r="AE50" s="178" t="str">
        <f>IF(AND('Mapa final'!$AJ$67="Baja",'Mapa final'!$AL$67="Mayor"),CONCATENATE("R2C",'Mapa final'!$S$67),"")</f>
        <v/>
      </c>
      <c r="AF50" s="178" t="str">
        <f>IF(AND('Mapa final'!$AJ$68="Baja",'Mapa final'!$AL$68="Mayor"),CONCATENATE("R2C",'Mapa final'!$S$68),"")</f>
        <v/>
      </c>
      <c r="AG50" s="178" t="str">
        <f>IF(AND('Mapa final'!$AJ$69="Baja",'Mapa final'!$AL$69="Mayor"),CONCATENATE("R2C",'Mapa final'!$S$69),"")</f>
        <v/>
      </c>
      <c r="AH50" s="40" t="str">
        <f>IF(AND('Mapa final'!$AJ$70="Baja",'Mapa final'!$AL$70="Mayor"),CONCATENATE("R2C",'Mapa final'!$S$70),"")</f>
        <v/>
      </c>
      <c r="AI50" s="41" t="str">
        <f>IF(AND('Mapa final'!$AJ$65="Baja",'Mapa final'!$AL$65="Catastrófico"),CONCATENATE("R2C",'Mapa final'!$S$65),"")</f>
        <v/>
      </c>
      <c r="AJ50" s="42" t="str">
        <f>IF(AND('Mapa final'!$AJ$66="Baja",'Mapa final'!$AL$66="Catastrófico"),CONCATENATE("R2C",'Mapa final'!$S$66),"")</f>
        <v/>
      </c>
      <c r="AK50" s="42" t="str">
        <f>IF(AND('Mapa final'!$AJ$67="Baja",'Mapa final'!$AL$67="Catastrófico"),CONCATENATE("R2C",'Mapa final'!$S$67),"")</f>
        <v/>
      </c>
      <c r="AL50" s="42" t="str">
        <f>IF(AND('Mapa final'!$AJ$68="Baja",'Mapa final'!$AL$68="Catastrófico"),CONCATENATE("R2C",'Mapa final'!$S$68),"")</f>
        <v/>
      </c>
      <c r="AM50" s="42" t="str">
        <f>IF(AND('Mapa final'!$AJ$69="Baja",'Mapa final'!$AL$69="Catastrófico"),CONCATENATE("R2C",'Mapa final'!$S$69),"")</f>
        <v/>
      </c>
      <c r="AN50" s="43" t="str">
        <f>IF(AND('Mapa final'!$AJ$70="Baja",'Mapa final'!$AL$70="Catastrófico"),CONCATENATE("R2C",'Mapa final'!$S$70),"")</f>
        <v/>
      </c>
      <c r="AO50" s="69"/>
      <c r="AP50" s="464"/>
      <c r="AQ50" s="465"/>
      <c r="AR50" s="465"/>
      <c r="AS50" s="465"/>
      <c r="AT50" s="465"/>
      <c r="AU50" s="466"/>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37"/>
      <c r="D51" s="337"/>
      <c r="E51" s="338"/>
      <c r="F51" s="435"/>
      <c r="G51" s="436"/>
      <c r="H51" s="436"/>
      <c r="I51" s="436"/>
      <c r="J51" s="436"/>
      <c r="K51" s="65" t="str">
        <f>IF(AND('Mapa final'!$AJ$71="Baja",'Mapa final'!$AL$71="Leve"),CONCATENATE("R2C",'Mapa final'!$S$71),"")</f>
        <v/>
      </c>
      <c r="L51" s="66" t="str">
        <f>IF(AND('Mapa final'!$AJ$72="Baja",'Mapa final'!$AL$72="Leve"),CONCATENATE("R2C",'Mapa final'!$S$72),"")</f>
        <v/>
      </c>
      <c r="M51" s="66" t="str">
        <f>IF(AND('Mapa final'!$AJ$73="Baja",'Mapa final'!$AL$73="Leve"),CONCATENATE("R2C",'Mapa final'!$S$73),"")</f>
        <v/>
      </c>
      <c r="N51" s="66" t="str">
        <f>IF(AND('Mapa final'!$AJ$74="Baja",'Mapa final'!$AL$74="Leve"),CONCATENATE("R2C",'Mapa final'!$S$74),"")</f>
        <v/>
      </c>
      <c r="O51" s="66" t="str">
        <f>IF(AND('Mapa final'!$AJ$76="Baja",'Mapa final'!$AL$76="Leve"),CONCATENATE("R2C",'Mapa final'!$S$76),"")</f>
        <v/>
      </c>
      <c r="P51" s="67" t="str">
        <f>IF(AND('Mapa final'!$AJ$77="Baja",'Mapa final'!$AL$77="Leve"),CONCATENATE("R2C",'Mapa final'!$S$77),"")</f>
        <v/>
      </c>
      <c r="Q51" s="53" t="str">
        <f>IF(AND('Mapa final'!$AJ$71="Baja",'Mapa final'!$AL$71="Menor"),CONCATENATE("R2C",'Mapa final'!$S$71),"")</f>
        <v/>
      </c>
      <c r="R51" s="54" t="str">
        <f>IF(AND('Mapa final'!$AJ$72="Baja",'Mapa final'!$AL$72="Menor"),CONCATENATE("R2C",'Mapa final'!$S$72),"")</f>
        <v/>
      </c>
      <c r="S51" s="54" t="str">
        <f>IF(AND('Mapa final'!$AJ$73="Baja",'Mapa final'!$AL$73="Menor"),CONCATENATE("R2C",'Mapa final'!$S$73),"")</f>
        <v/>
      </c>
      <c r="T51" s="54" t="str">
        <f>IF(AND('Mapa final'!$AJ$74="Baja",'Mapa final'!$AL$74="Menor"),CONCATENATE("R2C",'Mapa final'!$S$74),"")</f>
        <v/>
      </c>
      <c r="U51" s="54" t="str">
        <f>IF(AND('Mapa final'!$AJ$76="Baja",'Mapa final'!$AL$76="Menor"),CONCATENATE("R2C",'Mapa final'!$S$76),"")</f>
        <v/>
      </c>
      <c r="V51" s="55" t="str">
        <f>IF(AND('Mapa final'!$AJ$77="Baja",'Mapa final'!$AL$77="Menor"),CONCATENATE("R2C",'Mapa final'!$S$77),"")</f>
        <v/>
      </c>
      <c r="W51" s="56" t="str">
        <f>IF(AND('Mapa final'!$AJ$71="Baja",'Mapa final'!$AL$71="Moderado"),CONCATENATE("R2C",'Mapa final'!$S$71),"")</f>
        <v/>
      </c>
      <c r="X51" s="57" t="str">
        <f>IF(AND('Mapa final'!$AJ$72="Baja",'Mapa final'!$AL$72="Moderado"),CONCATENATE("R2C",'Mapa final'!$S$72),"")</f>
        <v/>
      </c>
      <c r="Y51" s="57" t="str">
        <f>IF(AND('Mapa final'!$AJ$73="Baja",'Mapa final'!$AL$73="Moderado"),CONCATENATE("R2C",'Mapa final'!$S$73),"")</f>
        <v/>
      </c>
      <c r="Z51" s="57" t="str">
        <f>IF(AND('Mapa final'!$AJ$74="Baja",'Mapa final'!$AL$74="Moderado"),CONCATENATE("R2C",'Mapa final'!$S$74),"")</f>
        <v/>
      </c>
      <c r="AA51" s="57" t="str">
        <f>IF(AND('Mapa final'!$AJ$76="Baja",'Mapa final'!$AL$76="Moderado"),CONCATENATE("R2C",'Mapa final'!$S$76),"")</f>
        <v/>
      </c>
      <c r="AB51" s="58" t="str">
        <f>IF(AND('Mapa final'!$AJ$77="Baja",'Mapa final'!$AL$77="Moderado"),CONCATENATE("R2C",'Mapa final'!$S$77),"")</f>
        <v/>
      </c>
      <c r="AC51" s="44" t="str">
        <f>IF(AND('Mapa final'!$AJ$71="Baja",'Mapa final'!$AL$71="Mayor"),CONCATENATE("R2C",'Mapa final'!$S$71),"")</f>
        <v/>
      </c>
      <c r="AD51" s="45" t="str">
        <f>IF(AND('Mapa final'!$AJ$72="Baja",'Mapa final'!$AL$72="Mayor"),CONCATENATE("R2C",'Mapa final'!$S$72),"")</f>
        <v/>
      </c>
      <c r="AE51" s="45" t="str">
        <f>IF(AND('Mapa final'!$AJ$73="Baja",'Mapa final'!$AL$73="Mayor"),CONCATENATE("R2C",'Mapa final'!$S$73),"")</f>
        <v/>
      </c>
      <c r="AF51" s="45" t="str">
        <f>IF(AND('Mapa final'!$AJ$74="Baja",'Mapa final'!$AL$74="Mayor"),CONCATENATE("R2C",'Mapa final'!$S$74),"")</f>
        <v/>
      </c>
      <c r="AG51" s="45" t="str">
        <f>IF(AND('Mapa final'!$AJ$76="Baja",'Mapa final'!$AL$76="Mayor"),CONCATENATE("R2C",'Mapa final'!$S$76),"")</f>
        <v/>
      </c>
      <c r="AH51" s="46" t="str">
        <f>IF(AND('Mapa final'!$AJ$77="Baja",'Mapa final'!$AL$77="Mayor"),CONCATENATE("R2C",'Mapa final'!$S$77),"")</f>
        <v/>
      </c>
      <c r="AI51" s="47" t="str">
        <f>IF(AND('Mapa final'!$AJ$71="Baja",'Mapa final'!$AL$71="Catastrófico"),CONCATENATE("R2C",'Mapa final'!$S$71),"")</f>
        <v/>
      </c>
      <c r="AJ51" s="48" t="str">
        <f>IF(AND('Mapa final'!$AJ$72="Baja",'Mapa final'!$AL$72="Catastrófico"),CONCATENATE("R2C",'Mapa final'!$S$72),"")</f>
        <v/>
      </c>
      <c r="AK51" s="48" t="str">
        <f>IF(AND('Mapa final'!$AJ$73="Baja",'Mapa final'!$AL$73="Catastrófico"),CONCATENATE("R2C",'Mapa final'!$S$73),"")</f>
        <v/>
      </c>
      <c r="AL51" s="48" t="str">
        <f>IF(AND('Mapa final'!$AJ$74="Baja",'Mapa final'!$AL$74="Catastrófico"),CONCATENATE("R2C",'Mapa final'!$S$74),"")</f>
        <v/>
      </c>
      <c r="AM51" s="48" t="str">
        <f>IF(AND('Mapa final'!$AJ$76="Baja",'Mapa final'!$AL$76="Catastrófico"),CONCATENATE("R2C",'Mapa final'!$S$76),"")</f>
        <v/>
      </c>
      <c r="AN51" s="49" t="str">
        <f>IF(AND('Mapa final'!$AJ$77="Baja",'Mapa final'!$AL$77="Catastrófico"),CONCATENATE("R2C",'Mapa final'!$S$77),"")</f>
        <v/>
      </c>
      <c r="AO51" s="69"/>
      <c r="AP51" s="467"/>
      <c r="AQ51" s="468"/>
      <c r="AR51" s="468"/>
      <c r="AS51" s="468"/>
      <c r="AT51" s="468"/>
      <c r="AU51" s="469"/>
    </row>
    <row r="52" spans="2:81" ht="41.25" customHeight="1" x14ac:dyDescent="0.35">
      <c r="B52" s="69"/>
      <c r="C52" s="337"/>
      <c r="D52" s="337"/>
      <c r="E52" s="338"/>
      <c r="F52" s="429" t="s">
        <v>112</v>
      </c>
      <c r="G52" s="430"/>
      <c r="H52" s="430"/>
      <c r="I52" s="430"/>
      <c r="J52" s="431"/>
      <c r="K52" s="59" t="str">
        <f ca="1">IF(AND('Mapa final'!$AJ$15="Muy Baja",'Mapa final'!$AL$15="Leve"),CONCATENATE("R2C",'Mapa final'!$S$15),"")</f>
        <v/>
      </c>
      <c r="L52" s="60" t="str">
        <f>IF(AND('Mapa final'!$AJ$16="Muy Baja",'Mapa final'!$AL$16="Leve"),CONCATENATE("R2C",'Mapa final'!$D$16),"")</f>
        <v/>
      </c>
      <c r="M52" s="60"/>
      <c r="N52" s="60" t="str">
        <f ca="1">IF(AND('Mapa final'!$AJ$18="Muy Baja",'Mapa final'!$AL$18="Leve"),CONCATENATE("R2C",'Mapa final'!$D$18),"")</f>
        <v/>
      </c>
      <c r="O52" s="60" t="str">
        <f>IF(AND('Mapa final'!$AJ$19="Muy Baja",'Mapa final'!$AL$19="Leve"),CONCATENATE("R2C",'Mapa final'!$D$19),"")</f>
        <v/>
      </c>
      <c r="P52" s="61" t="str">
        <f ca="1">IF(AND('Mapa final'!$AJ$20="Muy Baja",'Mapa final'!$AL$20="Leve"),CONCATENATE("R2C",'Mapa final'!$S$20),"")</f>
        <v/>
      </c>
      <c r="Q52" s="59" t="str">
        <f ca="1">IF(AND('Mapa final'!$AJ$15="Muy Baja",'Mapa final'!$AL$15="Menor"),CONCATENATE("R2C",'Mapa final'!$S$15),"")</f>
        <v/>
      </c>
      <c r="R52" s="60" t="str">
        <f>IF(AND('Mapa final'!$AJ$16="Muy Baja",'Mapa final'!$AL$16="Menore"),CONCATENATE("R2C",'Mapa final'!$S$16),"")</f>
        <v/>
      </c>
      <c r="S52" s="60" t="str">
        <f>IF(AND('Mapa final'!$AJ$17="Muy Baja",'Mapa final'!$AL$17="Menor"),CONCATENATE("R2C",'Mapa final'!$D$17),"")</f>
        <v/>
      </c>
      <c r="T52" s="60" t="str">
        <f ca="1">IF(AND('Mapa final'!$AJ$18="Muy Baja",'Mapa final'!$AL$18="Menor"),CONCATENATE("R2C",'Mapa final'!$S$18),"")</f>
        <v/>
      </c>
      <c r="U52" s="60" t="str">
        <f>IF(AND('Mapa final'!$AJ$19="Muy Baja",'Mapa final'!$AL$19="Menor"),CONCATENATE("R2C",'Mapa final'!$S$19),"")</f>
        <v/>
      </c>
      <c r="V52" s="61" t="str">
        <f ca="1">IF(AND('Mapa final'!$AJ$20="Muy Baja",'Mapa final'!$AL$20="Menor"),CONCATENATE("R2C",'Mapa final'!$S$20),"")</f>
        <v/>
      </c>
      <c r="W52" s="50" t="str">
        <f ca="1">IF(AND('Mapa final'!$AJ$15="Muy Baja",'Mapa final'!$AL$15="Moderado"),CONCATENATE("R2C",'Mapa final'!$S$15),"")</f>
        <v/>
      </c>
      <c r="X52" s="68" t="str">
        <f>IF(AND('Mapa final'!$AJ$16="Muy Baja",'Mapa final'!$AL$16="Moderado"),CONCATENATE("R2C",'Mapa final'!$S$16),"")</f>
        <v/>
      </c>
      <c r="Y52" s="51"/>
      <c r="Z52" s="51" t="str">
        <f ca="1">IF(AND('Mapa final'!$AJ$18="Muy Baja",'Mapa final'!$AL$18="Moderado"),CONCATENATE("R2C",'Mapa final'!$S$18),"")</f>
        <v/>
      </c>
      <c r="AA52" s="51" t="str">
        <f>IF(AND('Mapa final'!$AJ$19="Muy Baja",'Mapa final'!$AL$19="Moderado"),CONCATENATE("R2C",'Mapa final'!$S$19),"")</f>
        <v/>
      </c>
      <c r="AB52" s="52" t="str">
        <f ca="1">IF(AND('Mapa final'!$AJ$20="Muy Baja",'Mapa final'!$AL$20="Moderado"),CONCATENATE("R2C",'Mapa final'!$S$20),"")</f>
        <v/>
      </c>
      <c r="AC52" s="32" t="str">
        <f ca="1">IF(AND('Mapa final'!$AJ$15="Muy Baja",'Mapa final'!$AL$15="Mayor"),CONCATENATE("R2C",'Mapa final'!$S$15),"")</f>
        <v/>
      </c>
      <c r="AD52" s="33" t="str">
        <f>IF(AND('Mapa final'!$AJ$16="Muy Baja",'Mapa final'!$AL$16="Mayor"),CONCATENATE("R2C",'Mapa final'!$S$16),"")</f>
        <v/>
      </c>
      <c r="AE52" s="33" t="str">
        <f>IF(AND('Mapa final'!$AJ$17="Muy Baja",'Mapa final'!$AL$17="Mayor"),CONCATENATE("R2C",'Mapa final'!$S$17),"")</f>
        <v/>
      </c>
      <c r="AF52" s="33" t="str">
        <f ca="1">IF(AND('Mapa final'!$AJ$18="Muy Baja",'Mapa final'!$AL$18="Mayor"),CONCATENATE("R2C",'Mapa final'!$S$18),"")</f>
        <v/>
      </c>
      <c r="AG52" s="33" t="str">
        <f>IF(AND('Mapa final'!$AJ$19="Muy Baja",'Mapa final'!$AL$19="Mayor"),CONCATENATE("R2C",'Mapa final'!$S$19),"")</f>
        <v/>
      </c>
      <c r="AH52" s="34" t="str">
        <f ca="1">IF(AND('Mapa final'!$AJ$20="Muy Baja",'Mapa final'!$AL$20="Mayor"),CONCATENATE("R2C",'Mapa final'!$S$20),"")</f>
        <v/>
      </c>
      <c r="AI52" s="35" t="str">
        <f ca="1">IF(AND('Mapa final'!$AJ$15="Muy Baja",'Mapa final'!$AL$15="Catastrófico"),CONCATENATE("R2C",'Mapa final'!$S$15),"")</f>
        <v/>
      </c>
      <c r="AJ52" s="36" t="str">
        <f>IF(AND('Mapa final'!$AJ$16="Muy Baja",'Mapa final'!$AL$16="Catastrófico"),CONCATENATE("R2C",'Mapa final'!$S$16),"")</f>
        <v/>
      </c>
      <c r="AK52" s="36" t="str">
        <f>IF(AND('Mapa final'!$AJ$17="Muy Baja",'Mapa final'!$AL$17="Catastrófico"),CONCATENATE("R2C",'Mapa final'!$S$17),"")</f>
        <v/>
      </c>
      <c r="AL52" s="36" t="str">
        <f ca="1">IF(AND('Mapa final'!$AJ$18="Muy Baja",'Mapa final'!$AL$18="Catastrófico"),CONCATENATE("R2C",'Mapa final'!$S$18),"")</f>
        <v/>
      </c>
      <c r="AM52" s="36" t="str">
        <f>IF(AND('Mapa final'!$AJ$19="Muy Baja",'Mapa final'!$AL$19="Catastrófico"),CONCATENATE("R2C",'Mapa final'!$S$19),"")</f>
        <v/>
      </c>
      <c r="AN52" s="37" t="str">
        <f ca="1">IF(AND('Mapa final'!$AJ$20="Muy Baja",'Mapa final'!$AL$20="Catastrófico"),CONCATENATE("R2C",'Mapa final'!$S$20),"")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19.5" customHeight="1" x14ac:dyDescent="0.25">
      <c r="B53" s="69"/>
      <c r="C53" s="337"/>
      <c r="D53" s="337"/>
      <c r="E53" s="338"/>
      <c r="F53" s="447"/>
      <c r="G53" s="433"/>
      <c r="H53" s="433"/>
      <c r="I53" s="433"/>
      <c r="J53" s="434"/>
      <c r="K53" s="62" t="str">
        <f>IF(AND('Mapa final'!$AJ$23="Muy Baja",'Mapa final'!$AL$23="Leve"),CONCATENATE("R2C",'Mapa final'!$S$23),"")</f>
        <v/>
      </c>
      <c r="L53" s="63" t="str">
        <f>IF(AND('Mapa final'!$AJ$24="Muy Baja",'Mapa final'!$AL$24="Leve"),CONCATENATE("R2C",'Mapa final'!$D$24),"")</f>
        <v>R2C6</v>
      </c>
      <c r="M53" s="63" t="str">
        <f>IF(AND('Mapa final'!$AJ$25="Muy Baja",'Mapa final'!$AL$25="Leve"),CONCATENATE("R2C",'Mapa final'!$S$25),"")</f>
        <v/>
      </c>
      <c r="N53" s="63" t="str">
        <f>IF(AND('Mapa final'!$AJ$26="Muy Baja",'Mapa final'!$AL$26="Leve"),CONCATENATE("R2C",'Mapa final'!$S$26),"")</f>
        <v/>
      </c>
      <c r="O53" s="63" t="str">
        <f>IF(AND('Mapa final'!$AJ$27="Muy Baja",'Mapa final'!$AL$27="Leve"),CONCATENATE("R2C",'Mapa final'!$S$27),"")</f>
        <v/>
      </c>
      <c r="P53" s="64" t="str">
        <f>IF(AND('Mapa final'!$AJ$28="Muy Baja",'Mapa final'!$AL$28="Leve"),CONCATENATE("R2C",'Mapa final'!$S$28),"")</f>
        <v/>
      </c>
      <c r="Q53" s="62" t="str">
        <f>IF(AND('Mapa final'!$AJ$23="Muy Baja",'Mapa final'!$AL$23="Menor"),CONCATENATE("R2C",'Mapa final'!$S$23),"")</f>
        <v/>
      </c>
      <c r="R53" s="63" t="str">
        <f>IF(AND('Mapa final'!$AJ$24="Muy Baja",'Mapa final'!$AL$24="Menor"),CONCATENATE("R2C",'Mapa final'!$S$24),"")</f>
        <v/>
      </c>
      <c r="S53" s="63" t="str">
        <f>IF(AND('Mapa final'!$AJ$25="Muy Baja",'Mapa final'!$AL$25="Menor"),CONCATENATE("R2C",'Mapa final'!$S$25),"")</f>
        <v/>
      </c>
      <c r="T53" s="63" t="str">
        <f>IF(AND('Mapa final'!$AJ$26="Muy Baja",'Mapa final'!$AL$26="Menor"),CONCATENATE("R2C",'Mapa final'!$S$26),"")</f>
        <v/>
      </c>
      <c r="U53" s="63" t="str">
        <f>IF(AND('Mapa final'!$AJ$27="Muy Baja",'Mapa final'!$AL$27="Menor"),CONCATENATE("R2C",'Mapa final'!$S$27),"")</f>
        <v/>
      </c>
      <c r="V53" s="64" t="str">
        <f>IF(AND('Mapa final'!$AJ$28="Muy Baja",'Mapa final'!$AL$28="Menor"),CONCATENATE("R2C",'Mapa final'!$S$28),"")</f>
        <v/>
      </c>
      <c r="W53" s="53" t="str">
        <f>IF(AND('Mapa final'!$AJ$23="Muy Baja",'Mapa final'!$AL$23="Moderado"),CONCATENATE("R2C",'Mapa final'!$S$23),"")</f>
        <v/>
      </c>
      <c r="X53" s="54" t="str">
        <f>IF(AND('Mapa final'!$AJ$24="Muy Baja",'Mapa final'!$AL$24="Moderado"),CONCATENATE("R2C",'Mapa final'!$S$24),"")</f>
        <v/>
      </c>
      <c r="Y53" s="54" t="str">
        <f>IF(AND('Mapa final'!$AJ$25="Muy Baja",'Mapa final'!$AL$25="Moderado"),CONCATENATE("R2C",'Mapa final'!$S$25),"")</f>
        <v/>
      </c>
      <c r="Z53" s="54" t="str">
        <f>IF(AND('Mapa final'!$AJ$26="Muy Baja",'Mapa final'!$AL$26="Moderado"),CONCATENATE("R2C",'Mapa final'!$S$26),"")</f>
        <v/>
      </c>
      <c r="AA53" s="54" t="str">
        <f>IF(AND('Mapa final'!$AJ$27="Muy Baja",'Mapa final'!$AL$27="Moderado"),CONCATENATE("R2C",'Mapa final'!$S$27),"")</f>
        <v/>
      </c>
      <c r="AB53" s="55" t="str">
        <f>IF(AND('Mapa final'!$AJ$28="Muy Baja",'Mapa final'!$AL$28="Moderado"),CONCATENATE("R2C",'Mapa final'!$S$28),"")</f>
        <v/>
      </c>
      <c r="AC53" s="38" t="str">
        <f>IF(AND('Mapa final'!$AJ$23="Muy Baja",'Mapa final'!$AL$23="Mayor"),CONCATENATE("R2C",'Mapa final'!$S$23),"")</f>
        <v/>
      </c>
      <c r="AD53" s="39" t="str">
        <f>IF(AND('Mapa final'!$AJ$24="Muy Baja",'Mapa final'!$AL$24="Mayor"),CONCATENATE("R2C",'Mapa final'!$S$24),"")</f>
        <v/>
      </c>
      <c r="AE53" s="39" t="str">
        <f>IF(AND('Mapa final'!$AJ$25="Muy Baja",'Mapa final'!$AL$25="Mayor"),CONCATENATE("R2C",'Mapa final'!$S$25),"")</f>
        <v/>
      </c>
      <c r="AF53" s="39" t="str">
        <f>IF(AND('Mapa final'!$AJ$26="Muy Baja",'Mapa final'!$AL$26="Mayor"),CONCATENATE("R2C",'Mapa final'!$S$26),"")</f>
        <v/>
      </c>
      <c r="AG53" s="39" t="str">
        <f>IF(AND('Mapa final'!$AJ$27="Muy Baja",'Mapa final'!$AL$27="Mayor"),CONCATENATE("R2C",'Mapa final'!$S$27),"")</f>
        <v/>
      </c>
      <c r="AH53" s="40" t="str">
        <f>IF(AND('Mapa final'!$AJ$28="Muy Baja",'Mapa final'!$AL$28="Mayor"),CONCATENATE("R2C",'Mapa final'!$S$28),"")</f>
        <v/>
      </c>
      <c r="AI53" s="41" t="str">
        <f>IF(AND('Mapa final'!$AJ$23="Muy Baja",'Mapa final'!$AL$23="Catastrófico"),CONCATENATE("R2C",'Mapa final'!$S$23),"")</f>
        <v/>
      </c>
      <c r="AJ53" s="42" t="str">
        <f>IF(AND('Mapa final'!$AJ$24="Muy Baja",'Mapa final'!$AL$24="Catastrófico"),CONCATENATE("R2C",'Mapa final'!$S$24),"")</f>
        <v/>
      </c>
      <c r="AK53" s="42" t="str">
        <f>IF(AND('Mapa final'!$AJ$25="Muy Baja",'Mapa final'!$AL$25="Catastrófico"),CONCATENATE("R2C",'Mapa final'!$S$25),"")</f>
        <v/>
      </c>
      <c r="AL53" s="42" t="str">
        <f>IF(AND('Mapa final'!$AJ$26="Muy Baja",'Mapa final'!$AL$26="Catastrófico"),CONCATENATE("R2C",'Mapa final'!$S$26),"")</f>
        <v/>
      </c>
      <c r="AM53" s="42" t="str">
        <f>IF(AND('Mapa final'!$AJ$27="Muy Baja",'Mapa final'!$AL$27="Catastrófico"),CONCATENATE("R2C",'Mapa final'!$S$27),"")</f>
        <v/>
      </c>
      <c r="AN53" s="43" t="str">
        <f>IF(AND('Mapa final'!$AJ$28="Muy Baja",'Mapa final'!$AL$28="Catastrófico"),CONCATENATE("R2C",'Mapa final'!$S$28),"")</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37"/>
      <c r="D54" s="337"/>
      <c r="E54" s="338"/>
      <c r="F54" s="447"/>
      <c r="G54" s="433"/>
      <c r="H54" s="433"/>
      <c r="I54" s="433"/>
      <c r="J54" s="434"/>
      <c r="K54" s="62" t="str">
        <f>IF(AND('Mapa final'!$AJ$29="Muy Baja",'Mapa final'!$AL$29="Leve"),CONCATENATE("R2C",'Mapa final'!$S$29),"")</f>
        <v/>
      </c>
      <c r="L54" s="63" t="str">
        <f>IF(AND('Mapa final'!$AJ$30="Muy Baja",'Mapa final'!$AL$30="Leve"),CONCATENATE("R2C",'Mapa final'!$S$30),"")</f>
        <v/>
      </c>
      <c r="M54" s="63" t="str">
        <f>IF(AND('Mapa final'!$AJ$31="Muy Baja",'Mapa final'!$AL$31="Leve"),CONCATENATE("R2C",'Mapa final'!$S$31),"")</f>
        <v/>
      </c>
      <c r="N54" s="63" t="str">
        <f>IF(AND('Mapa final'!$AJ$32="Muy Baja",'Mapa final'!$AL$32="Leve"),CONCATENATE("R2C",'Mapa final'!$S$32),"")</f>
        <v/>
      </c>
      <c r="O54" s="63" t="str">
        <f>IF(AND('Mapa final'!$AJ$33="Muy Baja",'Mapa final'!$AL$33="Leve"),CONCATENATE("R2C",'Mapa final'!$S$33),"")</f>
        <v/>
      </c>
      <c r="P54" s="64" t="str">
        <f>IF(AND('Mapa final'!$AJ$34="Muy Baja",'Mapa final'!$AL$34="Leve"),CONCATENATE("R2C",'Mapa final'!$S$34),"")</f>
        <v/>
      </c>
      <c r="Q54" s="62" t="str">
        <f>IF(AND('Mapa final'!$AJ$29="Muy Baja",'Mapa final'!$AL$29="Menor"),CONCATENATE("R2C",'Mapa final'!$S$29),"")</f>
        <v/>
      </c>
      <c r="R54" s="63" t="str">
        <f>IF(AND('Mapa final'!$AJ$30="Muy Baja",'Mapa final'!$AL$30="Menor"),CONCATENATE("R2C",'Mapa final'!$S$30),"")</f>
        <v/>
      </c>
      <c r="S54" s="63" t="str">
        <f>IF(AND('Mapa final'!$AJ$31="Muy Baja",'Mapa final'!$AL$31="Menor"),CONCATENATE("R2C",'Mapa final'!$S$31),"")</f>
        <v/>
      </c>
      <c r="T54" s="63" t="str">
        <f>IF(AND('Mapa final'!$AJ$32="Muy Baja",'Mapa final'!$AL$32="Menor"),CONCATENATE("R2C",'Mapa final'!$S$32),"")</f>
        <v/>
      </c>
      <c r="U54" s="63" t="str">
        <f>IF(AND('Mapa final'!$AJ$33="Muy Baja",'Mapa final'!$AL$33="Menor"),CONCATENATE("R2C",'Mapa final'!$S$33),"")</f>
        <v/>
      </c>
      <c r="V54" s="64" t="str">
        <f>IF(AND('Mapa final'!$AJ$34="Muy Baja",'Mapa final'!$AL$34="Menor"),CONCATENATE("R2C",'Mapa final'!$S$34),"")</f>
        <v/>
      </c>
      <c r="W54" s="53" t="str">
        <f>IF(AND('Mapa final'!$AJ$29="Muy Baja",'Mapa final'!$AL$29="Moderado"),CONCATENATE("R2C",'Mapa final'!$S$29),"")</f>
        <v/>
      </c>
      <c r="X54" s="54" t="str">
        <f>IF(AND('Mapa final'!$AJ$30="Muy Baja",'Mapa final'!$AL$30="Moderado"),CONCATENATE("R2C",'Mapa final'!$S$30),"")</f>
        <v/>
      </c>
      <c r="Y54" s="54" t="str">
        <f>IF(AND('Mapa final'!$AJ$31="Muy Baja",'Mapa final'!$AL$31="Moderado"),CONCATENATE("R2C",'Mapa final'!$S$31),"")</f>
        <v/>
      </c>
      <c r="Z54" s="54" t="str">
        <f>IF(AND('Mapa final'!$AJ$32="Muy Baja",'Mapa final'!$AL$32="Moderado"),CONCATENATE("R2C",'Mapa final'!$S$32),"")</f>
        <v/>
      </c>
      <c r="AA54" s="54" t="str">
        <f>IF(AND('Mapa final'!$AJ$33="Muy Baja",'Mapa final'!$AL$33="Moderado"),CONCATENATE("R2C",'Mapa final'!$S$33),"")</f>
        <v/>
      </c>
      <c r="AB54" s="55" t="str">
        <f>IF(AND('Mapa final'!$AJ$34="Muy Baja",'Mapa final'!$AL$34="Moderado"),CONCATENATE("R2C",'Mapa final'!$S$34),"")</f>
        <v/>
      </c>
      <c r="AC54" s="38" t="str">
        <f>IF(AND('Mapa final'!$AJ$29="Muy Baja",'Mapa final'!$AL$29="Mayor"),CONCATENATE("R2C",'Mapa final'!$S$29),"")</f>
        <v/>
      </c>
      <c r="AD54" s="39" t="str">
        <f>IF(AND('Mapa final'!$AJ$30="Muy Baja",'Mapa final'!$AL$30="Mayor"),CONCATENATE("R2C",'Mapa final'!$S$30),"")</f>
        <v/>
      </c>
      <c r="AE54" s="39" t="str">
        <f>IF(AND('Mapa final'!$AJ$31="Muy Baja",'Mapa final'!$AL$31="Mayor"),CONCATENATE("R2C",'Mapa final'!$S$31),"")</f>
        <v/>
      </c>
      <c r="AF54" s="39" t="str">
        <f>IF(AND('Mapa final'!$AJ$32="Muy Baja",'Mapa final'!$AL$32="Mayor"),CONCATENATE("R2C",'Mapa final'!$S$32),"")</f>
        <v/>
      </c>
      <c r="AG54" s="39" t="str">
        <f>IF(AND('Mapa final'!$AJ$33="Muy Baja",'Mapa final'!$AL$33="Mayor"),CONCATENATE("R2C",'Mapa final'!$S$33),"")</f>
        <v/>
      </c>
      <c r="AH54" s="40" t="str">
        <f>IF(AND('Mapa final'!$AJ$34="Muy Baja",'Mapa final'!$AL$34="Mayor"),CONCATENATE("R2C",'Mapa final'!$S$34),"")</f>
        <v/>
      </c>
      <c r="AI54" s="41" t="str">
        <f>IF(AND('Mapa final'!$AJ$29="Muy Baja",'Mapa final'!$AL$29="Catastrófico"),CONCATENATE("R2C",'Mapa final'!$S$29),"")</f>
        <v/>
      </c>
      <c r="AJ54" s="42" t="str">
        <f>IF(AND('Mapa final'!$AJ$30="Muy Baja",'Mapa final'!$AL$30="Catastrófico"),CONCATENATE("R2C",'Mapa final'!$S$30),"")</f>
        <v/>
      </c>
      <c r="AK54" s="42" t="str">
        <f>IF(AND('Mapa final'!$AJ$31="Muy Baja",'Mapa final'!$AL$31="Catastrófico"),CONCATENATE("R2C",'Mapa final'!$S$31),"")</f>
        <v/>
      </c>
      <c r="AL54" s="42" t="str">
        <f>IF(AND('Mapa final'!$AJ$32="Muy Baja",'Mapa final'!$AL$32="Catastrófico"),CONCATENATE("R2C",'Mapa final'!$S$32),"")</f>
        <v/>
      </c>
      <c r="AM54" s="42" t="str">
        <f>IF(AND('Mapa final'!$AJ$33="Muy Baja",'Mapa final'!$AL$33="Catastrófico"),CONCATENATE("R2C",'Mapa final'!$S$33),"")</f>
        <v/>
      </c>
      <c r="AN54" s="43" t="str">
        <f>IF(AND('Mapa final'!$AJ$34="Muy Baja",'Mapa final'!$AL$34="Catastrófico"),CONCATENATE("R2C",'Mapa final'!$S$34),"")</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37"/>
      <c r="D55" s="337"/>
      <c r="E55" s="338"/>
      <c r="F55" s="432"/>
      <c r="G55" s="433"/>
      <c r="H55" s="433"/>
      <c r="I55" s="433"/>
      <c r="J55" s="434"/>
      <c r="K55" s="62" t="str">
        <f>IF(AND('Mapa final'!$AJ$35="Muy Baja",'Mapa final'!$AL$35="Leve"),CONCATENATE("R2C",'Mapa final'!$S$35),"")</f>
        <v/>
      </c>
      <c r="L55" s="63" t="str">
        <f>IF(AND('Mapa final'!$AJ$36="Muy Baja",'Mapa final'!$AL$36="Leve"),CONCATENATE("R2C",'Mapa final'!$S$36),"")</f>
        <v/>
      </c>
      <c r="M55" s="63" t="str">
        <f>IF(AND('Mapa final'!$AJ$37="Muy Baja",'Mapa final'!$AL$37="Leve"),CONCATENATE("R2C",'Mapa final'!$S$37),"")</f>
        <v/>
      </c>
      <c r="N55" s="63" t="str">
        <f>IF(AND('Mapa final'!$AJ$38="Muy Baja",'Mapa final'!$AL$38="Leve"),CONCATENATE("R2C",'Mapa final'!$S$38),"")</f>
        <v/>
      </c>
      <c r="O55" s="63" t="str">
        <f>IF(AND('Mapa final'!$AJ$39="Muy Baja",'Mapa final'!$AL$39="Leve"),CONCATENATE("R2C",'Mapa final'!$S$39),"")</f>
        <v/>
      </c>
      <c r="P55" s="64" t="str">
        <f>IF(AND('Mapa final'!$AJ$40="Muy Baja",'Mapa final'!$AL$40="Leve"),CONCATENATE("R2C",'Mapa final'!$S$40),"")</f>
        <v/>
      </c>
      <c r="Q55" s="62" t="str">
        <f>IF(AND('Mapa final'!$AJ$35="Muy Baja",'Mapa final'!$AL$35="Menor"),CONCATENATE("R2C",'Mapa final'!$S$35),"")</f>
        <v/>
      </c>
      <c r="R55" s="63" t="str">
        <f>IF(AND('Mapa final'!$AJ$36="Muy Baja",'Mapa final'!$AL$36="Menor"),CONCATENATE("R2C",'Mapa final'!$S$36),"")</f>
        <v/>
      </c>
      <c r="S55" s="63" t="str">
        <f>IF(AND('Mapa final'!$AJ$37="Muy Baja",'Mapa final'!$AL$37="Menor"),CONCATENATE("R2C",'Mapa final'!$S$37),"")</f>
        <v/>
      </c>
      <c r="T55" s="63" t="str">
        <f>IF(AND('Mapa final'!$AJ$38="Muy Baja",'Mapa final'!$AL$38="Menor"),CONCATENATE("R2C",'Mapa final'!$S$38),"")</f>
        <v/>
      </c>
      <c r="U55" s="63" t="str">
        <f>IF(AND('Mapa final'!$AJ$39="Muy Baja",'Mapa final'!$AL$39="LMenor"),CONCATENATE("R2C",'Mapa final'!$S$39),"")</f>
        <v/>
      </c>
      <c r="V55" s="64" t="str">
        <f>IF(AND('Mapa final'!$AJ$40="Muy Baja",'Mapa final'!$AL$40="Menor"),CONCATENATE("R2C",'Mapa final'!$S$40),"")</f>
        <v/>
      </c>
      <c r="W55" s="53" t="str">
        <f>IF(AND('Mapa final'!$AJ$35="Muy Baja",'Mapa final'!$AL$35="Moderado"),CONCATENATE("R2C",'Mapa final'!$S$35),"")</f>
        <v/>
      </c>
      <c r="X55" s="54" t="str">
        <f>IF(AND('Mapa final'!$AJ$36="Muy Baja",'Mapa final'!$AL$36="Moderado"),CONCATENATE("R2C",'Mapa final'!$S$36),"")</f>
        <v/>
      </c>
      <c r="Y55" s="54" t="str">
        <f>IF(AND('Mapa final'!$AJ$37="Muy Baja",'Mapa final'!$AL$37="Moderado"),CONCATENATE("R2C",'Mapa final'!$S$37),"")</f>
        <v/>
      </c>
      <c r="Z55" s="54" t="str">
        <f>IF(AND('Mapa final'!$AJ$38="Muy Baja",'Mapa final'!$AL$38="Moderado"),CONCATENATE("R2C",'Mapa final'!$S$38),"")</f>
        <v/>
      </c>
      <c r="AA55" s="54" t="str">
        <f>IF(AND('Mapa final'!$AJ$39="Muy Baja",'Mapa final'!$AL$39="Moderado"),CONCATENATE("R2C",'Mapa final'!$S$39),"")</f>
        <v/>
      </c>
      <c r="AB55" s="55" t="str">
        <f>IF(AND('Mapa final'!$AJ$40="Muy Baja",'Mapa final'!$AL$40="Moderado"),CONCATENATE("R2C",'Mapa final'!$S$40),"")</f>
        <v/>
      </c>
      <c r="AC55" s="38" t="str">
        <f>IF(AND('Mapa final'!$AJ$35="Muy Baja",'Mapa final'!$AL$35="Mayor"),CONCATENATE("R2C",'Mapa final'!$S$35),"")</f>
        <v/>
      </c>
      <c r="AD55" s="39" t="str">
        <f>IF(AND('Mapa final'!$AJ$36="Muy Baja",'Mapa final'!$AL$36="Mayor"),CONCATENATE("R2C",'Mapa final'!$S$36),"")</f>
        <v/>
      </c>
      <c r="AE55" s="39" t="str">
        <f>IF(AND('Mapa final'!$AJ$37="Muy Baja",'Mapa final'!$AL$37="Mayor"),CONCATENATE("R2C",'Mapa final'!$S$37),"")</f>
        <v/>
      </c>
      <c r="AF55" s="39" t="str">
        <f>IF(AND('Mapa final'!$AJ$38="Muy Baja",'Mapa final'!$AL$38="Mayor"),CONCATENATE("R2C",'Mapa final'!$S$38),"")</f>
        <v/>
      </c>
      <c r="AG55" s="39" t="str">
        <f>IF(AND('Mapa final'!$AJ$39="Muy Baja",'Mapa final'!$AL$39="Mayor"),CONCATENATE("R2C",'Mapa final'!$S$39),"")</f>
        <v/>
      </c>
      <c r="AH55" s="40" t="str">
        <f>IF(AND('Mapa final'!$AJ$40="Muy Baja",'Mapa final'!$AL$40="Mayor"),CONCATENATE("R2C",'Mapa final'!$S$40),"")</f>
        <v/>
      </c>
      <c r="AI55" s="41" t="str">
        <f>IF(AND('Mapa final'!$AJ$35="Muy Baja",'Mapa final'!$AL$35="Catastrófico"),CONCATENATE("R2C",'Mapa final'!$S$35),"")</f>
        <v/>
      </c>
      <c r="AJ55" s="42" t="str">
        <f>IF(AND('Mapa final'!$AJ$36="Muy Baja",'Mapa final'!$AL$36="Catastrófico"),CONCATENATE("R2C",'Mapa final'!$S$36),"")</f>
        <v/>
      </c>
      <c r="AK55" s="42" t="str">
        <f>IF(AND('Mapa final'!$AJ$37="Muy Baja",'Mapa final'!$AL$37="Catastrófico"),CONCATENATE("R2C",'Mapa final'!$S$37),"")</f>
        <v/>
      </c>
      <c r="AL55" s="42" t="str">
        <f>IF(AND('Mapa final'!$AJ$38="Muy Baja",'Mapa final'!$AL$38="Catastrófico"),CONCATENATE("R2C",'Mapa final'!$S$38),"")</f>
        <v/>
      </c>
      <c r="AM55" s="42" t="str">
        <f>IF(AND('Mapa final'!$AJ$39="Muy Baja",'Mapa final'!$AL$39="LCatastrófico"),CONCATENATE("R2C",'Mapa final'!$S$39),"")</f>
        <v/>
      </c>
      <c r="AN55" s="43" t="str">
        <f>IF(AND('Mapa final'!$AJ$40="Muy Baja",'Mapa final'!$AL$40="Catastrófico"),CONCATENATE("R2C",'Mapa final'!$S$40),"")</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37"/>
      <c r="D56" s="337"/>
      <c r="E56" s="338"/>
      <c r="F56" s="432"/>
      <c r="G56" s="433"/>
      <c r="H56" s="433"/>
      <c r="I56" s="433"/>
      <c r="J56" s="434"/>
      <c r="K56" s="62" t="str">
        <f>IF(AND('Mapa final'!$AJ$41="Muy Baja",'Mapa final'!$AL$41="Leve"),CONCATENATE("R2C",'Mapa final'!$S$41),"")</f>
        <v/>
      </c>
      <c r="L56" s="63" t="str">
        <f>IF(AND('Mapa final'!$AJ$42="Muy Baja",'Mapa final'!$AL$42="Leve"),CONCATENATE("R2C",'Mapa final'!$S$42),"")</f>
        <v/>
      </c>
      <c r="M56" s="63" t="str">
        <f>IF(AND('Mapa final'!$AJ$43="Muy Baja",'Mapa final'!$AL$43="Leve"),CONCATENATE("R2C",'Mapa final'!$S$43),"")</f>
        <v/>
      </c>
      <c r="N56" s="63" t="str">
        <f>IF(AND('Mapa final'!$AJ$44="Muy Baja",'Mapa final'!$AL$44="Leve"),CONCATENATE("R2C",'Mapa final'!$S$44),"")</f>
        <v/>
      </c>
      <c r="O56" s="63" t="str">
        <f>IF(AND('Mapa final'!$AJ$45="Muy Baja",'Mapa final'!$AL$45="Leve"),CONCATENATE("R2C",'Mapa final'!$S$45),"")</f>
        <v/>
      </c>
      <c r="P56" s="64" t="str">
        <f>IF(AND('Mapa final'!$AJ$46="Muy Baja",'Mapa final'!$AL$46="Leve"),CONCATENATE("R2C",'Mapa final'!$S$46),"")</f>
        <v/>
      </c>
      <c r="Q56" s="62" t="str">
        <f>IF(AND('Mapa final'!$AJ$41="Muy Baja",'Mapa final'!$AL$41="Menor"),CONCATENATE("R2C",'Mapa final'!$S$41),"")</f>
        <v/>
      </c>
      <c r="R56" s="63" t="str">
        <f>IF(AND('Mapa final'!$AJ$42="Muy Baja",'Mapa final'!$AL$42="Menor"),CONCATENATE("R2C",'Mapa final'!$S$42),"")</f>
        <v/>
      </c>
      <c r="S56" s="63" t="str">
        <f>IF(AND('Mapa final'!$AJ$43="Muy Baja",'Mapa final'!$AL$43="Menor"),CONCATENATE("R2C",'Mapa final'!$S$43),"")</f>
        <v/>
      </c>
      <c r="T56" s="63" t="str">
        <f>IF(AND('Mapa final'!$AJ$44="Muy Baja",'Mapa final'!$AL$44="Menor"),CONCATENATE("R2C",'Mapa final'!$S$44),"")</f>
        <v/>
      </c>
      <c r="U56" s="63" t="str">
        <f>IF(AND('Mapa final'!$AJ$45="Muy Baja",'Mapa final'!$AL$45="Menor"),CONCATENATE("R2C",'Mapa final'!$S$45),"")</f>
        <v/>
      </c>
      <c r="V56" s="64" t="str">
        <f>IF(AND('Mapa final'!$AJ$46="Muy Baja",'Mapa final'!$AL$46="Menor"),CONCATENATE("R2C",'Mapa final'!$S$46),"")</f>
        <v/>
      </c>
      <c r="W56" s="53" t="str">
        <f>IF(AND('Mapa final'!$AJ$41="Muy Baja",'Mapa final'!$AL$41="Moderado"),CONCATENATE("R2C",'Mapa final'!$S$41),"")</f>
        <v/>
      </c>
      <c r="X56" s="54" t="str">
        <f>IF(AND('Mapa final'!$AJ$42="Muy Baja",'Mapa final'!$AL$42="Moderado"),CONCATENATE("R2C",'Mapa final'!$S$42),"")</f>
        <v/>
      </c>
      <c r="Y56" s="54" t="str">
        <f>IF(AND('Mapa final'!$AJ$43="Muy Baja",'Mapa final'!$AL$43="Moderado"),CONCATENATE("R2C",'Mapa final'!$S$43),"")</f>
        <v/>
      </c>
      <c r="Z56" s="54" t="str">
        <f>IF(AND('Mapa final'!$AJ$44="Muy Baja",'Mapa final'!$AL$44="Moderado"),CONCATENATE("R2C",'Mapa final'!$S$44),"")</f>
        <v/>
      </c>
      <c r="AA56" s="54" t="str">
        <f>IF(AND('Mapa final'!$AJ$45="Muy Baja",'Mapa final'!$AL$45="Moderado"),CONCATENATE("R2C",'Mapa final'!$S$45),"")</f>
        <v/>
      </c>
      <c r="AB56" s="55" t="str">
        <f>IF(AND('Mapa final'!$AJ$46="Muy Baja",'Mapa final'!$AL$46="Moderado"),CONCATENATE("R2C",'Mapa final'!$S$46),"")</f>
        <v/>
      </c>
      <c r="AC56" s="38" t="str">
        <f>IF(AND('Mapa final'!$AJ$41="Muy Baja",'Mapa final'!$AL$41="Mayor"),CONCATENATE("R2C",'Mapa final'!$S$41),"")</f>
        <v/>
      </c>
      <c r="AD56" s="39" t="str">
        <f>IF(AND('Mapa final'!$AJ$42="Muy Baja",'Mapa final'!$AL$42="Mayor"),CONCATENATE("R2C",'Mapa final'!$S$42),"")</f>
        <v/>
      </c>
      <c r="AE56" s="39" t="str">
        <f>IF(AND('Mapa final'!$AJ$43="Muy Baja",'Mapa final'!$AL$43="Mayor"),CONCATENATE("R2C",'Mapa final'!$S$43),"")</f>
        <v/>
      </c>
      <c r="AF56" s="39" t="str">
        <f>IF(AND('Mapa final'!$AJ$44="Muy Baja",'Mapa final'!$AL$44="Mayor"),CONCATENATE("R2C",'Mapa final'!$S$44),"")</f>
        <v/>
      </c>
      <c r="AG56" s="39" t="str">
        <f>IF(AND('Mapa final'!$AJ$45="Muy Baja",'Mapa final'!$AL$45="Mayor"),CONCATENATE("R2C",'Mapa final'!$S$45),"")</f>
        <v/>
      </c>
      <c r="AH56" s="40" t="str">
        <f>IF(AND('Mapa final'!$AJ$46="Muy Baja",'Mapa final'!$AL$46="Mayor"),CONCATENATE("R2C",'Mapa final'!$S$46),"")</f>
        <v/>
      </c>
      <c r="AI56" s="41" t="str">
        <f>IF(AND('Mapa final'!$AJ$41="Muy Baja",'Mapa final'!$AL$41="Catastrófico"),CONCATENATE("R2C",'Mapa final'!$S$41),"")</f>
        <v/>
      </c>
      <c r="AJ56" s="42" t="str">
        <f>IF(AND('Mapa final'!$AJ$42="Muy Baja",'Mapa final'!$AL$42="Catastrófico"),CONCATENATE("R2C",'Mapa final'!$S$42),"")</f>
        <v/>
      </c>
      <c r="AK56" s="42" t="str">
        <f>IF(AND('Mapa final'!$AJ$43="Muy Baja",'Mapa final'!$AL$43="Catastrófico"),CONCATENATE("R2C",'Mapa final'!$S$43),"")</f>
        <v/>
      </c>
      <c r="AL56" s="42" t="str">
        <f>IF(AND('Mapa final'!$AJ$44="Muy Baja",'Mapa final'!$AL$44="Catastrófico"),CONCATENATE("R2C",'Mapa final'!$S$44),"")</f>
        <v/>
      </c>
      <c r="AM56" s="42" t="str">
        <f>IF(AND('Mapa final'!$AJ$45="Muy Baja",'Mapa final'!$AL$45="Catastrófico"),CONCATENATE("R2C",'Mapa final'!$S$45),"")</f>
        <v/>
      </c>
      <c r="AN56" s="43" t="str">
        <f>IF(AND('Mapa final'!$AJ$46="Muy Baja",'Mapa final'!$AL$46="Catastrófico"),CONCATENATE("R2C",'Mapa final'!$S$46),"")</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37"/>
      <c r="D57" s="337"/>
      <c r="E57" s="338"/>
      <c r="F57" s="432"/>
      <c r="G57" s="433"/>
      <c r="H57" s="433"/>
      <c r="I57" s="433"/>
      <c r="J57" s="434"/>
      <c r="K57" s="62" t="str">
        <f>IF(AND('Mapa final'!$AJ$47="Muy Baja",'Mapa final'!$AL$47="Leve"),CONCATENATE("R2C",'Mapa final'!$S$47),"")</f>
        <v/>
      </c>
      <c r="L57" s="63" t="str">
        <f>IF(AND('Mapa final'!$AJ$48="Muy Baja",'Mapa final'!$AL$48="Leve"),CONCATENATE("R2C",'Mapa final'!$S$48),"")</f>
        <v/>
      </c>
      <c r="M57" s="63" t="str">
        <f>IF(AND('Mapa final'!$AJ$49="Muy Baja",'Mapa final'!$AL$49="Leve"),CONCATENATE("R2C",'Mapa final'!$S$49),"")</f>
        <v/>
      </c>
      <c r="N57" s="63" t="str">
        <f>IF(AND('Mapa final'!$AJ$50="Muy Baja",'Mapa final'!$AL$50="Leve"),CONCATENATE("R2C",'Mapa final'!$S$50),"")</f>
        <v/>
      </c>
      <c r="O57" s="63" t="str">
        <f>IF(AND('Mapa final'!$AJ$51="Muy Baja",'Mapa final'!$AL$51="Leve"),CONCATENATE("R2C",'Mapa final'!$S$51),"")</f>
        <v/>
      </c>
      <c r="P57" s="64" t="str">
        <f>IF(AND('Mapa final'!$AJ$62="Muy Baja",'Mapa final'!$AL$52="Leve"),CONCATENATE("R2C",'Mapa final'!$S$52),"")</f>
        <v/>
      </c>
      <c r="Q57" s="62" t="str">
        <f>IF(AND('Mapa final'!$AJ$47="Muy Baja",'Mapa final'!$AL$47="Menor"),CONCATENATE("R2C",'Mapa final'!$S$47),"")</f>
        <v/>
      </c>
      <c r="R57" s="63" t="str">
        <f>IF(AND('Mapa final'!$AJ$48="Muy Baja",'Mapa final'!$AL$48="Menor"),CONCATENATE("R2C",'Mapa final'!$S$48),"")</f>
        <v/>
      </c>
      <c r="S57" s="63" t="str">
        <f>IF(AND('Mapa final'!$AJ$49="Muy Baja",'Mapa final'!$AL$49="Menor"),CONCATENATE("R2C",'Mapa final'!$S$49),"")</f>
        <v/>
      </c>
      <c r="T57" s="63" t="str">
        <f>IF(AND('Mapa final'!$AJ$50="Muy Baja",'Mapa final'!$AL$50="Menor"),CONCATENATE("R2C",'Mapa final'!$S$50),"")</f>
        <v/>
      </c>
      <c r="U57" s="63" t="str">
        <f>IF(AND('Mapa final'!$AJ$51="Muy Baja",'Mapa final'!$AL$51="Menor"),CONCATENATE("R2C",'Mapa final'!$S$51),"")</f>
        <v/>
      </c>
      <c r="V57" s="64" t="str">
        <f>IF(AND('Mapa final'!$AJ$62="Muy Baja",'Mapa final'!$AL$52="Menor"),CONCATENATE("R2C",'Mapa final'!$S$52),"")</f>
        <v/>
      </c>
      <c r="W57" s="53" t="str">
        <f>IF(AND('Mapa final'!$AJ$47="Muy Baja",'Mapa final'!$AL$47="Moderado"),CONCATENATE("R2C",'Mapa final'!$S$47),"")</f>
        <v/>
      </c>
      <c r="X57" s="54" t="str">
        <f>IF(AND('Mapa final'!$AJ$48="Muy Baja",'Mapa final'!$AL$48="Moderado"),CONCATENATE("R2C",'Mapa final'!$S$48),"")</f>
        <v/>
      </c>
      <c r="Y57" s="54" t="str">
        <f>IF(AND('Mapa final'!$AJ$49="Muy Baja",'Mapa final'!$AL$49="Moderado"),CONCATENATE("R2C",'Mapa final'!$S$49),"")</f>
        <v/>
      </c>
      <c r="Z57" s="54" t="str">
        <f>IF(AND('Mapa final'!$AJ$50="Muy Baja",'Mapa final'!$AL$50="Moderado"),CONCATENATE("R2C",'Mapa final'!$S$50),"")</f>
        <v/>
      </c>
      <c r="AA57" s="54" t="str">
        <f>IF(AND('Mapa final'!$AJ$51="Muy Baja",'Mapa final'!$AL$51="Moderado"),CONCATENATE("R2C",'Mapa final'!$S$51),"")</f>
        <v/>
      </c>
      <c r="AB57" s="55" t="str">
        <f>IF(AND('Mapa final'!$AJ$62="Muy Baja",'Mapa final'!$AL$52="Moderado"),CONCATENATE("R2C",'Mapa final'!$S$52),"")</f>
        <v/>
      </c>
      <c r="AC57" s="38" t="str">
        <f>IF(AND('Mapa final'!$AJ$47="Muy Baja",'Mapa final'!$AL$47="Mayor"),CONCATENATE("R2C",'Mapa final'!$S$47),"")</f>
        <v/>
      </c>
      <c r="AD57" s="39" t="str">
        <f>IF(AND('Mapa final'!$AJ$48="Muy Baja",'Mapa final'!$AL$48="Mayor"),CONCATENATE("R2C",'Mapa final'!$S$48),"")</f>
        <v/>
      </c>
      <c r="AE57" s="39" t="str">
        <f>IF(AND('Mapa final'!$AJ$49="Muy Baja",'Mapa final'!$AL$49="Mayor"),CONCATENATE("R2C",'Mapa final'!$S$49),"")</f>
        <v/>
      </c>
      <c r="AF57" s="39" t="str">
        <f>IF(AND('Mapa final'!$AJ$50="Muy Baja",'Mapa final'!$AL$50="Mayor"),CONCATENATE("R2C",'Mapa final'!$S$50),"")</f>
        <v/>
      </c>
      <c r="AG57" s="39" t="str">
        <f>IF(AND('Mapa final'!$AJ$51="Muy Baja",'Mapa final'!$AL$51="Mayor"),CONCATENATE("R2C",'Mapa final'!$S$51),"")</f>
        <v/>
      </c>
      <c r="AH57" s="40" t="str">
        <f>IF(AND('Mapa final'!$AJ$62="Muy Baja",'Mapa final'!$AL$52="Mayor"),CONCATENATE("R2C",'Mapa final'!$S$52),"")</f>
        <v/>
      </c>
      <c r="AI57" s="41" t="str">
        <f>IF(AND('Mapa final'!$AJ$47="Muy Baja",'Mapa final'!$AL$47="Catastrófico"),CONCATENATE("R2C",'Mapa final'!$S$47),"")</f>
        <v/>
      </c>
      <c r="AJ57" s="42" t="str">
        <f>IF(AND('Mapa final'!$AJ$48="Muy Baja",'Mapa final'!$AL$48="Catastrófico"),CONCATENATE("R2C",'Mapa final'!$S$48),"")</f>
        <v/>
      </c>
      <c r="AK57" s="42" t="str">
        <f>IF(AND('Mapa final'!$AJ$49="Muy Baja",'Mapa final'!$AL$49="Catastrófico"),CONCATENATE("R2C",'Mapa final'!$S$49),"")</f>
        <v/>
      </c>
      <c r="AL57" s="42" t="str">
        <f>IF(AND('Mapa final'!$AJ$50="Muy Baja",'Mapa final'!$AL$50="Catastrófico"),CONCATENATE("R2C",'Mapa final'!$S$50),"")</f>
        <v/>
      </c>
      <c r="AM57" s="42" t="str">
        <f>IF(AND('Mapa final'!$AJ$51="Muy Baja",'Mapa final'!$AL$51="Catastrófico"),CONCATENATE("R2C",'Mapa final'!$S$51),"")</f>
        <v/>
      </c>
      <c r="AN57" s="43" t="str">
        <f>IF(AND('Mapa final'!$AJ$62="Muy Baja",'Mapa final'!$AL$52="Catastrófico"),CONCATENATE("R2C",'Mapa final'!$S$52),"")</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37"/>
      <c r="D58" s="337"/>
      <c r="E58" s="338"/>
      <c r="F58" s="432"/>
      <c r="G58" s="433"/>
      <c r="H58" s="433"/>
      <c r="I58" s="433"/>
      <c r="J58" s="434"/>
      <c r="K58" s="62" t="str">
        <f>IF(AND('Mapa final'!$AJ$53="Muy Baja",'Mapa final'!$AL$53="Leve"),CONCATENATE("R2C",'Mapa final'!$S$53),"")</f>
        <v/>
      </c>
      <c r="L58" s="63" t="str">
        <f>IF(AND('Mapa final'!$AJ$54="Muy Baja",'Mapa final'!$AL$54="Leve"),CONCATENATE("R2C",'Mapa final'!$S$54),"")</f>
        <v/>
      </c>
      <c r="M58" s="63" t="str">
        <f>IF(AND('Mapa final'!$AJ$55="Muy Baja",'Mapa final'!$AL$55="Leve"),CONCATENATE("R2C",'Mapa final'!$S$55),"")</f>
        <v/>
      </c>
      <c r="N58" s="63" t="str">
        <f>IF(AND('Mapa final'!$AJ$56="Muy Baja",'Mapa final'!$AL$56="Leve"),CONCATENATE("R2C",'Mapa final'!$S$56),"")</f>
        <v/>
      </c>
      <c r="O58" s="63" t="str">
        <f>IF(AND('Mapa final'!$AJ$57="Muy Baja",'Mapa final'!$AL$57="Leve"),CONCATENATE("R2C",'Mapa final'!$S$57),"")</f>
        <v/>
      </c>
      <c r="P58" s="64" t="str">
        <f>IF(AND('Mapa final'!$AJ$58="Muy Baja",'Mapa final'!$AL$58="Leve"),CONCATENATE("R2C",'Mapa final'!$S$58),"")</f>
        <v/>
      </c>
      <c r="Q58" s="62" t="str">
        <f>IF(AND('Mapa final'!$AJ$53="Muy Baja",'Mapa final'!$AL$53="Menor"),CONCATENATE("R2C",'Mapa final'!$S$53),"")</f>
        <v/>
      </c>
      <c r="R58" s="63" t="str">
        <f>IF(AND('Mapa final'!$AJ$54="Muy Baja",'Mapa final'!$AL$54="Menor"),CONCATENATE("R2C",'Mapa final'!$S$54),"")</f>
        <v/>
      </c>
      <c r="S58" s="63" t="str">
        <f>IF(AND('Mapa final'!$AJ$55="Muy Baja",'Mapa final'!$AL$55="Menor"),CONCATENATE("R2C",'Mapa final'!$S$55),"")</f>
        <v/>
      </c>
      <c r="T58" s="63" t="str">
        <f>IF(AND('Mapa final'!$AJ$56="Muy Baja",'Mapa final'!$AL$56="Menor"),CONCATENATE("R2C",'Mapa final'!$S$56),"")</f>
        <v/>
      </c>
      <c r="U58" s="63" t="str">
        <f>IF(AND('Mapa final'!$AJ$57="Muy Baja",'Mapa final'!$AL$57="Menor"),CONCATENATE("R2C",'Mapa final'!$S$57),"")</f>
        <v/>
      </c>
      <c r="V58" s="64" t="str">
        <f>IF(AND('Mapa final'!$AJ$58="Muy Baja",'Mapa final'!$AL$58="Menor"),CONCATENATE("R2C",'Mapa final'!$S$58),"")</f>
        <v/>
      </c>
      <c r="W58" s="53" t="str">
        <f>IF(AND('Mapa final'!$AJ$53="Muy Baja",'Mapa final'!$AL$53="Moderado"),CONCATENATE("R2C",'Mapa final'!$S$53),"")</f>
        <v/>
      </c>
      <c r="X58" s="54" t="str">
        <f>IF(AND('Mapa final'!$AJ$54="Muy Baja",'Mapa final'!$AL$54="Moderado"),CONCATENATE("R2C",'Mapa final'!$S$54),"")</f>
        <v/>
      </c>
      <c r="Y58" s="54" t="str">
        <f>IF(AND('Mapa final'!$AJ$55="Muy Baja",'Mapa final'!$AL$55="Moderado"),CONCATENATE("R2C",'Mapa final'!$S$55),"")</f>
        <v/>
      </c>
      <c r="Z58" s="54" t="str">
        <f>IF(AND('Mapa final'!$AJ$56="Muy Baja",'Mapa final'!$AL$56="Moderado"),CONCATENATE("R2C",'Mapa final'!$S$56),"")</f>
        <v/>
      </c>
      <c r="AA58" s="54" t="str">
        <f>IF(AND('Mapa final'!$AJ$57="Muy Baja",'Mapa final'!$AL$57="Moderado"),CONCATENATE("R2C",'Mapa final'!$S$57),"")</f>
        <v/>
      </c>
      <c r="AB58" s="55" t="str">
        <f>IF(AND('Mapa final'!$AJ$58="Muy Baja",'Mapa final'!$AL$58="Moderado"),CONCATENATE("R2C",'Mapa final'!$S$58),"")</f>
        <v/>
      </c>
      <c r="AC58" s="38" t="str">
        <f>IF(AND('Mapa final'!$AJ$53="Muy Baja",'Mapa final'!$AL$53="Mayor"),CONCATENATE("R2C",'Mapa final'!$S$53),"")</f>
        <v/>
      </c>
      <c r="AD58" s="39" t="str">
        <f>IF(AND('Mapa final'!$AJ$54="Muy Baja",'Mapa final'!$AL$54="Mayor"),CONCATENATE("R2C",'Mapa final'!$S$54),"")</f>
        <v/>
      </c>
      <c r="AE58" s="39" t="str">
        <f>IF(AND('Mapa final'!$AJ$55="Muy Baja",'Mapa final'!$AL$55="Mayor"),CONCATENATE("R2C",'Mapa final'!$S$55),"")</f>
        <v/>
      </c>
      <c r="AF58" s="39" t="str">
        <f>IF(AND('Mapa final'!$AJ$56="Muy Baja",'Mapa final'!$AL$56="Mayor"),CONCATENATE("R2C",'Mapa final'!$S$56),"")</f>
        <v/>
      </c>
      <c r="AG58" s="39" t="str">
        <f>IF(AND('Mapa final'!$AJ$57="Muy Baja",'Mapa final'!$AL$57="Mayor"),CONCATENATE("R2C",'Mapa final'!$S$57),"")</f>
        <v/>
      </c>
      <c r="AH58" s="40" t="str">
        <f>IF(AND('Mapa final'!$AJ$58="Muy Baja",'Mapa final'!$AL$58="Mayor"),CONCATENATE("R2C",'Mapa final'!$S$58),"")</f>
        <v/>
      </c>
      <c r="AI58" s="41" t="str">
        <f>IF(AND('Mapa final'!$AJ$53="Muy Baja",'Mapa final'!$AL$53="Catastrófico"),CONCATENATE("R2C",'Mapa final'!$S$53),"")</f>
        <v/>
      </c>
      <c r="AJ58" s="42" t="str">
        <f>IF(AND('Mapa final'!$AJ$54="Muy Baja",'Mapa final'!$AL$54="Catastrófico"),CONCATENATE("R2C",'Mapa final'!$S$54),"")</f>
        <v/>
      </c>
      <c r="AK58" s="42" t="str">
        <f>IF(AND('Mapa final'!$AJ$55="Muy Baja",'Mapa final'!$AL$55="Catastrófico"),CONCATENATE("R2C",'Mapa final'!$S$55),"")</f>
        <v/>
      </c>
      <c r="AL58" s="42" t="str">
        <f>IF(AND('Mapa final'!$AJ$56="Muy Baja",'Mapa final'!$AL$56="Catastrófico"),CONCATENATE("R2C",'Mapa final'!$S$56),"")</f>
        <v/>
      </c>
      <c r="AM58" s="42" t="str">
        <f>IF(AND('Mapa final'!$AJ$57="Muy Baja",'Mapa final'!$AL$57="Catastrófico"),CONCATENATE("R2C",'Mapa final'!$S$57),"")</f>
        <v/>
      </c>
      <c r="AN58" s="43" t="str">
        <f>IF(AND('Mapa final'!$AJ$58="Muy Baja",'Mapa final'!$AL$58="Catastrófico"),CONCATENATE("R2C",'Mapa final'!$S$58),"")</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37"/>
      <c r="D59" s="337"/>
      <c r="E59" s="338"/>
      <c r="F59" s="432"/>
      <c r="G59" s="433"/>
      <c r="H59" s="433"/>
      <c r="I59" s="433"/>
      <c r="J59" s="434"/>
      <c r="K59" s="62" t="str">
        <f>IF(AND('Mapa final'!$AJ$59="Muy Baja",'Mapa final'!$AL$59="Leve"),CONCATENATE("R2C",'Mapa final'!$S$59),"")</f>
        <v/>
      </c>
      <c r="L59" s="63" t="str">
        <f>IF(AND('Mapa final'!$AJ$60="Muy Baja",'Mapa final'!$AL$60="Leve"),CONCATENATE("R2C",'Mapa final'!$S$60),"")</f>
        <v/>
      </c>
      <c r="M59" s="63" t="str">
        <f>IF(AND('Mapa final'!$AJ$61="Muy Baja",'Mapa final'!$AL$61="Leve"),CONCATENATE("R2C",'Mapa final'!$S$61),"")</f>
        <v/>
      </c>
      <c r="N59" s="63" t="str">
        <f>IF(AND('Mapa final'!$AJ$62="Muy Baja",'Mapa final'!$AL$62="Leve"),CONCATENATE("R2C",'Mapa final'!$S$62),"")</f>
        <v/>
      </c>
      <c r="O59" s="63" t="str">
        <f>IF(AND('Mapa final'!$AJ$63="Muy Baja",'Mapa final'!$AL$63="Leve"),CONCATENATE("R2C",'Mapa final'!$S$63),"")</f>
        <v/>
      </c>
      <c r="P59" s="64" t="str">
        <f>IF(AND('Mapa final'!$AJ$64="Muy Baja",'Mapa final'!$AL$64="Leve"),CONCATENATE("R2C",'Mapa final'!$S$64),"")</f>
        <v/>
      </c>
      <c r="Q59" s="62" t="str">
        <f>IF(AND('Mapa final'!$AJ$59="Muy Baja",'Mapa final'!$AL$59="Menor"),CONCATENATE("R2C",'Mapa final'!$S$59),"")</f>
        <v/>
      </c>
      <c r="R59" s="63" t="str">
        <f>IF(AND('Mapa final'!$AJ$60="Muy Baja",'Mapa final'!$AL$60="Menor"),CONCATENATE("R2C",'Mapa final'!$S$60),"")</f>
        <v/>
      </c>
      <c r="S59" s="63" t="str">
        <f>IF(AND('Mapa final'!$AJ$61="Muy Baja",'Mapa final'!$AL$61="Menor"),CONCATENATE("R2C",'Mapa final'!$S$61),"")</f>
        <v/>
      </c>
      <c r="T59" s="63" t="str">
        <f>IF(AND('Mapa final'!$AJ$62="Muy Baja",'Mapa final'!$AL$62="Menor"),CONCATENATE("R2C",'Mapa final'!$S$62),"")</f>
        <v/>
      </c>
      <c r="U59" s="63" t="str">
        <f>IF(AND('Mapa final'!$AJ$63="Muy Baja",'Mapa final'!$AL$63="Menor"),CONCATENATE("R2C",'Mapa final'!$S$63),"")</f>
        <v/>
      </c>
      <c r="V59" s="64" t="str">
        <f>IF(AND('Mapa final'!$AJ$64="Muy Baja",'Mapa final'!$AL$64="Menor"),CONCATENATE("R2C",'Mapa final'!$S$64),"")</f>
        <v/>
      </c>
      <c r="W59" s="53" t="str">
        <f>IF(AND('Mapa final'!$AJ$59="Muy Baja",'Mapa final'!$AL$59="Moderado"),CONCATENATE("R2C",'Mapa final'!$S$59),"")</f>
        <v/>
      </c>
      <c r="X59" s="54" t="str">
        <f>IF(AND('Mapa final'!$AJ$60="Muy Baja",'Mapa final'!$AL$60="Moderado"),CONCATENATE("R2C",'Mapa final'!$S$60),"")</f>
        <v/>
      </c>
      <c r="Y59" s="54" t="str">
        <f>IF(AND('Mapa final'!$AJ$61="Muy Baja",'Mapa final'!$AL$61="Moderado"),CONCATENATE("R2C",'Mapa final'!$S$61),"")</f>
        <v/>
      </c>
      <c r="Z59" s="54" t="str">
        <f>IF(AND('Mapa final'!$AJ$62="Muy Baja",'Mapa final'!$AL$62="Moderado"),CONCATENATE("R2C",'Mapa final'!$S$62),"")</f>
        <v/>
      </c>
      <c r="AA59" s="54" t="str">
        <f>IF(AND('Mapa final'!$AJ$63="Muy Baja",'Mapa final'!$AL$63="Moderado"),CONCATENATE("R2C",'Mapa final'!$S$63),"")</f>
        <v/>
      </c>
      <c r="AB59" s="55" t="str">
        <f>IF(AND('Mapa final'!$AJ$64="Muy Baja",'Mapa final'!$AL$64="Moderado"),CONCATENATE("R2C",'Mapa final'!$S$64),"")</f>
        <v/>
      </c>
      <c r="AC59" s="38" t="str">
        <f>IF(AND('Mapa final'!$AJ$59="Muy Baja",'Mapa final'!$AL$59="Mayor"),CONCATENATE("R2C",'Mapa final'!$S$59),"")</f>
        <v/>
      </c>
      <c r="AD59" s="39" t="str">
        <f>IF(AND('Mapa final'!$AJ$60="Muy Baja",'Mapa final'!$AL$60="Mayor"),CONCATENATE("R2C",'Mapa final'!$S$60),"")</f>
        <v/>
      </c>
      <c r="AE59" s="39" t="str">
        <f>IF(AND('Mapa final'!$AJ$61="Muy Baja",'Mapa final'!$AL$61="Mayor"),CONCATENATE("R2C",'Mapa final'!$S$61),"")</f>
        <v/>
      </c>
      <c r="AF59" s="39" t="str">
        <f>IF(AND('Mapa final'!$AJ$62="Muy Baja",'Mapa final'!$AL$62="Mayor"),CONCATENATE("R2C",'Mapa final'!$S$62),"")</f>
        <v/>
      </c>
      <c r="AG59" s="39" t="str">
        <f>IF(AND('Mapa final'!$AJ$63="Muy Baja",'Mapa final'!$AL$63="Mayor"),CONCATENATE("R2C",'Mapa final'!$S$63),"")</f>
        <v/>
      </c>
      <c r="AH59" s="40" t="str">
        <f>IF(AND('Mapa final'!$AJ$64="Muy Baja",'Mapa final'!$AL$64="Mayor"),CONCATENATE("R2C",'Mapa final'!$S$64),"")</f>
        <v/>
      </c>
      <c r="AI59" s="41" t="str">
        <f>IF(AND('Mapa final'!$AJ$59="Muy Baja",'Mapa final'!$AL$59="Catastrófico"),CONCATENATE("R2C",'Mapa final'!$S$59),"")</f>
        <v/>
      </c>
      <c r="AJ59" s="42" t="str">
        <f>IF(AND('Mapa final'!$AJ$60="Muy Baja",'Mapa final'!$AL$60="Catastrófico"),CONCATENATE("R2C",'Mapa final'!$S$60),"")</f>
        <v/>
      </c>
      <c r="AK59" s="42" t="str">
        <f>IF(AND('Mapa final'!$AJ$61="Muy Baja",'Mapa final'!$AL$61="Catastrófico"),CONCATENATE("R2C",'Mapa final'!$S$61),"")</f>
        <v/>
      </c>
      <c r="AL59" s="42" t="str">
        <f>IF(AND('Mapa final'!$AJ$62="Muy Baja",'Mapa final'!$AL$62="Catastrófico"),CONCATENATE("R2C",'Mapa final'!$S$62),"")</f>
        <v/>
      </c>
      <c r="AM59" s="42" t="str">
        <f>IF(AND('Mapa final'!$AJ$63="Muy Baja",'Mapa final'!$AL$63="Catastrófico"),CONCATENATE("R2C",'Mapa final'!$S$63),"")</f>
        <v/>
      </c>
      <c r="AN59" s="43" t="str">
        <f>IF(AND('Mapa final'!$AJ$64="Muy Baja",'Mapa final'!$AL$64="Catastrófico"),CONCATENATE("R2C",'Mapa final'!$S$64),"")</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37"/>
      <c r="D60" s="337"/>
      <c r="E60" s="338"/>
      <c r="F60" s="432"/>
      <c r="G60" s="433"/>
      <c r="H60" s="433"/>
      <c r="I60" s="433"/>
      <c r="J60" s="434"/>
      <c r="K60" s="62" t="str">
        <f>IF(AND('Mapa final'!$AJ$65="Muy Baja",'Mapa final'!$AL$65="Leve"),CONCATENATE("R2C",'Mapa final'!$S$65),"")</f>
        <v/>
      </c>
      <c r="L60" s="63" t="str">
        <f>IF(AND('Mapa final'!$AJ$66="Muy Baja",'Mapa final'!$AL$66="Leve"),CONCATENATE("R2C",'Mapa final'!$S$66),"")</f>
        <v/>
      </c>
      <c r="M60" s="63" t="str">
        <f>IF(AND('Mapa final'!$AJ$67="Muy Baja",'Mapa final'!$AL$67="Leve"),CONCATENATE("R2C",'Mapa final'!$S$67),"")</f>
        <v/>
      </c>
      <c r="N60" s="63" t="str">
        <f>IF(AND('Mapa final'!$AJ$68="Muy Baja",'Mapa final'!$AL$68="Leve"),CONCATENATE("R2C",'Mapa final'!$S$68),"")</f>
        <v/>
      </c>
      <c r="O60" s="63" t="str">
        <f>IF(AND('Mapa final'!$AJ$69="Muy Baja",'Mapa final'!$AL$69="Leve"),CONCATENATE("R2C",'Mapa final'!$S$69),"")</f>
        <v/>
      </c>
      <c r="P60" s="64" t="str">
        <f>IF(AND('Mapa final'!$AJ$70="Muy Baja",'Mapa final'!$AL$70="Leve"),CONCATENATE("R2C",'Mapa final'!$S$70),"")</f>
        <v/>
      </c>
      <c r="Q60" s="62" t="str">
        <f>IF(AND('Mapa final'!$AJ$65="Muy Baja",'Mapa final'!$AL$65="Menor"),CONCATENATE("R2C",'Mapa final'!$S$65),"")</f>
        <v/>
      </c>
      <c r="R60" s="63" t="str">
        <f>IF(AND('Mapa final'!$AJ$66="Muy Baja",'Mapa final'!$AL$66="Menor"),CONCATENATE("R2C",'Mapa final'!$S$66),"")</f>
        <v/>
      </c>
      <c r="S60" s="63" t="str">
        <f>IF(AND('Mapa final'!$AJ$67="Muy Baja",'Mapa final'!$AL$67="Menor"),CONCATENATE("R2C",'Mapa final'!$S$67),"")</f>
        <v/>
      </c>
      <c r="T60" s="63" t="str">
        <f>IF(AND('Mapa final'!$AJ$68="Muy Baja",'Mapa final'!$AL$68="Menor"),CONCATENATE("R2C",'Mapa final'!$S$68),"")</f>
        <v/>
      </c>
      <c r="U60" s="63" t="str">
        <f>IF(AND('Mapa final'!$AJ$69="Muy Baja",'Mapa final'!$AL$69="Menor"),CONCATENATE("R2C",'Mapa final'!$S$69),"")</f>
        <v/>
      </c>
      <c r="V60" s="64" t="str">
        <f>IF(AND('Mapa final'!$AJ$70="Muy Baja",'Mapa final'!$AL$70="Menor"),CONCATENATE("R2C",'Mapa final'!$S$70),"")</f>
        <v/>
      </c>
      <c r="W60" s="53" t="str">
        <f>IF(AND('Mapa final'!$AJ$65="Muy Baja",'Mapa final'!$AL$65="Moderado"),CONCATENATE("R2C",'Mapa final'!$S$65),"")</f>
        <v/>
      </c>
      <c r="X60" s="54" t="str">
        <f>IF(AND('Mapa final'!$AJ$66="Muy Baja",'Mapa final'!$AL$66="Moderado"),CONCATENATE("R2C",'Mapa final'!$S$66),"")</f>
        <v/>
      </c>
      <c r="Y60" s="54" t="str">
        <f>IF(AND('Mapa final'!$AJ$67="Muy Baja",'Mapa final'!$AL$67="Moderado"),CONCATENATE("R2C",'Mapa final'!$S$67),"")</f>
        <v/>
      </c>
      <c r="Z60" s="54" t="str">
        <f>IF(AND('Mapa final'!$AJ$68="Muy Baja",'Mapa final'!$AL$68="Moderado"),CONCATENATE("R2C",'Mapa final'!$S$68),"")</f>
        <v/>
      </c>
      <c r="AA60" s="54" t="str">
        <f>IF(AND('Mapa final'!$AJ$69="Muy Baja",'Mapa final'!$AL$69="Moderado"),CONCATENATE("R2C",'Mapa final'!$S$69),"")</f>
        <v/>
      </c>
      <c r="AB60" s="55" t="str">
        <f>IF(AND('Mapa final'!$AJ$70="Muy Baja",'Mapa final'!$AL$70="Moderado"),CONCATENATE("R2C",'Mapa final'!$S$70),"")</f>
        <v/>
      </c>
      <c r="AC60" s="38" t="str">
        <f>IF(AND('Mapa final'!$AJ$65="Muy Baja",'Mapa final'!$AL$65="Mayor"),CONCATENATE("R2C",'Mapa final'!$S$65),"")</f>
        <v/>
      </c>
      <c r="AD60" s="39" t="str">
        <f>IF(AND('Mapa final'!$AJ$66="Muy Baja",'Mapa final'!$AL$66="Mayor"),CONCATENATE("R2C",'Mapa final'!$S$66),"")</f>
        <v/>
      </c>
      <c r="AE60" s="39" t="str">
        <f>IF(AND('Mapa final'!$AJ$67="Muy Baja",'Mapa final'!$AL$67="Mayor"),CONCATENATE("R2C",'Mapa final'!$S$67),"")</f>
        <v/>
      </c>
      <c r="AF60" s="39" t="str">
        <f>IF(AND('Mapa final'!$AJ$68="Muy Baja",'Mapa final'!$AL$68="Mayor"),CONCATENATE("R2C",'Mapa final'!$S$68),"")</f>
        <v/>
      </c>
      <c r="AG60" s="39" t="str">
        <f>IF(AND('Mapa final'!$AJ$69="Muy Baja",'Mapa final'!$AL$69="Mayor"),CONCATENATE("R2C",'Mapa final'!$S$69),"")</f>
        <v/>
      </c>
      <c r="AH60" s="40" t="str">
        <f>IF(AND('Mapa final'!$AJ$70="Muy Baja",'Mapa final'!$AL$70="Mayor"),CONCATENATE("R2C",'Mapa final'!$S$70),"")</f>
        <v/>
      </c>
      <c r="AI60" s="41" t="str">
        <f>IF(AND('Mapa final'!$AJ$65="Muy Baja",'Mapa final'!$AL$65="Catastrófico"),CONCATENATE("R2C",'Mapa final'!$S$65),"")</f>
        <v/>
      </c>
      <c r="AJ60" s="42" t="str">
        <f>IF(AND('Mapa final'!$AJ$66="Muy Baja",'Mapa final'!$AL$66="Catastrófico"),CONCATENATE("R2C",'Mapa final'!$S$66),"")</f>
        <v/>
      </c>
      <c r="AK60" s="42" t="str">
        <f>IF(AND('Mapa final'!$AJ$67="Muy Baja",'Mapa final'!$AL$67="Catastrófico"),CONCATENATE("R2C",'Mapa final'!$S$67),"")</f>
        <v/>
      </c>
      <c r="AL60" s="42" t="str">
        <f>IF(AND('Mapa final'!$AJ$68="Muy Baja",'Mapa final'!$AL$68="Catastrófico"),CONCATENATE("R2C",'Mapa final'!$S$68),"")</f>
        <v/>
      </c>
      <c r="AM60" s="42" t="str">
        <f>IF(AND('Mapa final'!$AJ$69="Muy Baja",'Mapa final'!$AL$69="Catastrófico"),CONCATENATE("R2C",'Mapa final'!$S$69),"")</f>
        <v/>
      </c>
      <c r="AN60" s="43" t="str">
        <f>IF(AND('Mapa final'!$AJ$70="Muy Baja",'Mapa final'!$AL$70="Catastrófico"),CONCATENATE("R2C",'Mapa final'!$S$70),"")</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37"/>
      <c r="D61" s="337"/>
      <c r="E61" s="338"/>
      <c r="F61" s="435"/>
      <c r="G61" s="436"/>
      <c r="H61" s="436"/>
      <c r="I61" s="436"/>
      <c r="J61" s="437"/>
      <c r="K61" s="65" t="str">
        <f>IF(AND('Mapa final'!$AJ$71="Muy Baja",'Mapa final'!$AL$71="Leve"),CONCATENATE("R2C",'Mapa final'!$S$71),"")</f>
        <v/>
      </c>
      <c r="L61" s="66" t="str">
        <f>IF(AND('Mapa final'!$AJ$72="Muy Baja",'Mapa final'!$AL$72="Leve"),CONCATENATE("R2C",'Mapa final'!$S$72),"")</f>
        <v/>
      </c>
      <c r="M61" s="66" t="str">
        <f>IF(AND('Mapa final'!$AJ$73="Muy Baja",'Mapa final'!$AL$73="Leve"),CONCATENATE("R2C",'Mapa final'!$S$73),"")</f>
        <v/>
      </c>
      <c r="N61" s="66" t="str">
        <f>IF(AND('Mapa final'!$AJ$74="Muy Baja",'Mapa final'!$AL$74="Leve"),CONCATENATE("R2C",'Mapa final'!$S$74),"")</f>
        <v/>
      </c>
      <c r="O61" s="66" t="str">
        <f>IF(AND('Mapa final'!$AJ$76="Muy Baja",'Mapa final'!$AL$76="Leve"),CONCATENATE("R2C",'Mapa final'!$S$76),"")</f>
        <v/>
      </c>
      <c r="P61" s="67" t="str">
        <f>IF(AND('Mapa final'!$AJ$77="Muy Baja",'Mapa final'!$AL$77="Leve"),CONCATENATE("R2C",'Mapa final'!$S$77),"")</f>
        <v/>
      </c>
      <c r="Q61" s="65" t="str">
        <f>IF(AND('Mapa final'!$AJ$71="Muy Baja",'Mapa final'!$AL$71="Menor"),CONCATENATE("R2C",'Mapa final'!$S$71),"")</f>
        <v/>
      </c>
      <c r="R61" s="66" t="str">
        <f>IF(AND('Mapa final'!$AJ$72="Muy Baja",'Mapa final'!$AL$72="Menor"),CONCATENATE("R2C",'Mapa final'!$S$72),"")</f>
        <v/>
      </c>
      <c r="S61" s="66" t="str">
        <f>IF(AND('Mapa final'!$AJ$73="Muy Baja",'Mapa final'!$AL$73="Menor"),CONCATENATE("R2C",'Mapa final'!$S$73),"")</f>
        <v/>
      </c>
      <c r="T61" s="66" t="str">
        <f>IF(AND('Mapa final'!$AJ$74="Muy Baja",'Mapa final'!$AL$74="Menor"),CONCATENATE("R2C",'Mapa final'!$S$74),"")</f>
        <v/>
      </c>
      <c r="U61" s="66" t="str">
        <f>IF(AND('Mapa final'!$AJ$76="Muy Baja",'Mapa final'!$AL$76="Menor"),CONCATENATE("R2C",'Mapa final'!$S$76),"")</f>
        <v/>
      </c>
      <c r="V61" s="67" t="str">
        <f>IF(AND('Mapa final'!$AJ$77="Muy Baja",'Mapa final'!$AL$77="Menor"),CONCATENATE("R2C",'Mapa final'!$S$77),"")</f>
        <v/>
      </c>
      <c r="W61" s="56" t="str">
        <f>IF(AND('Mapa final'!$AJ$71="Muy Baja",'Mapa final'!$AL$71="Moderado"),CONCATENATE("R2C",'Mapa final'!$S$71),"")</f>
        <v/>
      </c>
      <c r="X61" s="57" t="str">
        <f>IF(AND('Mapa final'!$AJ$72="Muy Baja",'Mapa final'!$AL$72="Moderado"),CONCATENATE("R2C",'Mapa final'!$S$72),"")</f>
        <v/>
      </c>
      <c r="Y61" s="57" t="str">
        <f>IF(AND('Mapa final'!$AJ$73="Muy Baja",'Mapa final'!$AL$73="Moderado"),CONCATENATE("R2C",'Mapa final'!$S$73),"")</f>
        <v/>
      </c>
      <c r="Z61" s="57" t="str">
        <f>IF(AND('Mapa final'!$AJ$74="Muy Baja",'Mapa final'!$AL$74="Moderado"),CONCATENATE("R2C",'Mapa final'!$S$74),"")</f>
        <v/>
      </c>
      <c r="AA61" s="57" t="str">
        <f>IF(AND('Mapa final'!$AJ$76="Muy Baja",'Mapa final'!$AL$76="Moderado"),CONCATENATE("R2C",'Mapa final'!$S$76),"")</f>
        <v/>
      </c>
      <c r="AB61" s="58" t="str">
        <f>IF(AND('Mapa final'!$AJ$77="Muy Baja",'Mapa final'!$AL$77="Moderado"),CONCATENATE("R2C",'Mapa final'!$S$77),"")</f>
        <v/>
      </c>
      <c r="AC61" s="44" t="str">
        <f>IF(AND('Mapa final'!$AJ$71="Muy Baja",'Mapa final'!$AL$71="Mayor"),CONCATENATE("R2C",'Mapa final'!$S$71),"")</f>
        <v/>
      </c>
      <c r="AD61" s="45" t="str">
        <f>IF(AND('Mapa final'!$AJ$72="Muy Baja",'Mapa final'!$AL$72="Mayor"),CONCATENATE("R2C",'Mapa final'!$S$72),"")</f>
        <v/>
      </c>
      <c r="AE61" s="45" t="str">
        <f>IF(AND('Mapa final'!$AJ$73="Muy Baja",'Mapa final'!$AL$73="Mayor"),CONCATENATE("R2C",'Mapa final'!$S$73),"")</f>
        <v/>
      </c>
      <c r="AF61" s="45" t="str">
        <f>IF(AND('Mapa final'!$AJ$74="Muy Baja",'Mapa final'!$AL$74="Mayor"),CONCATENATE("R2C",'Mapa final'!$S$74),"")</f>
        <v/>
      </c>
      <c r="AG61" s="45" t="str">
        <f>IF(AND('Mapa final'!$AJ$76="Muy Baja",'Mapa final'!$AL$76="Mayor"),CONCATENATE("R2C",'Mapa final'!$S$76),"")</f>
        <v/>
      </c>
      <c r="AH61" s="46" t="str">
        <f>IF(AND('Mapa final'!$AJ$77="Muy Baja",'Mapa final'!$AL$77="Mayor"),CONCATENATE("R2C",'Mapa final'!$S$77),"")</f>
        <v/>
      </c>
      <c r="AI61" s="47" t="str">
        <f>IF(AND('Mapa final'!$AJ$71="Muy Baja",'Mapa final'!$AL$71="Catastrófico"),CONCATENATE("R2C",'Mapa final'!$S$71),"")</f>
        <v/>
      </c>
      <c r="AJ61" s="48" t="str">
        <f>IF(AND('Mapa final'!$AJ$72="Muy Baja",'Mapa final'!$AL$72="Catastrófico"),CONCATENATE("R2C",'Mapa final'!$S$72),"")</f>
        <v/>
      </c>
      <c r="AK61" s="48" t="str">
        <f>IF(AND('Mapa final'!$AJ$73="Muy Baja",'Mapa final'!$AL$73="Catastrófico"),CONCATENATE("R2C",'Mapa final'!$S$73),"")</f>
        <v/>
      </c>
      <c r="AL61" s="48" t="str">
        <f>IF(AND('Mapa final'!$AJ$74="Muy Baja",'Mapa final'!$AL$74="Catastrófico"),CONCATENATE("R2C",'Mapa final'!$S$74),"")</f>
        <v/>
      </c>
      <c r="AM61" s="48" t="str">
        <f>IF(AND('Mapa final'!$AJ$76="Muy Baja",'Mapa final'!$AL$76="Catastrófico"),CONCATENATE("R2C",'Mapa final'!$S$76),"")</f>
        <v/>
      </c>
      <c r="AN61" s="49" t="str">
        <f>IF(AND('Mapa final'!$AJ$77="Muy Baja",'Mapa final'!$AL$77="Catastrófico"),CONCATENATE("R2C",'Mapa final'!$S$77),"")</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29" t="s">
        <v>111</v>
      </c>
      <c r="L62" s="430"/>
      <c r="M62" s="430"/>
      <c r="N62" s="430"/>
      <c r="O62" s="430"/>
      <c r="P62" s="431"/>
      <c r="Q62" s="429" t="s">
        <v>110</v>
      </c>
      <c r="R62" s="430"/>
      <c r="S62" s="430"/>
      <c r="T62" s="430"/>
      <c r="U62" s="430"/>
      <c r="V62" s="431"/>
      <c r="W62" s="429" t="s">
        <v>109</v>
      </c>
      <c r="X62" s="430"/>
      <c r="Y62" s="430"/>
      <c r="Z62" s="430"/>
      <c r="AA62" s="430"/>
      <c r="AB62" s="431"/>
      <c r="AC62" s="429" t="s">
        <v>108</v>
      </c>
      <c r="AD62" s="480"/>
      <c r="AE62" s="430"/>
      <c r="AF62" s="430"/>
      <c r="AG62" s="430"/>
      <c r="AH62" s="431"/>
      <c r="AI62" s="429" t="s">
        <v>107</v>
      </c>
      <c r="AJ62" s="430"/>
      <c r="AK62" s="430"/>
      <c r="AL62" s="430"/>
      <c r="AM62" s="430"/>
      <c r="AN62" s="431"/>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32"/>
      <c r="L63" s="433"/>
      <c r="M63" s="433"/>
      <c r="N63" s="433"/>
      <c r="O63" s="433"/>
      <c r="P63" s="434"/>
      <c r="Q63" s="432"/>
      <c r="R63" s="433"/>
      <c r="S63" s="433"/>
      <c r="T63" s="433"/>
      <c r="U63" s="433"/>
      <c r="V63" s="434"/>
      <c r="W63" s="432"/>
      <c r="X63" s="433"/>
      <c r="Y63" s="433"/>
      <c r="Z63" s="433"/>
      <c r="AA63" s="433"/>
      <c r="AB63" s="434"/>
      <c r="AC63" s="432"/>
      <c r="AD63" s="433"/>
      <c r="AE63" s="433"/>
      <c r="AF63" s="433"/>
      <c r="AG63" s="433"/>
      <c r="AH63" s="434"/>
      <c r="AI63" s="432"/>
      <c r="AJ63" s="433"/>
      <c r="AK63" s="433"/>
      <c r="AL63" s="433"/>
      <c r="AM63" s="433"/>
      <c r="AN63" s="434"/>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32"/>
      <c r="L64" s="433"/>
      <c r="M64" s="433"/>
      <c r="N64" s="433"/>
      <c r="O64" s="433"/>
      <c r="P64" s="434"/>
      <c r="Q64" s="432"/>
      <c r="R64" s="433"/>
      <c r="S64" s="433"/>
      <c r="T64" s="433"/>
      <c r="U64" s="433"/>
      <c r="V64" s="434"/>
      <c r="W64" s="432"/>
      <c r="X64" s="433"/>
      <c r="Y64" s="433"/>
      <c r="Z64" s="433"/>
      <c r="AA64" s="433"/>
      <c r="AB64" s="434"/>
      <c r="AC64" s="432"/>
      <c r="AD64" s="433"/>
      <c r="AE64" s="433"/>
      <c r="AF64" s="433"/>
      <c r="AG64" s="433"/>
      <c r="AH64" s="434"/>
      <c r="AI64" s="432"/>
      <c r="AJ64" s="433"/>
      <c r="AK64" s="433"/>
      <c r="AL64" s="433"/>
      <c r="AM64" s="433"/>
      <c r="AN64" s="434"/>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32"/>
      <c r="L65" s="433"/>
      <c r="M65" s="433"/>
      <c r="N65" s="433"/>
      <c r="O65" s="433"/>
      <c r="P65" s="434"/>
      <c r="Q65" s="432"/>
      <c r="R65" s="433"/>
      <c r="S65" s="433"/>
      <c r="T65" s="433"/>
      <c r="U65" s="433"/>
      <c r="V65" s="434"/>
      <c r="W65" s="432"/>
      <c r="X65" s="433"/>
      <c r="Y65" s="433"/>
      <c r="Z65" s="433"/>
      <c r="AA65" s="433"/>
      <c r="AB65" s="434"/>
      <c r="AC65" s="432"/>
      <c r="AD65" s="433"/>
      <c r="AE65" s="433"/>
      <c r="AF65" s="433"/>
      <c r="AG65" s="433"/>
      <c r="AH65" s="434"/>
      <c r="AI65" s="432"/>
      <c r="AJ65" s="433"/>
      <c r="AK65" s="433"/>
      <c r="AL65" s="433"/>
      <c r="AM65" s="433"/>
      <c r="AN65" s="434"/>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32"/>
      <c r="L66" s="433"/>
      <c r="M66" s="433"/>
      <c r="N66" s="433"/>
      <c r="O66" s="433"/>
      <c r="P66" s="434"/>
      <c r="Q66" s="432"/>
      <c r="R66" s="433"/>
      <c r="S66" s="433"/>
      <c r="T66" s="433"/>
      <c r="U66" s="433"/>
      <c r="V66" s="434"/>
      <c r="W66" s="432"/>
      <c r="X66" s="433"/>
      <c r="Y66" s="433"/>
      <c r="Z66" s="433"/>
      <c r="AA66" s="433"/>
      <c r="AB66" s="434"/>
      <c r="AC66" s="432"/>
      <c r="AD66" s="433"/>
      <c r="AE66" s="433"/>
      <c r="AF66" s="433"/>
      <c r="AG66" s="433"/>
      <c r="AH66" s="434"/>
      <c r="AI66" s="432"/>
      <c r="AJ66" s="433"/>
      <c r="AK66" s="433"/>
      <c r="AL66" s="433"/>
      <c r="AM66" s="433"/>
      <c r="AN66" s="434"/>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35"/>
      <c r="L67" s="436"/>
      <c r="M67" s="436"/>
      <c r="N67" s="436"/>
      <c r="O67" s="436"/>
      <c r="P67" s="437"/>
      <c r="Q67" s="435"/>
      <c r="R67" s="436"/>
      <c r="S67" s="436"/>
      <c r="T67" s="436"/>
      <c r="U67" s="436"/>
      <c r="V67" s="437"/>
      <c r="W67" s="435"/>
      <c r="X67" s="436"/>
      <c r="Y67" s="436"/>
      <c r="Z67" s="436"/>
      <c r="AA67" s="436"/>
      <c r="AB67" s="437"/>
      <c r="AC67" s="435"/>
      <c r="AD67" s="436"/>
      <c r="AE67" s="436"/>
      <c r="AF67" s="436"/>
      <c r="AG67" s="436"/>
      <c r="AH67" s="437"/>
      <c r="AI67" s="435"/>
      <c r="AJ67" s="436"/>
      <c r="AK67" s="436"/>
      <c r="AL67" s="436"/>
      <c r="AM67" s="436"/>
      <c r="AN67" s="437"/>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E8" sqref="E8"/>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481" t="s">
        <v>244</v>
      </c>
      <c r="C2" s="484" t="s">
        <v>205</v>
      </c>
      <c r="D2" s="485"/>
      <c r="E2" s="124" t="s">
        <v>390</v>
      </c>
      <c r="F2" s="125"/>
    </row>
    <row r="3" spans="1:6" ht="15.75" customHeight="1" x14ac:dyDescent="0.25">
      <c r="B3" s="482"/>
      <c r="C3" s="211"/>
      <c r="D3" s="213"/>
      <c r="E3" s="124" t="s">
        <v>264</v>
      </c>
      <c r="F3" s="125"/>
    </row>
    <row r="4" spans="1:6" ht="16.5" customHeight="1" x14ac:dyDescent="0.25">
      <c r="B4" s="482"/>
      <c r="C4" s="211"/>
      <c r="D4" s="213"/>
      <c r="E4" s="124" t="s">
        <v>389</v>
      </c>
      <c r="F4" s="125"/>
    </row>
    <row r="5" spans="1:6" ht="15" customHeight="1" thickBot="1" x14ac:dyDescent="0.3">
      <c r="B5" s="483"/>
      <c r="C5" s="486"/>
      <c r="D5" s="487"/>
      <c r="E5" s="124" t="s">
        <v>245</v>
      </c>
      <c r="F5" s="125"/>
    </row>
    <row r="7" spans="1:6" x14ac:dyDescent="0.25">
      <c r="A7" s="488" t="s">
        <v>266</v>
      </c>
      <c r="B7" s="142" t="s">
        <v>246</v>
      </c>
      <c r="C7" s="143" t="s">
        <v>247</v>
      </c>
      <c r="D7" s="143" t="s">
        <v>248</v>
      </c>
      <c r="E7" s="143" t="s">
        <v>249</v>
      </c>
    </row>
    <row r="8" spans="1:6" x14ac:dyDescent="0.25">
      <c r="A8" s="488"/>
      <c r="B8" s="126">
        <v>45687</v>
      </c>
      <c r="C8" s="127" t="s">
        <v>397</v>
      </c>
      <c r="D8" s="128" t="s">
        <v>454</v>
      </c>
      <c r="E8" s="128" t="s">
        <v>396</v>
      </c>
    </row>
    <row r="9" spans="1:6" x14ac:dyDescent="0.25">
      <c r="A9" s="488"/>
      <c r="B9" s="126"/>
      <c r="C9" s="127"/>
      <c r="D9" s="128"/>
      <c r="E9" s="128"/>
    </row>
    <row r="10" spans="1:6" x14ac:dyDescent="0.25">
      <c r="A10" s="488"/>
      <c r="B10" s="126"/>
      <c r="C10" s="127"/>
      <c r="D10" s="128"/>
      <c r="E10" s="128"/>
    </row>
    <row r="11" spans="1:6" x14ac:dyDescent="0.25">
      <c r="A11" s="488"/>
      <c r="B11" s="126"/>
      <c r="C11" s="127"/>
      <c r="D11" s="128"/>
      <c r="E11" s="128"/>
    </row>
    <row r="12" spans="1:6" x14ac:dyDescent="0.25">
      <c r="A12" s="488"/>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06" t="s">
        <v>162</v>
      </c>
      <c r="C2" s="507"/>
      <c r="D2" s="507"/>
      <c r="E2" s="507"/>
      <c r="F2" s="507"/>
      <c r="G2" s="507"/>
      <c r="H2" s="508"/>
      <c r="J2" s="151" t="s">
        <v>274</v>
      </c>
    </row>
    <row r="3" spans="2:10" ht="20.25" x14ac:dyDescent="0.25">
      <c r="B3" s="70"/>
      <c r="C3" s="71"/>
      <c r="D3" s="71"/>
      <c r="E3" s="71"/>
      <c r="F3" s="71"/>
      <c r="G3" s="71"/>
      <c r="H3" s="72"/>
      <c r="J3" s="151"/>
    </row>
    <row r="4" spans="2:10" ht="63" customHeight="1" x14ac:dyDescent="0.25">
      <c r="B4" s="509" t="s">
        <v>305</v>
      </c>
      <c r="C4" s="510"/>
      <c r="D4" s="510"/>
      <c r="E4" s="510"/>
      <c r="F4" s="510"/>
      <c r="G4" s="510"/>
      <c r="H4" s="511"/>
    </row>
    <row r="5" spans="2:10" ht="63" customHeight="1" x14ac:dyDescent="0.25">
      <c r="B5" s="512"/>
      <c r="C5" s="513"/>
      <c r="D5" s="513"/>
      <c r="E5" s="513"/>
      <c r="F5" s="513"/>
      <c r="G5" s="513"/>
      <c r="H5" s="514"/>
    </row>
    <row r="6" spans="2:10" ht="16.5" x14ac:dyDescent="0.25">
      <c r="B6" s="515" t="s">
        <v>160</v>
      </c>
      <c r="C6" s="516"/>
      <c r="D6" s="516"/>
      <c r="E6" s="516"/>
      <c r="F6" s="516"/>
      <c r="G6" s="516"/>
      <c r="H6" s="517"/>
    </row>
    <row r="7" spans="2:10" ht="95.25" customHeight="1" x14ac:dyDescent="0.25">
      <c r="B7" s="525" t="s">
        <v>165</v>
      </c>
      <c r="C7" s="526"/>
      <c r="D7" s="526"/>
      <c r="E7" s="526"/>
      <c r="F7" s="526"/>
      <c r="G7" s="526"/>
      <c r="H7" s="527"/>
    </row>
    <row r="8" spans="2:10" ht="16.5" x14ac:dyDescent="0.25">
      <c r="B8" s="106"/>
      <c r="C8" s="107"/>
      <c r="D8" s="107"/>
      <c r="E8" s="107"/>
      <c r="F8" s="107"/>
      <c r="G8" s="107"/>
      <c r="H8" s="108"/>
    </row>
    <row r="9" spans="2:10" ht="16.5" customHeight="1" x14ac:dyDescent="0.25">
      <c r="B9" s="518" t="s">
        <v>293</v>
      </c>
      <c r="C9" s="519"/>
      <c r="D9" s="519"/>
      <c r="E9" s="519"/>
      <c r="F9" s="519"/>
      <c r="G9" s="519"/>
      <c r="H9" s="520"/>
    </row>
    <row r="10" spans="2:10" ht="44.25" customHeight="1" x14ac:dyDescent="0.25">
      <c r="B10" s="518"/>
      <c r="C10" s="519"/>
      <c r="D10" s="519"/>
      <c r="E10" s="519"/>
      <c r="F10" s="519"/>
      <c r="G10" s="519"/>
      <c r="H10" s="520"/>
    </row>
    <row r="11" spans="2:10" ht="15.75" thickBot="1" x14ac:dyDescent="0.3">
      <c r="B11" s="95"/>
      <c r="C11" s="98"/>
      <c r="D11" s="103"/>
      <c r="E11" s="104"/>
      <c r="F11" s="104"/>
      <c r="G11" s="105"/>
      <c r="H11" s="99"/>
    </row>
    <row r="12" spans="2:10" ht="15.75" thickTop="1" x14ac:dyDescent="0.25">
      <c r="B12" s="95"/>
      <c r="C12" s="521" t="s">
        <v>161</v>
      </c>
      <c r="D12" s="522"/>
      <c r="E12" s="523" t="s">
        <v>198</v>
      </c>
      <c r="F12" s="524"/>
      <c r="G12" s="98"/>
      <c r="H12" s="99"/>
    </row>
    <row r="13" spans="2:10" ht="35.25" customHeight="1" x14ac:dyDescent="0.25">
      <c r="B13" s="95"/>
      <c r="C13" s="493" t="s">
        <v>192</v>
      </c>
      <c r="D13" s="494"/>
      <c r="E13" s="495" t="s">
        <v>197</v>
      </c>
      <c r="F13" s="496"/>
      <c r="G13" s="98"/>
      <c r="H13" s="99"/>
    </row>
    <row r="14" spans="2:10" ht="17.25" customHeight="1" x14ac:dyDescent="0.25">
      <c r="B14" s="95"/>
      <c r="C14" s="493" t="s">
        <v>193</v>
      </c>
      <c r="D14" s="494"/>
      <c r="E14" s="495" t="s">
        <v>195</v>
      </c>
      <c r="F14" s="496"/>
      <c r="G14" s="98"/>
      <c r="H14" s="99"/>
    </row>
    <row r="15" spans="2:10" ht="19.5" customHeight="1" x14ac:dyDescent="0.25">
      <c r="B15" s="95"/>
      <c r="C15" s="493" t="s">
        <v>194</v>
      </c>
      <c r="D15" s="494"/>
      <c r="E15" s="495" t="s">
        <v>196</v>
      </c>
      <c r="F15" s="496"/>
      <c r="G15" s="98"/>
      <c r="H15" s="99"/>
    </row>
    <row r="16" spans="2:10" ht="69.75" customHeight="1" x14ac:dyDescent="0.25">
      <c r="B16" s="95"/>
      <c r="C16" s="493" t="s">
        <v>163</v>
      </c>
      <c r="D16" s="494"/>
      <c r="E16" s="495" t="s">
        <v>164</v>
      </c>
      <c r="F16" s="496"/>
      <c r="G16" s="98"/>
      <c r="H16" s="99"/>
    </row>
    <row r="17" spans="2:8" ht="34.5" customHeight="1" x14ac:dyDescent="0.25">
      <c r="B17" s="95"/>
      <c r="C17" s="497" t="s">
        <v>2</v>
      </c>
      <c r="D17" s="498"/>
      <c r="E17" s="489" t="s">
        <v>199</v>
      </c>
      <c r="F17" s="490"/>
      <c r="G17" s="98"/>
      <c r="H17" s="99"/>
    </row>
    <row r="18" spans="2:8" ht="27.75" customHeight="1" x14ac:dyDescent="0.25">
      <c r="B18" s="95"/>
      <c r="C18" s="497" t="s">
        <v>3</v>
      </c>
      <c r="D18" s="498"/>
      <c r="E18" s="489" t="s">
        <v>200</v>
      </c>
      <c r="F18" s="490"/>
      <c r="G18" s="98"/>
      <c r="H18" s="99"/>
    </row>
    <row r="19" spans="2:8" ht="28.5" customHeight="1" x14ac:dyDescent="0.25">
      <c r="B19" s="95"/>
      <c r="C19" s="497" t="s">
        <v>41</v>
      </c>
      <c r="D19" s="498"/>
      <c r="E19" s="489" t="s">
        <v>201</v>
      </c>
      <c r="F19" s="490"/>
      <c r="G19" s="98"/>
      <c r="H19" s="99"/>
    </row>
    <row r="20" spans="2:8" ht="72.75" customHeight="1" x14ac:dyDescent="0.25">
      <c r="B20" s="95"/>
      <c r="C20" s="497" t="s">
        <v>1</v>
      </c>
      <c r="D20" s="498"/>
      <c r="E20" s="489" t="s">
        <v>202</v>
      </c>
      <c r="F20" s="490"/>
      <c r="G20" s="98"/>
      <c r="H20" s="99"/>
    </row>
    <row r="21" spans="2:8" ht="64.5" customHeight="1" x14ac:dyDescent="0.25">
      <c r="B21" s="95"/>
      <c r="C21" s="497" t="s">
        <v>49</v>
      </c>
      <c r="D21" s="498"/>
      <c r="E21" s="489" t="s">
        <v>167</v>
      </c>
      <c r="F21" s="490"/>
      <c r="G21" s="98"/>
      <c r="H21" s="99"/>
    </row>
    <row r="22" spans="2:8" ht="71.25" customHeight="1" x14ac:dyDescent="0.25">
      <c r="B22" s="95"/>
      <c r="C22" s="497" t="s">
        <v>166</v>
      </c>
      <c r="D22" s="498"/>
      <c r="E22" s="489" t="s">
        <v>168</v>
      </c>
      <c r="F22" s="490"/>
      <c r="G22" s="98"/>
      <c r="H22" s="99"/>
    </row>
    <row r="23" spans="2:8" ht="55.5" customHeight="1" x14ac:dyDescent="0.25">
      <c r="B23" s="95"/>
      <c r="C23" s="491" t="s">
        <v>169</v>
      </c>
      <c r="D23" s="492"/>
      <c r="E23" s="489" t="s">
        <v>170</v>
      </c>
      <c r="F23" s="490"/>
      <c r="G23" s="98"/>
      <c r="H23" s="99"/>
    </row>
    <row r="24" spans="2:8" ht="42" customHeight="1" x14ac:dyDescent="0.25">
      <c r="B24" s="95"/>
      <c r="C24" s="491" t="s">
        <v>47</v>
      </c>
      <c r="D24" s="492"/>
      <c r="E24" s="489" t="s">
        <v>171</v>
      </c>
      <c r="F24" s="490"/>
      <c r="G24" s="98"/>
      <c r="H24" s="99"/>
    </row>
    <row r="25" spans="2:8" ht="59.25" customHeight="1" x14ac:dyDescent="0.25">
      <c r="B25" s="95"/>
      <c r="C25" s="491" t="s">
        <v>159</v>
      </c>
      <c r="D25" s="492"/>
      <c r="E25" s="489" t="s">
        <v>172</v>
      </c>
      <c r="F25" s="490"/>
      <c r="G25" s="98"/>
      <c r="H25" s="99"/>
    </row>
    <row r="26" spans="2:8" ht="23.25" customHeight="1" x14ac:dyDescent="0.25">
      <c r="B26" s="95"/>
      <c r="C26" s="491" t="s">
        <v>12</v>
      </c>
      <c r="D26" s="492"/>
      <c r="E26" s="489" t="s">
        <v>173</v>
      </c>
      <c r="F26" s="490"/>
      <c r="G26" s="98"/>
      <c r="H26" s="99"/>
    </row>
    <row r="27" spans="2:8" ht="30.75" customHeight="1" x14ac:dyDescent="0.25">
      <c r="B27" s="95"/>
      <c r="C27" s="491" t="s">
        <v>177</v>
      </c>
      <c r="D27" s="492"/>
      <c r="E27" s="489" t="s">
        <v>174</v>
      </c>
      <c r="F27" s="490"/>
      <c r="G27" s="98"/>
      <c r="H27" s="99"/>
    </row>
    <row r="28" spans="2:8" ht="35.25" customHeight="1" x14ac:dyDescent="0.25">
      <c r="B28" s="95"/>
      <c r="C28" s="491" t="s">
        <v>178</v>
      </c>
      <c r="D28" s="492"/>
      <c r="E28" s="489" t="s">
        <v>175</v>
      </c>
      <c r="F28" s="490"/>
      <c r="G28" s="98"/>
      <c r="H28" s="99"/>
    </row>
    <row r="29" spans="2:8" ht="33" customHeight="1" x14ac:dyDescent="0.25">
      <c r="B29" s="95"/>
      <c r="C29" s="491" t="s">
        <v>178</v>
      </c>
      <c r="D29" s="492"/>
      <c r="E29" s="489" t="s">
        <v>175</v>
      </c>
      <c r="F29" s="490"/>
      <c r="G29" s="98"/>
      <c r="H29" s="99"/>
    </row>
    <row r="30" spans="2:8" ht="30" customHeight="1" x14ac:dyDescent="0.25">
      <c r="B30" s="95"/>
      <c r="C30" s="491" t="s">
        <v>179</v>
      </c>
      <c r="D30" s="492"/>
      <c r="E30" s="489" t="s">
        <v>176</v>
      </c>
      <c r="F30" s="490"/>
      <c r="G30" s="98"/>
      <c r="H30" s="99"/>
    </row>
    <row r="31" spans="2:8" ht="35.25" customHeight="1" x14ac:dyDescent="0.25">
      <c r="B31" s="95"/>
      <c r="C31" s="491" t="s">
        <v>180</v>
      </c>
      <c r="D31" s="492"/>
      <c r="E31" s="489" t="s">
        <v>181</v>
      </c>
      <c r="F31" s="490"/>
      <c r="G31" s="98"/>
      <c r="H31" s="99"/>
    </row>
    <row r="32" spans="2:8" ht="31.5" customHeight="1" x14ac:dyDescent="0.25">
      <c r="B32" s="95"/>
      <c r="C32" s="491" t="s">
        <v>182</v>
      </c>
      <c r="D32" s="492"/>
      <c r="E32" s="489" t="s">
        <v>183</v>
      </c>
      <c r="F32" s="490"/>
      <c r="G32" s="98"/>
      <c r="H32" s="99"/>
    </row>
    <row r="33" spans="2:8" ht="35.25" customHeight="1" x14ac:dyDescent="0.25">
      <c r="B33" s="95"/>
      <c r="C33" s="491" t="s">
        <v>184</v>
      </c>
      <c r="D33" s="492"/>
      <c r="E33" s="489" t="s">
        <v>185</v>
      </c>
      <c r="F33" s="490"/>
      <c r="G33" s="98"/>
      <c r="H33" s="99"/>
    </row>
    <row r="34" spans="2:8" ht="59.25" customHeight="1" x14ac:dyDescent="0.25">
      <c r="B34" s="95"/>
      <c r="C34" s="491" t="s">
        <v>186</v>
      </c>
      <c r="D34" s="492"/>
      <c r="E34" s="489" t="s">
        <v>187</v>
      </c>
      <c r="F34" s="490"/>
      <c r="G34" s="98"/>
      <c r="H34" s="99"/>
    </row>
    <row r="35" spans="2:8" ht="29.25" customHeight="1" x14ac:dyDescent="0.25">
      <c r="B35" s="95"/>
      <c r="C35" s="491" t="s">
        <v>29</v>
      </c>
      <c r="D35" s="492"/>
      <c r="E35" s="489" t="s">
        <v>188</v>
      </c>
      <c r="F35" s="490"/>
      <c r="G35" s="98"/>
      <c r="H35" s="99"/>
    </row>
    <row r="36" spans="2:8" ht="82.5" customHeight="1" x14ac:dyDescent="0.25">
      <c r="B36" s="95"/>
      <c r="C36" s="491" t="s">
        <v>190</v>
      </c>
      <c r="D36" s="492"/>
      <c r="E36" s="489" t="s">
        <v>189</v>
      </c>
      <c r="F36" s="490"/>
      <c r="G36" s="98"/>
      <c r="H36" s="99"/>
    </row>
    <row r="37" spans="2:8" ht="46.5" customHeight="1" x14ac:dyDescent="0.25">
      <c r="B37" s="95"/>
      <c r="C37" s="491" t="s">
        <v>38</v>
      </c>
      <c r="D37" s="492"/>
      <c r="E37" s="489" t="s">
        <v>191</v>
      </c>
      <c r="F37" s="490"/>
      <c r="G37" s="98"/>
      <c r="H37" s="99"/>
    </row>
    <row r="38" spans="2:8" ht="6.75" customHeight="1" thickBot="1" x14ac:dyDescent="0.3">
      <c r="B38" s="95"/>
      <c r="C38" s="502"/>
      <c r="D38" s="503"/>
      <c r="E38" s="504"/>
      <c r="F38" s="505"/>
      <c r="G38" s="98"/>
      <c r="H38" s="99"/>
    </row>
    <row r="39" spans="2:8" ht="15.75" thickTop="1" x14ac:dyDescent="0.25">
      <c r="B39" s="95"/>
      <c r="C39" s="96"/>
      <c r="D39" s="96"/>
      <c r="E39" s="97"/>
      <c r="F39" s="97"/>
      <c r="G39" s="98"/>
      <c r="H39" s="99"/>
    </row>
    <row r="40" spans="2:8" ht="21" customHeight="1" x14ac:dyDescent="0.25">
      <c r="B40" s="499" t="s">
        <v>294</v>
      </c>
      <c r="C40" s="500"/>
      <c r="D40" s="500"/>
      <c r="E40" s="500"/>
      <c r="F40" s="500"/>
      <c r="G40" s="500"/>
      <c r="H40" s="501"/>
    </row>
    <row r="41" spans="2:8" ht="20.25" customHeight="1" x14ac:dyDescent="0.25">
      <c r="B41" s="499" t="s">
        <v>295</v>
      </c>
      <c r="C41" s="500"/>
      <c r="D41" s="500"/>
      <c r="E41" s="500"/>
      <c r="F41" s="500"/>
      <c r="G41" s="500"/>
      <c r="H41" s="501"/>
    </row>
    <row r="42" spans="2:8" ht="20.25" customHeight="1" x14ac:dyDescent="0.25">
      <c r="B42" s="499" t="s">
        <v>296</v>
      </c>
      <c r="C42" s="500"/>
      <c r="D42" s="500"/>
      <c r="E42" s="500"/>
      <c r="F42" s="500"/>
      <c r="G42" s="500"/>
      <c r="H42" s="501"/>
    </row>
    <row r="43" spans="2:8" ht="20.25" customHeight="1" x14ac:dyDescent="0.25">
      <c r="B43" s="499" t="s">
        <v>297</v>
      </c>
      <c r="C43" s="500"/>
      <c r="D43" s="500"/>
      <c r="E43" s="500"/>
      <c r="F43" s="500"/>
      <c r="G43" s="500"/>
      <c r="H43" s="501"/>
    </row>
    <row r="44" spans="2:8" ht="15" customHeight="1" x14ac:dyDescent="0.25">
      <c r="B44" s="499" t="s">
        <v>298</v>
      </c>
      <c r="C44" s="500"/>
      <c r="D44" s="500"/>
      <c r="E44" s="500"/>
      <c r="F44" s="500"/>
      <c r="G44" s="500"/>
      <c r="H44" s="501"/>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65" t="s">
        <v>251</v>
      </c>
      <c r="C2" s="566" t="s">
        <v>205</v>
      </c>
      <c r="D2" s="567"/>
      <c r="E2" s="567"/>
      <c r="F2" s="567"/>
      <c r="G2" s="567"/>
      <c r="H2" s="567"/>
      <c r="I2" s="567"/>
      <c r="J2" s="251" t="s">
        <v>250</v>
      </c>
      <c r="K2" s="224"/>
    </row>
    <row r="3" spans="2:11" ht="15" customHeight="1" x14ac:dyDescent="0.25">
      <c r="B3" s="482"/>
      <c r="C3" s="568"/>
      <c r="D3" s="569"/>
      <c r="E3" s="569"/>
      <c r="F3" s="569"/>
      <c r="G3" s="569"/>
      <c r="H3" s="569"/>
      <c r="I3" s="569"/>
      <c r="J3" s="252" t="s">
        <v>264</v>
      </c>
      <c r="K3" s="226"/>
    </row>
    <row r="4" spans="2:11" ht="15" customHeight="1" x14ac:dyDescent="0.25">
      <c r="B4" s="482"/>
      <c r="C4" s="568"/>
      <c r="D4" s="569"/>
      <c r="E4" s="569"/>
      <c r="F4" s="569"/>
      <c r="G4" s="569"/>
      <c r="H4" s="569"/>
      <c r="I4" s="569"/>
      <c r="J4" s="252" t="s">
        <v>263</v>
      </c>
      <c r="K4" s="226" t="s">
        <v>263</v>
      </c>
    </row>
    <row r="5" spans="2:11" ht="15" customHeight="1" thickBot="1" x14ac:dyDescent="0.3">
      <c r="B5" s="483"/>
      <c r="C5" s="570"/>
      <c r="D5" s="571"/>
      <c r="E5" s="571"/>
      <c r="F5" s="571"/>
      <c r="G5" s="571"/>
      <c r="H5" s="571"/>
      <c r="I5" s="571"/>
      <c r="J5" s="253" t="s">
        <v>245</v>
      </c>
      <c r="K5" s="228" t="s">
        <v>245</v>
      </c>
    </row>
    <row r="6" spans="2:11" ht="15.75" thickBot="1" x14ac:dyDescent="0.3"/>
    <row r="7" spans="2:11" customFormat="1" ht="15.75" thickBot="1" x14ac:dyDescent="0.3">
      <c r="B7" s="559" t="s">
        <v>246</v>
      </c>
      <c r="C7" s="560"/>
      <c r="D7" s="561" t="s">
        <v>252</v>
      </c>
      <c r="E7" s="562"/>
      <c r="F7" s="561" t="s">
        <v>253</v>
      </c>
      <c r="G7" s="563"/>
      <c r="H7" s="563"/>
      <c r="I7" s="563"/>
      <c r="J7" s="563"/>
      <c r="K7" s="564"/>
    </row>
    <row r="8" spans="2:11" customFormat="1" ht="18" customHeight="1" thickBot="1" x14ac:dyDescent="0.3">
      <c r="B8" s="530"/>
      <c r="C8" s="531"/>
      <c r="D8" s="532">
        <v>1</v>
      </c>
      <c r="E8" s="533"/>
      <c r="F8" s="528"/>
      <c r="G8" s="528"/>
      <c r="H8" s="528"/>
      <c r="I8" s="528"/>
      <c r="J8" s="528"/>
      <c r="K8" s="529"/>
    </row>
    <row r="9" spans="2:11" customFormat="1" ht="18" customHeight="1" thickBot="1" x14ac:dyDescent="0.3">
      <c r="B9" s="530"/>
      <c r="C9" s="531"/>
      <c r="D9" s="532">
        <v>2</v>
      </c>
      <c r="E9" s="533"/>
      <c r="F9" s="528"/>
      <c r="G9" s="528"/>
      <c r="H9" s="528"/>
      <c r="I9" s="528"/>
      <c r="J9" s="528"/>
      <c r="K9" s="529"/>
    </row>
    <row r="10" spans="2:11" customFormat="1" ht="18" customHeight="1" thickBot="1" x14ac:dyDescent="0.3">
      <c r="B10" s="530"/>
      <c r="C10" s="531"/>
      <c r="D10" s="532">
        <v>3</v>
      </c>
      <c r="E10" s="533"/>
      <c r="F10" s="528"/>
      <c r="G10" s="528"/>
      <c r="H10" s="528"/>
      <c r="I10" s="528"/>
      <c r="J10" s="528"/>
      <c r="K10" s="529"/>
    </row>
    <row r="11" spans="2:11" customFormat="1" ht="18" customHeight="1" thickBot="1" x14ac:dyDescent="0.3">
      <c r="B11" s="530"/>
      <c r="C11" s="531"/>
      <c r="D11" s="532">
        <v>4</v>
      </c>
      <c r="E11" s="533"/>
      <c r="F11" s="528"/>
      <c r="G11" s="528"/>
      <c r="H11" s="528"/>
      <c r="I11" s="528"/>
      <c r="J11" s="528"/>
      <c r="K11" s="529"/>
    </row>
    <row r="12" spans="2:11" customFormat="1" ht="18" customHeight="1" thickBot="1" x14ac:dyDescent="0.3">
      <c r="B12" s="530"/>
      <c r="C12" s="531"/>
      <c r="D12" s="532">
        <v>5</v>
      </c>
      <c r="E12" s="533"/>
      <c r="F12" s="528"/>
      <c r="G12" s="528"/>
      <c r="H12" s="528"/>
      <c r="I12" s="528"/>
      <c r="J12" s="528"/>
      <c r="K12" s="529"/>
    </row>
    <row r="13" spans="2:11" customFormat="1" ht="18" customHeight="1" thickBot="1" x14ac:dyDescent="0.3">
      <c r="B13" s="530"/>
      <c r="C13" s="531"/>
      <c r="D13" s="532">
        <v>6</v>
      </c>
      <c r="E13" s="533"/>
      <c r="F13" s="528"/>
      <c r="G13" s="528"/>
      <c r="H13" s="528"/>
      <c r="I13" s="528"/>
      <c r="J13" s="528"/>
      <c r="K13" s="529"/>
    </row>
    <row r="14" spans="2:11" customFormat="1" ht="18" customHeight="1" thickBot="1" x14ac:dyDescent="0.3">
      <c r="B14" s="530"/>
      <c r="C14" s="531"/>
      <c r="D14" s="532">
        <v>7</v>
      </c>
      <c r="E14" s="533"/>
      <c r="F14" s="528"/>
      <c r="G14" s="528"/>
      <c r="H14" s="528"/>
      <c r="I14" s="528"/>
      <c r="J14" s="528"/>
      <c r="K14" s="529"/>
    </row>
    <row r="15" spans="2:11" customFormat="1" ht="18" customHeight="1" thickBot="1" x14ac:dyDescent="0.3">
      <c r="B15" s="530">
        <v>45352</v>
      </c>
      <c r="C15" s="531"/>
      <c r="D15" s="532">
        <v>8</v>
      </c>
      <c r="E15" s="533"/>
      <c r="F15" s="528" t="s">
        <v>265</v>
      </c>
      <c r="G15" s="528"/>
      <c r="H15" s="528"/>
      <c r="I15" s="528"/>
      <c r="J15" s="528"/>
      <c r="K15" s="529"/>
    </row>
    <row r="16" spans="2:11" customFormat="1" ht="15.75" customHeight="1" thickBot="1" x14ac:dyDescent="0.3">
      <c r="B16" s="546"/>
      <c r="C16" s="546"/>
      <c r="D16" s="546"/>
      <c r="E16" s="546"/>
      <c r="F16" s="546"/>
      <c r="G16" s="546"/>
      <c r="H16" s="546"/>
      <c r="I16" s="546"/>
      <c r="J16" s="546"/>
      <c r="K16" s="546"/>
    </row>
    <row r="17" spans="2:12" customFormat="1" ht="15.75" customHeight="1" thickBot="1" x14ac:dyDescent="0.3">
      <c r="B17" s="547" t="s">
        <v>254</v>
      </c>
      <c r="C17" s="548"/>
      <c r="D17" s="548"/>
      <c r="E17" s="549"/>
      <c r="F17" s="550" t="s">
        <v>255</v>
      </c>
      <c r="G17" s="551"/>
      <c r="H17" s="552"/>
      <c r="I17" s="553" t="s">
        <v>256</v>
      </c>
      <c r="J17" s="554"/>
      <c r="K17" s="549"/>
    </row>
    <row r="18" spans="2:12" customFormat="1" ht="27" customHeight="1" x14ac:dyDescent="0.25">
      <c r="B18" s="555"/>
      <c r="C18" s="556"/>
      <c r="D18" s="556"/>
      <c r="E18" s="556"/>
      <c r="F18" s="556"/>
      <c r="G18" s="556"/>
      <c r="H18" s="556"/>
      <c r="I18" s="557"/>
      <c r="J18" s="557"/>
      <c r="K18" s="558"/>
    </row>
    <row r="19" spans="2:12" customFormat="1" ht="15" customHeight="1" x14ac:dyDescent="0.25">
      <c r="B19" s="535" t="s">
        <v>257</v>
      </c>
      <c r="C19" s="536"/>
      <c r="D19" s="536"/>
      <c r="E19" s="536"/>
      <c r="F19" s="537" t="s">
        <v>258</v>
      </c>
      <c r="G19" s="537"/>
      <c r="H19" s="538"/>
      <c r="I19" s="537" t="s">
        <v>258</v>
      </c>
      <c r="J19" s="537"/>
      <c r="K19" s="538"/>
    </row>
    <row r="20" spans="2:12" customFormat="1" ht="22.5" customHeight="1" thickBot="1" x14ac:dyDescent="0.3">
      <c r="B20" s="539" t="s">
        <v>259</v>
      </c>
      <c r="C20" s="540"/>
      <c r="D20" s="540"/>
      <c r="E20" s="540"/>
      <c r="F20" s="540" t="s">
        <v>260</v>
      </c>
      <c r="G20" s="540"/>
      <c r="H20" s="541"/>
      <c r="I20" s="540" t="s">
        <v>260</v>
      </c>
      <c r="J20" s="540"/>
      <c r="K20" s="541"/>
    </row>
    <row r="21" spans="2:12" customFormat="1" ht="9" customHeight="1" thickBot="1" x14ac:dyDescent="0.3">
      <c r="B21" s="542"/>
      <c r="C21" s="542"/>
      <c r="D21" s="542"/>
      <c r="E21" s="542"/>
      <c r="F21" s="542"/>
      <c r="G21" s="542"/>
      <c r="H21" s="542"/>
      <c r="I21" s="542"/>
      <c r="J21" s="542"/>
      <c r="K21" s="542"/>
    </row>
    <row r="22" spans="2:12" customFormat="1" ht="15.75" thickBot="1" x14ac:dyDescent="0.3">
      <c r="B22" s="543" t="s">
        <v>207</v>
      </c>
      <c r="C22" s="544"/>
      <c r="D22" s="545"/>
      <c r="E22" s="131" t="s">
        <v>208</v>
      </c>
      <c r="F22" s="543" t="s">
        <v>209</v>
      </c>
      <c r="G22" s="545"/>
      <c r="H22" s="132" t="s">
        <v>210</v>
      </c>
      <c r="I22" s="543" t="s">
        <v>211</v>
      </c>
      <c r="J22" s="545"/>
      <c r="K22" s="133">
        <v>1</v>
      </c>
    </row>
    <row r="23" spans="2:12" ht="8.25" customHeight="1" x14ac:dyDescent="0.25"/>
    <row r="24" spans="2:12" x14ac:dyDescent="0.25">
      <c r="B24" s="534" t="s">
        <v>261</v>
      </c>
      <c r="C24" s="534"/>
      <c r="D24" s="534"/>
      <c r="E24" s="534"/>
      <c r="F24" s="534"/>
      <c r="G24" s="534"/>
      <c r="H24" s="534"/>
      <c r="I24" s="534"/>
      <c r="J24" s="534"/>
      <c r="K24" s="534"/>
      <c r="L24" s="534"/>
    </row>
    <row r="25" spans="2:12" x14ac:dyDescent="0.25">
      <c r="B25" s="534" t="s">
        <v>262</v>
      </c>
      <c r="C25" s="534"/>
      <c r="D25" s="534"/>
      <c r="E25" s="534"/>
      <c r="F25" s="534"/>
      <c r="G25" s="534"/>
      <c r="H25" s="534"/>
      <c r="I25" s="534"/>
      <c r="J25" s="534"/>
      <c r="K25" s="534"/>
      <c r="L25" s="534"/>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572" t="s">
        <v>54</v>
      </c>
      <c r="C1" s="572"/>
      <c r="D1" s="572"/>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573" t="s">
        <v>62</v>
      </c>
      <c r="C1" s="573"/>
      <c r="D1" s="573"/>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574" t="s">
        <v>77</v>
      </c>
      <c r="C1" s="575"/>
      <c r="D1" s="575"/>
      <c r="E1" s="575"/>
      <c r="F1" s="576"/>
    </row>
    <row r="2" spans="2:6" ht="16.5" thickBot="1" x14ac:dyDescent="0.3">
      <c r="B2" s="75"/>
      <c r="C2" s="75"/>
      <c r="D2" s="75"/>
      <c r="E2" s="75"/>
      <c r="F2" s="75"/>
    </row>
    <row r="3" spans="2:6" ht="16.5" thickBot="1" x14ac:dyDescent="0.25">
      <c r="B3" s="578" t="s">
        <v>63</v>
      </c>
      <c r="C3" s="579"/>
      <c r="D3" s="579"/>
      <c r="E3" s="87" t="s">
        <v>64</v>
      </c>
      <c r="F3" s="88" t="s">
        <v>65</v>
      </c>
    </row>
    <row r="4" spans="2:6" ht="31.5" x14ac:dyDescent="0.2">
      <c r="B4" s="580" t="s">
        <v>66</v>
      </c>
      <c r="C4" s="582" t="s">
        <v>13</v>
      </c>
      <c r="D4" s="76" t="s">
        <v>14</v>
      </c>
      <c r="E4" s="77" t="s">
        <v>67</v>
      </c>
      <c r="F4" s="78">
        <v>0.25</v>
      </c>
    </row>
    <row r="5" spans="2:6" ht="47.25" x14ac:dyDescent="0.2">
      <c r="B5" s="581"/>
      <c r="C5" s="583"/>
      <c r="D5" s="79" t="s">
        <v>15</v>
      </c>
      <c r="E5" s="80" t="s">
        <v>68</v>
      </c>
      <c r="F5" s="81">
        <v>0.15</v>
      </c>
    </row>
    <row r="6" spans="2:6" ht="47.25" x14ac:dyDescent="0.2">
      <c r="B6" s="581"/>
      <c r="C6" s="583"/>
      <c r="D6" s="79" t="s">
        <v>16</v>
      </c>
      <c r="E6" s="80" t="s">
        <v>69</v>
      </c>
      <c r="F6" s="81">
        <v>0.1</v>
      </c>
    </row>
    <row r="7" spans="2:6" ht="63" x14ac:dyDescent="0.2">
      <c r="B7" s="581"/>
      <c r="C7" s="583" t="s">
        <v>17</v>
      </c>
      <c r="D7" s="79" t="s">
        <v>10</v>
      </c>
      <c r="E7" s="80" t="s">
        <v>70</v>
      </c>
      <c r="F7" s="81">
        <v>0.25</v>
      </c>
    </row>
    <row r="8" spans="2:6" ht="31.5" x14ac:dyDescent="0.2">
      <c r="B8" s="581"/>
      <c r="C8" s="583"/>
      <c r="D8" s="79" t="s">
        <v>9</v>
      </c>
      <c r="E8" s="80" t="s">
        <v>71</v>
      </c>
      <c r="F8" s="81">
        <v>0.15</v>
      </c>
    </row>
    <row r="9" spans="2:6" ht="47.25" x14ac:dyDescent="0.2">
      <c r="B9" s="581" t="s">
        <v>158</v>
      </c>
      <c r="C9" s="583" t="s">
        <v>18</v>
      </c>
      <c r="D9" s="79" t="s">
        <v>19</v>
      </c>
      <c r="E9" s="80" t="s">
        <v>72</v>
      </c>
      <c r="F9" s="82" t="s">
        <v>73</v>
      </c>
    </row>
    <row r="10" spans="2:6" ht="63" x14ac:dyDescent="0.2">
      <c r="B10" s="581"/>
      <c r="C10" s="583"/>
      <c r="D10" s="79" t="s">
        <v>20</v>
      </c>
      <c r="E10" s="80" t="s">
        <v>74</v>
      </c>
      <c r="F10" s="82" t="s">
        <v>73</v>
      </c>
    </row>
    <row r="11" spans="2:6" ht="47.25" x14ac:dyDescent="0.2">
      <c r="B11" s="581"/>
      <c r="C11" s="583" t="s">
        <v>21</v>
      </c>
      <c r="D11" s="79" t="s">
        <v>22</v>
      </c>
      <c r="E11" s="80" t="s">
        <v>75</v>
      </c>
      <c r="F11" s="82" t="s">
        <v>73</v>
      </c>
    </row>
    <row r="12" spans="2:6" ht="47.25" x14ac:dyDescent="0.2">
      <c r="B12" s="581"/>
      <c r="C12" s="583"/>
      <c r="D12" s="79" t="s">
        <v>23</v>
      </c>
      <c r="E12" s="80" t="s">
        <v>76</v>
      </c>
      <c r="F12" s="82" t="s">
        <v>73</v>
      </c>
    </row>
    <row r="13" spans="2:6" ht="31.5" x14ac:dyDescent="0.2">
      <c r="B13" s="581"/>
      <c r="C13" s="583" t="s">
        <v>24</v>
      </c>
      <c r="D13" s="79" t="s">
        <v>118</v>
      </c>
      <c r="E13" s="80" t="s">
        <v>121</v>
      </c>
      <c r="F13" s="82" t="s">
        <v>73</v>
      </c>
    </row>
    <row r="14" spans="2:6" ht="32.25" thickBot="1" x14ac:dyDescent="0.25">
      <c r="B14" s="584"/>
      <c r="C14" s="585"/>
      <c r="D14" s="83" t="s">
        <v>119</v>
      </c>
      <c r="E14" s="84" t="s">
        <v>120</v>
      </c>
      <c r="F14" s="85" t="s">
        <v>73</v>
      </c>
    </row>
    <row r="15" spans="2:6" ht="49.5" customHeight="1" x14ac:dyDescent="0.2">
      <c r="B15" s="577" t="s">
        <v>155</v>
      </c>
      <c r="C15" s="577"/>
      <c r="D15" s="577"/>
      <c r="E15" s="577"/>
      <c r="F15" s="577"/>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2025-02-01T00:50:21Z</dcterms:modified>
</cp:coreProperties>
</file>