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calidad_itc_edu_co/Documents/1. CALIDAD/RIESGOS/MAPA DE RIESGOS 2026/Mapa de Riesgos Definitivos-2026/"/>
    </mc:Choice>
  </mc:AlternateContent>
  <xr:revisionPtr revIDLastSave="0" documentId="8_{B9FFF13E-E548-42E0-A817-7C048E7853AD}" xr6:coauthVersionLast="47" xr6:coauthVersionMax="47" xr10:uidLastSave="{00000000-0000-0000-0000-000000000000}"/>
  <bookViews>
    <workbookView xWindow="-120" yWindow="-120" windowWidth="29040" windowHeight="15720" tabRatio="88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0"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5" i="1" l="1"/>
  <c r="Y25" i="1"/>
  <c r="AJ22" i="1"/>
  <c r="AG20" i="1"/>
  <c r="AB22" i="1"/>
  <c r="Y22" i="1"/>
  <c r="Y23" i="1"/>
  <c r="AG23" i="1" s="1"/>
  <c r="Y15" i="1"/>
  <c r="Y16" i="1"/>
  <c r="Y17" i="1"/>
  <c r="Y18" i="1"/>
  <c r="AG22" i="1" l="1"/>
  <c r="AI22" i="1" s="1"/>
  <c r="P21" i="1"/>
  <c r="P19" i="1"/>
  <c r="P17" i="1"/>
  <c r="P15" i="1"/>
  <c r="S17" i="1"/>
  <c r="T17" i="1" s="1"/>
  <c r="S19" i="1"/>
  <c r="T19" i="1" s="1"/>
  <c r="S21" i="1"/>
  <c r="T21" i="1" s="1"/>
  <c r="S24" i="1"/>
  <c r="T24" i="1" s="1"/>
  <c r="S26" i="1"/>
  <c r="T26" i="1" s="1"/>
  <c r="S28" i="1"/>
  <c r="T28" i="1" s="1"/>
  <c r="S30" i="1"/>
  <c r="T30" i="1" s="1"/>
  <c r="S32" i="1"/>
  <c r="T32" i="1" s="1"/>
  <c r="S15" i="1"/>
  <c r="AB15" i="1"/>
  <c r="AB16" i="1"/>
  <c r="AB17" i="1"/>
  <c r="AB18" i="1"/>
  <c r="AB19" i="1"/>
  <c r="AB20" i="1"/>
  <c r="AB21" i="1"/>
  <c r="AB23" i="1"/>
  <c r="AB24" i="1"/>
  <c r="AB26" i="1"/>
  <c r="AB27" i="1"/>
  <c r="AB28" i="1"/>
  <c r="AB29" i="1"/>
  <c r="AB30" i="1"/>
  <c r="AB31" i="1"/>
  <c r="AB32" i="1"/>
  <c r="AB33" i="1"/>
  <c r="Y19" i="1"/>
  <c r="Y21" i="1"/>
  <c r="Y24" i="1"/>
  <c r="Y26" i="1"/>
  <c r="Y27" i="1"/>
  <c r="Y28" i="1"/>
  <c r="Y29" i="1"/>
  <c r="Y30" i="1"/>
  <c r="Y31" i="1"/>
  <c r="Y32" i="1"/>
  <c r="Y33" i="1"/>
  <c r="P24" i="1"/>
  <c r="Q24" i="1" s="1"/>
  <c r="P26" i="1"/>
  <c r="Q26" i="1" s="1"/>
  <c r="P28" i="1"/>
  <c r="P30" i="1"/>
  <c r="P32" i="1"/>
  <c r="AH22" i="1" l="1"/>
  <c r="AK19" i="1"/>
  <c r="AJ19" i="1" s="1"/>
  <c r="AK32" i="1"/>
  <c r="AJ32" i="1" s="1"/>
  <c r="AK24" i="1"/>
  <c r="AJ24" i="1" s="1"/>
  <c r="AK23" i="1"/>
  <c r="AJ23" i="1" s="1"/>
  <c r="AK30" i="1"/>
  <c r="AJ30" i="1" s="1"/>
  <c r="AG26" i="1"/>
  <c r="AI26" i="1" s="1"/>
  <c r="AK21" i="1"/>
  <c r="AJ21" i="1" s="1"/>
  <c r="AG27" i="1"/>
  <c r="AI27" i="1" s="1"/>
  <c r="AG24" i="1"/>
  <c r="AI24" i="1" s="1"/>
  <c r="Q30" i="1"/>
  <c r="AG31" i="1" s="1"/>
  <c r="U30" i="1"/>
  <c r="Q28" i="1"/>
  <c r="AG29" i="1" s="1"/>
  <c r="AH29" i="1" s="1"/>
  <c r="U21" i="1"/>
  <c r="Q21" i="1"/>
  <c r="U19" i="1"/>
  <c r="Q19" i="1"/>
  <c r="AG19" i="1" s="1"/>
  <c r="AK31" i="1"/>
  <c r="AJ31" i="1" s="1"/>
  <c r="AK33" i="1"/>
  <c r="AJ33" i="1" s="1"/>
  <c r="U32" i="1"/>
  <c r="Q32" i="1"/>
  <c r="AG33" i="1" s="1"/>
  <c r="AK20" i="1"/>
  <c r="AJ20" i="1" s="1"/>
  <c r="AK26" i="1"/>
  <c r="AJ26" i="1" s="1"/>
  <c r="U26" i="1"/>
  <c r="U24" i="1"/>
  <c r="AE51" i="19"/>
  <c r="AG21" i="1" l="1"/>
  <c r="AI21" i="1" s="1"/>
  <c r="AH24" i="1"/>
  <c r="AH27" i="1"/>
  <c r="AK27" i="1"/>
  <c r="AJ27" i="1" s="1"/>
  <c r="AG32" i="1"/>
  <c r="AH32" i="1" s="1"/>
  <c r="AL32" i="1" s="1"/>
  <c r="AI31" i="1"/>
  <c r="AH31" i="1"/>
  <c r="AL31" i="1" s="1"/>
  <c r="AH33" i="1"/>
  <c r="AL33" i="1" s="1"/>
  <c r="AI33" i="1"/>
  <c r="AG30" i="1"/>
  <c r="AH26" i="1"/>
  <c r="AL26" i="1" s="1"/>
  <c r="AG28" i="1"/>
  <c r="AI28" i="1" s="1"/>
  <c r="AI29" i="1"/>
  <c r="AH19" i="1"/>
  <c r="AL19" i="1" s="1"/>
  <c r="AI19" i="1"/>
  <c r="U28" i="1"/>
  <c r="AH21" i="1" l="1"/>
  <c r="AL27" i="1"/>
  <c r="AI20" i="1"/>
  <c r="AH20" i="1"/>
  <c r="Q15" i="1"/>
  <c r="AG15" i="1" s="1"/>
  <c r="U15" i="1"/>
  <c r="AI32" i="1"/>
  <c r="AH28" i="1"/>
  <c r="AI23" i="1"/>
  <c r="AH23" i="1"/>
  <c r="AL23" i="1" s="1"/>
  <c r="AK28" i="1"/>
  <c r="AJ28" i="1" s="1"/>
  <c r="AK29" i="1"/>
  <c r="AJ29" i="1" s="1"/>
  <c r="AL29" i="1" s="1"/>
  <c r="AI30" i="1"/>
  <c r="AH30" i="1"/>
  <c r="AL30" i="1" s="1"/>
  <c r="Q17" i="1"/>
  <c r="AL24"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6" i="1" l="1"/>
  <c r="AI16" i="1" s="1"/>
  <c r="AL28" i="1"/>
  <c r="AH15" i="1"/>
  <c r="AI15" i="1"/>
  <c r="AG17" i="1"/>
  <c r="AI17" i="1" s="1"/>
  <c r="AG18" i="1"/>
  <c r="AL21" i="1"/>
  <c r="AI53" i="19"/>
  <c r="AN13" i="18"/>
  <c r="AN29" i="18"/>
  <c r="AN37" i="18"/>
  <c r="AN21" i="18"/>
  <c r="AN45" i="18"/>
  <c r="AH16" i="1" l="1"/>
  <c r="AI18" i="1"/>
  <c r="AH18" i="1"/>
  <c r="AH17" i="1"/>
  <c r="F29" i="27"/>
  <c r="E29" i="27"/>
  <c r="G29" i="27" s="1"/>
  <c r="P38"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AL20" i="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AL18" i="1" s="1"/>
  <c r="AK17" i="1"/>
  <c r="AJ17" i="1" s="1"/>
  <c r="M52" i="19" s="1"/>
  <c r="Z43" i="18"/>
  <c r="T15" i="1"/>
  <c r="AK16" i="1" s="1"/>
  <c r="AJ16"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Su versión de Excel le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<sst xmlns="http://schemas.openxmlformats.org/spreadsheetml/2006/main" count="848" uniqueCount="494">
  <si>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</si>
  <si>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</si>
  <si>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</si>
  <si>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</si>
  <si>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</si>
  <si>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</si>
  <si>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</si>
  <si>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</si>
  <si>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</si>
  <si>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</si>
  <si>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</si>
  <si>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</si>
  <si>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</si>
  <si>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</si>
  <si>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</si>
  <si>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</si>
  <si>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</si>
  <si>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</si>
  <si>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</si>
  <si>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</si>
  <si>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</si>
  <si>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</si>
  <si>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</si>
  <si>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</si>
  <si>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</si>
  <si>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</si>
  <si>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</si>
  <si>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</si>
  <si>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</si>
  <si>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</si>
  <si>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</si>
  <si>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</si>
  <si>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</si>
  <si>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</si>
  <si>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</si>
  <si>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</si>
  <si>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</si>
  <si>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</si>
  <si>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</si>
  <si>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</si>
  <si>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</si>
  <si>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</si>
  <si>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DIRECCIONAMIENTO INSTITUCIONAL</t>
  </si>
  <si>
    <t>Objetivo:</t>
  </si>
  <si>
    <t>Definir planes, programas y proyectos que garanticen el cumplimiento de la misión, visión, políticas y objetivos de la Escuela Tecnológica Instituto Técnico Central enmarcados en la normatividad vigente y en la planeación estratégica con miras de fortalecer el crecimiento de la institución a nivel nacional e internacional; favoreciendo la calidad y la formación integral e intercultural de nuestros educandos.</t>
  </si>
  <si>
    <t>Alcance:</t>
  </si>
  <si>
    <t>Desde la Formulación de planes, programas y proyectos hasta el seguimiento de la evaluación institucional.</t>
  </si>
  <si>
    <t>PRIMERA LÍNEA DE DEFENSA (Líder del Proceso)</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</si>
  <si>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</si>
  <si>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</si>
  <si>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</si>
  <si>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</si>
  <si>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</si>
  <si>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</si>
  <si>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</si>
  <si>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</si>
  <si>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</si>
  <si>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</si>
  <si>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</si>
  <si>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</si>
  <si>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</si>
  <si>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</si>
  <si>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</si>
  <si>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</si>
  <si>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</si>
  <si>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</si>
  <si>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</si>
  <si>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</si>
  <si>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</si>
  <si>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</si>
  <si>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</si>
  <si>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</si>
  <si>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</si>
  <si>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</si>
  <si>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</si>
  <si>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</si>
  <si>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</si>
  <si>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</si>
  <si>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</si>
  <si>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</si>
  <si>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</si>
  <si>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</si>
  <si>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</si>
  <si>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</si>
  <si>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</si>
  <si>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</si>
  <si>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</si>
  <si>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</si>
  <si>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</si>
  <si>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</si>
  <si>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</si>
  <si>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</si>
  <si>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</si>
  <si>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</si>
  <si>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</si>
  <si>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</si>
  <si>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</si>
  <si>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</si>
  <si>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</si>
  <si>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</si>
  <si>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</si>
  <si>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</si>
  <si>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</si>
  <si>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</si>
  <si>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</si>
  <si>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</si>
  <si>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Detectivo</t>
  </si>
  <si>
    <t>Reducir (mitigar)</t>
  </si>
  <si>
    <t>D11 - Incumplimiento de las metas formuladas en el Plan de Desarrollo Institucional 2025-2032</t>
  </si>
  <si>
    <t>NA</t>
  </si>
  <si>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</si>
  <si>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</si>
  <si>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</si>
  <si>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</si>
  <si>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</si>
  <si>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</si>
  <si>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</si>
  <si>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</si>
  <si>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</si>
  <si>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</si>
  <si>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</si>
  <si>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</si>
  <si>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</si>
  <si>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</si>
  <si>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</si>
  <si>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</si>
  <si>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</si>
  <si>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</si>
  <si>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</si>
  <si>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</si>
  <si>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</si>
  <si>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</si>
  <si>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</si>
  <si>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</si>
  <si>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</si>
  <si>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</si>
  <si>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</si>
  <si>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</si>
  <si>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</si>
  <si>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</si>
  <si>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</si>
  <si>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</si>
  <si>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</si>
  <si>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</si>
  <si>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</si>
  <si>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</si>
  <si>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</si>
  <si>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</si>
  <si>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Gestión</t>
  </si>
  <si>
    <t>•	Procesos</t>
  </si>
  <si>
    <t>Económico</t>
  </si>
  <si>
    <t>Recursos Públicos</t>
  </si>
  <si>
    <t>Evento externo</t>
  </si>
  <si>
    <t>Daños Activos Fisicos</t>
  </si>
  <si>
    <t>Información</t>
  </si>
  <si>
    <t>Confidencialidad</t>
  </si>
  <si>
    <t>Preventivo</t>
  </si>
  <si>
    <t>Automático</t>
  </si>
  <si>
    <t>Documentado</t>
  </si>
  <si>
    <t>Continua</t>
  </si>
  <si>
    <t>Registro Sustancial</t>
  </si>
  <si>
    <t>Aceptar</t>
  </si>
  <si>
    <t>Finalizado</t>
  </si>
  <si>
    <t>•	Talento humano</t>
  </si>
  <si>
    <t>Reputacional</t>
  </si>
  <si>
    <t>Bienes Públicos</t>
  </si>
  <si>
    <t>Financiero</t>
  </si>
  <si>
    <t>Ejecucion y Administracion de procesos</t>
  </si>
  <si>
    <t xml:space="preserve">Software </t>
  </si>
  <si>
    <t>Disponibilidad</t>
  </si>
  <si>
    <t>Manual</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</si>
  <si>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</si>
  <si>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</si>
  <si>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</si>
  <si>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</si>
  <si>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</si>
  <si>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</si>
  <si>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</si>
  <si>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</si>
  <si>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</si>
  <si>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</si>
  <si>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</si>
  <si>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</si>
  <si>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</si>
  <si>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</si>
  <si>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</si>
  <si>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</si>
  <si>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</si>
  <si>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</si>
  <si>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</si>
  <si>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</si>
  <si>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</si>
  <si>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</si>
  <si>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</si>
  <si>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</si>
  <si>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</si>
  <si>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</si>
  <si>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</si>
  <si>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</si>
  <si>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</si>
  <si>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</si>
  <si>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</si>
  <si>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</si>
  <si>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</si>
  <si>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</si>
  <si>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</si>
  <si>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</si>
  <si>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</si>
  <si>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</si>
  <si>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</si>
  <si>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</si>
  <si>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</si>
  <si>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</si>
  <si>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</si>
  <si>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</si>
  <si>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</si>
  <si>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</si>
  <si>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</si>
  <si>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</si>
  <si>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</si>
  <si>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</si>
  <si>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</si>
  <si>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</si>
  <si>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</si>
  <si>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</si>
  <si>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</si>
  <si>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</si>
  <si>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</si>
  <si>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</si>
  <si>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</si>
  <si>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</si>
  <si>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</si>
  <si>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</si>
  <si>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</si>
  <si>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</si>
  <si>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</si>
  <si>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</si>
  <si>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</si>
  <si>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</si>
  <si>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</si>
  <si>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</si>
  <si>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</si>
  <si>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</si>
  <si>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</si>
  <si>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</si>
  <si>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</si>
  <si>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</si>
  <si>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</si>
  <si>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</si>
  <si>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</si>
  <si>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</si>
  <si>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</si>
  <si>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</si>
  <si>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</si>
  <si>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</si>
  <si>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</si>
  <si>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</si>
  <si>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</si>
  <si>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</si>
  <si>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</si>
  <si>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</si>
  <si>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</si>
  <si>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</si>
  <si>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</si>
  <si>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</si>
  <si>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</si>
  <si>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</si>
  <si>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</si>
  <si>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</si>
  <si>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</si>
  <si>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</si>
  <si>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</si>
  <si>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</si>
  <si>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</si>
  <si>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</si>
  <si>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</si>
  <si>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</si>
  <si>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</si>
  <si>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</si>
  <si>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</si>
  <si>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</si>
  <si>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</si>
  <si>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</si>
  <si>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</si>
  <si>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</si>
  <si>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</si>
  <si>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</si>
  <si>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</si>
  <si>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</si>
  <si>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</si>
  <si>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</si>
  <si>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</si>
  <si>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</si>
  <si>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</si>
  <si>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</si>
  <si>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</si>
  <si>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</si>
  <si>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</si>
  <si>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</si>
  <si>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</si>
  <si>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</si>
  <si>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</si>
  <si>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</si>
  <si>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</si>
  <si>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</si>
  <si>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</si>
  <si>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</si>
  <si>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</si>
  <si>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</si>
  <si>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</si>
  <si>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</si>
  <si>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</si>
  <si>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</si>
  <si>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</si>
  <si>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</si>
  <si>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</si>
  <si>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</si>
  <si>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</si>
  <si>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</si>
  <si>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</si>
  <si>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</si>
  <si>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</si>
  <si>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</si>
  <si>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</si>
  <si>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</si>
  <si>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</si>
  <si>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</si>
  <si>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</si>
  <si>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</si>
  <si>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</si>
  <si>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</si>
  <si>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</si>
  <si>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</si>
  <si>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</si>
  <si>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</si>
  <si>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</si>
  <si>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</si>
  <si>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</si>
  <si>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</si>
  <si>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</si>
  <si>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</si>
  <si>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</si>
  <si>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</si>
  <si>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</si>
  <si>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</si>
  <si>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</si>
  <si>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</si>
  <si>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</si>
  <si>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</si>
  <si>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</si>
  <si>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</si>
  <si>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</si>
  <si>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</si>
  <si>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</si>
  <si>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</si>
  <si>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</si>
  <si>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</si>
  <si>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</si>
  <si>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</si>
  <si>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</si>
  <si>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</si>
  <si>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</si>
  <si>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</si>
  <si>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</si>
  <si>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</si>
  <si>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</si>
  <si>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</si>
  <si>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</si>
  <si>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</si>
  <si>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</si>
  <si>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</si>
  <si>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</si>
  <si>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</si>
  <si>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</si>
  <si>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</si>
  <si>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</si>
  <si>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</si>
  <si>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</si>
  <si>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</si>
  <si>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</si>
  <si>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</si>
  <si>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</si>
  <si>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</si>
  <si>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</si>
  <si>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</si>
  <si>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</si>
  <si>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</si>
  <si>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</si>
  <si>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</si>
  <si>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</si>
  <si>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</si>
  <si>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</si>
  <si>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</si>
  <si>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</si>
  <si>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</si>
  <si>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</si>
  <si>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</si>
  <si>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</si>
  <si>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</si>
  <si>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</si>
  <si>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</si>
  <si>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</si>
  <si>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</si>
  <si>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</si>
  <si>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</si>
  <si>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</si>
  <si>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</si>
  <si>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</si>
  <si>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</si>
  <si>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</si>
  <si>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</si>
  <si>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</si>
  <si>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</si>
  <si>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</si>
  <si>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</si>
  <si>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</si>
  <si>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</si>
  <si>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</si>
  <si>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</si>
  <si>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</si>
  <si>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</si>
  <si>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</si>
  <si>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Informe de ejecución de actividades del Software de gestión de Mantenimiento MANTUM CMMS
Documentación del control 
plataforma MANTUM CMMS</t>
  </si>
  <si>
    <t>Informe de ruta MANTUM CMMS</t>
  </si>
  <si>
    <t>Falla en el sistema de bombeo de agua potable de la entidad.</t>
  </si>
  <si>
    <t>Falta de revisión, verificación de los mantenimientos predictivos y  preventivos al sistema de respaldo de energía general y el no correcto seguimiento del gestor de mantenimiento CMMS MANTUM</t>
  </si>
  <si>
    <t xml:space="preserve">Falta de verificación del cumplimiento de los protocolos de Seguridad y Salud en el Trabajo
Ausencia de puntos de control y verificación en la Inspección a Equipos de Protección Contra Caídas,  Análisis de Trabajo Seguro
y los permiso Trabajo en Alturas 
</t>
  </si>
  <si>
    <t>Ejecución de actividades de mantenimiento sin la debida verificación del cumplimiento de los protocolos de Seguridad y Salud en el Trabajo,</t>
  </si>
  <si>
    <t xml:space="preserve">El profesional responsables, debera actualizar el GRF-PC-O4 PROCEDIMIENTO MANTENIMIENTO  PREVENTIVO Y CORRECTIVO, para incluir actividades transversales al sistema de Seguridad y Salud en el Trabajo y una vez sea aprobada se socializará con el equipo de trabajo. En caso de presentar desviación del control frenta a actividades del procediiento se realizara un reporte al lider de Seguridad y Salud en el trabajo y demas funcionarios involucrados en la actividad. 
</t>
  </si>
  <si>
    <t xml:space="preserve">Documentos actualizados
Socialización ( correos electronicos/ capacitaciones)
Reporte de novedades (cuando aplique)
</t>
  </si>
  <si>
    <t xml:space="preserve">el profesional designados , cada vez se requera, debera  verificar que se realicen los registros correspondiente con la actividades  a ejecutar. Los documentos seran verificados y avalados por el coordinador del alturas y/o líder del área y de seguridad y salud en el trabajo. 
</t>
  </si>
  <si>
    <t xml:space="preserve">Programación de actividades Planta Fisica/ Infraestructura electrica
CMMS-MANTUM
OneDrive
</t>
  </si>
  <si>
    <t xml:space="preserve">GRF-PC-04 y registros  </t>
  </si>
  <si>
    <t>oneDrive
Programación
MANTUM</t>
  </si>
  <si>
    <t>Revisión aleatoria en sitúo de la actividad programada, para verificar el cumplimiento de requisitos.</t>
  </si>
  <si>
    <t>profesional asignado</t>
  </si>
  <si>
    <t>Registro fotografico y/o
GSI-SST-FO-23 Inspección de elementos profesionales</t>
  </si>
  <si>
    <t xml:space="preserve">R1- Posibilidad de afectación económica y reputacional por Ejecución de actividades de mantenimiento sin la debida verificación del cumplimiento de los protocolos de Seguridad y Salud en el Trabajo, debido  a la ausencia de puntos de control y verificación en la Inspección a Equipos de Protección Contra Caídas,  Análisis de Trabajo Seguro
y los permiso Trabajo en Alturas </t>
  </si>
  <si>
    <t xml:space="preserve">falta de ejecución de las actividades de mantenimiento, seguimiento y control (plantas eléctricas de emergencia y/o UPS”S) </t>
  </si>
  <si>
    <t>El líderer  de área de Infraestructura Eléctrica, de manera cuatrimestral consolida el reporte de los mantenimientos preventivo de las redes y equipos eléctricos por medio del Software de gestión de Mantenimiento MANTUM CMMS. En caso de desviación del control, el responsable de la actividad lo notifica al lider para su reprogramación  en la plataforma.</t>
  </si>
  <si>
    <t xml:space="preserve">El líderer  de área de Infraestructura Eléctrica, realiza la supervisión del cumplimiento de las actividades  pactadas en la contratación especializada para los equipos de mision critica (plantas electricas y UPS"S) y  de manera cuatrimestral consolida el reporte  de cumplimiento de conformidad con el cronograma establecidos entre las partes. En caso de desviación del control, el supervisor realiza el debido recordatorio de lo establecido contractualmente. </t>
  </si>
  <si>
    <t xml:space="preserve">Informe de ejecución de actividades del Software de gestión de Mantenimiento MANTUM CMMS (orden de trabajo)
Cumplido de supervisión
Correo electronico (recordatorio de lo establecido contractualmente). Cuando aplique. </t>
  </si>
  <si>
    <t>OT- MANTUM CMMS</t>
  </si>
  <si>
    <t>Reunión de avance de ejecución de mantenimientos con el contratista especializado ( tercerizado)</t>
  </si>
  <si>
    <t xml:space="preserve">Acta de reunión y seguimiento a compromisos </t>
  </si>
  <si>
    <t>R2- Posibilidad de afectación económica y reputacional, por falta de ejecución de las actividades de mantenimiento, seguimiento y control (plantas eléctricas de emergencia y/o UPS”S) ,debidoFalta de revisión, verificación de los mantenimientos predictivos y  preventivos al sistema de respaldo de energía general y el no correcto seguimiento del gestor de mantenimiento CMMS MANTUM</t>
  </si>
  <si>
    <t>R3- Posibilidad de afectación económica, por  falta de apropiación del sistema ambiental en la escuela, debido fallas en la  clasificación, separación y acopio de los posibles residuos generados de actividades de mantenimiento de planta física e infraestructura eléctrica</t>
  </si>
  <si>
    <t>falta de apropiación del sistema ambiental en la escuela,</t>
  </si>
  <si>
    <t>fallas en la  clasificación, separación y acopio de los posibles residuos generados de actividades de mantenimiento de planta física e infraestructura eléctrica</t>
  </si>
  <si>
    <t xml:space="preserve">El profesional asignado cada vez que el desarrollo de las actividades generen residuos, realiza el registro en FORMS, de inicio y finalización de intervenciones que generan RCD, generación de residuos de construcción y demolición (RCD) y reporte de residuos reciclables ETITC y en el formato GSI_AM-FO-03 Reporte de generación RESPEL. En caso de presentar desviación del control, se solicitara nuevamente la clasificación de los residuos y de ser necesario se realizara ajuste al reporte
</t>
  </si>
  <si>
    <t xml:space="preserve">
forms: inicio y finalización de intervenciones que generan RCD
forms: generación de residuos de construcción y demolición (RCD)
forms: reporte de residuos reciclables ETITC 
GSI-AM-FO-03 Reporte de generación RESPEL
contratación especializada:  Certificado de disposición final al líder del proceso de gestión ambiental de la ETITC para su archivo y consulta cuando se requiera.</t>
  </si>
  <si>
    <t xml:space="preserve">FORMS 
GSI-AM-FO-03  Reporte de generación RESPEL </t>
  </si>
  <si>
    <t>Realizar solicitud de capacitación en  clasificación, separación y acopio de los posibles residuos generados de actividades de mantenimiento de planta física e infraestructura eléctrica</t>
  </si>
  <si>
    <t xml:space="preserve">correo electronico de solicitud
Acta de reunión  y/o registros fotograficos </t>
  </si>
  <si>
    <t xml:space="preserve">Dificil acceso a las redes hidraulicas por ser una edificación BIC de interés cultural 
 </t>
  </si>
  <si>
    <t xml:space="preserve">R4- Posibilidad de afectación económica y/o reputacional , por Falla en el sistema de bombeo de agua potable de la entidad, debido a dificil acceso a las redes hidraulicas por ser una edificación BIC de interés cultural </t>
  </si>
  <si>
    <t>El líder del área de planta física y gestión de infraestructura eléctrica, de manera semanal,  realiza las rutas de mantenimientol al sistema de bombeo en la plataforma CMMS MANTUM.  En caso de desviación del control, se reporta la novedad a quien corresponda  y se dara prioridad en la atención.</t>
  </si>
  <si>
    <t xml:space="preserve"> rutas de mantenimientol al sistema de bombeo en el Software de gestión de Mantenimiento MANTUM CMMS
Correo institucional de reporte de novedad (cuando aplica)</t>
  </si>
  <si>
    <t xml:space="preserve">El líderer  de área de planta fisica, realiza la supervisión del cumplimiento de las actividades  pactadas en la contratación especializada para el sistema de bombeo de agua potable  y  de manera cuatrimestral consolida el reporte  de cumplimiento de conformidad con el cronograma establecidos entre las partes. En caso de desviación del control, el supervisor realiza el debido recordatorio de lo establecido contractualmente. </t>
  </si>
  <si>
    <t xml:space="preserve">Informe de ejecución de actividades del Software de gestión de Mantenimiento MANTUM CMMS 
Cumplido de supervisión
Correo electronico (recordatorio de lo establecido contractualmente). Cuando aplique. </t>
  </si>
  <si>
    <t>MANTUM</t>
  </si>
  <si>
    <t xml:space="preserve">El equipo de vigilancia y seguridad de la escuela, realizan las rondas de verificación del servicio de agua potable en horario nocturos. En caso de presentar novedad lo reportan al área. </t>
  </si>
  <si>
    <t xml:space="preserve">Lider de Infraestructura </t>
  </si>
  <si>
    <t>informe de novedades diarias Centro de Televisión de vigilancia- CCTV</t>
  </si>
  <si>
    <t>Bienes entregados sin actualización oportuna  del responsable asignado
Bienes sin ubicación definida</t>
  </si>
  <si>
    <t>1- Demoras en el registro de entradas y salidas de bienes 
2- Deficiencia en la conciliación entre inventarios y contabilidad.</t>
  </si>
  <si>
    <t>Informe de mantenimiento predictivo generado pr la plataforma CMMS-MANTUM 
Documentación del control 
plataforma MANTUM CMMS</t>
  </si>
  <si>
    <t xml:space="preserve">Falencias en la supervisión por 
incumplimientos contractuales enfocados en la verificación de entregables por parte de contratista (tercerizados) 
</t>
  </si>
  <si>
    <t xml:space="preserve">Falta de verificación en el proceso pagos que se realizan por obras, bienes o mantenimiento  que no cumplen con las condiciones  contratadas (tercerizados) 
</t>
  </si>
  <si>
    <t>R5 - Posibilidad de afectación económica y reputacional por Bienes entregados sin actualización oportuna  del responsable asignado, bienes sin ubicación definida, debido a demoras en el registro de entradas y salidas de bienes, deficiencia en la conciliación entre inventarios y contabilidad.</t>
  </si>
  <si>
    <t>Ejecución y Administración de procesos</t>
  </si>
  <si>
    <t>El profesional o responsable del área de almacén de manera permanente recibe solicitudes de elementos para dar de baja por parte del personal que tiene bienes a cargo, la cual debe adjuntar concepto técnico firmado por un profesional competente con el debido detalle justificado y claro ya sea por falla técnica o periódico (vida-útil) y revisado por el profesional de almacén y será verificado con la plataforma CMMS-MANTUM 
En caso de desviación del control el profesional de almacén devolverá el informe al área de origen para la subsanación y sugerirá el uso del bien e otra área.</t>
  </si>
  <si>
    <t>Informe técnico de bajas formato GRF-FO-18 (ANEXO)
Correo electrónico de devolución de concepto técnico (Cuando aplique)</t>
  </si>
  <si>
    <t xml:space="preserve">FORMS 
GRF-FO-18 
INFORME TÉCNICO DE BAJAS </t>
  </si>
  <si>
    <t>El profesional de almacén de manera de mensual descarga de la plataforma CMMS-MANTUM el  informe de estado de los bienes a cargo y se remite al área de contabilidad para su conciliación  
En cao de desviación: Inconsistencias en la conciliación el profesional de almacén deberá hacer una verificación del elemento puntual y deberá realizar el debido ajuste de la desviación</t>
  </si>
  <si>
    <t>Base de datos generada por la plataforma CMMS-MANTUM
Correo electrónico de conciliación 
Correo aclaratorio (Cuando Aplique)</t>
  </si>
  <si>
    <t xml:space="preserve"> Debilidades en la programación, ejecución y seguimiento  del mantenimiento predictivo de la planta física</t>
  </si>
  <si>
    <t xml:space="preserve">1- Falencias en la priorización de intervenciones  sobre infraestructura crítica de planta física
</t>
  </si>
  <si>
    <t>R6- Posibilidad de afectación  dañosa sobre  bienes públicos por debilidades en la revisión y seguimiento  del mantenimiento predictivo de planta física, debido a   falencias en la priorización de intervenciones  sobre infraestructura crítica.</t>
  </si>
  <si>
    <t>El profesional de planta física realiza monitoreo al plan predictivo.
En caso de deviación de control se remite a gestión BIC.</t>
  </si>
  <si>
    <t xml:space="preserve">El profesional de planta física solicitara mediante correo electrónico el diagnostico de la infraestructura física al profesional de arquitectura de Bien de Interés Cultural - BIC </t>
  </si>
  <si>
    <t xml:space="preserve">correo electrónico de solicitud
Acta de reunión  y/o registros fotográficos </t>
  </si>
  <si>
    <t>R7 - Posibilidad de afectación reputacional, por recibir a satisfacción  obras, adecuaciones y mantenimiento de la infraestructura institucional, sin la completitud de los requisitos establecidos por la ETITC. , para beneficio propio o tercero.</t>
  </si>
  <si>
    <t xml:space="preserve">El profesional de planta física e infraestructura eléctrica deberán revisar los informes de gestión y/o técnico, cotejando con las obligaciones contractuales de los contratos tercerizados, cada vez que aplique según los establecido
En caso de desviación, se reporta al las áreas de tesorería y jurídica contratación </t>
  </si>
  <si>
    <t xml:space="preserve">Informes de gestión - Contratista Interno 
Informes técnicos especializado - Contratistas externos </t>
  </si>
  <si>
    <t>OneDrive
Programación</t>
  </si>
  <si>
    <t xml:space="preserve">El profesional de planta física e infraestructura eléctrica realizara seguimientos periódicos en sitio a las actividades establecidas contractualmente frente a lo tercerizado, así mismo, los profesionales encargados delegaran mediante correo electrónico al personal interno ya sea contratista o funcionario el debido seguimiento, en caso de que el líder lo pueda realizar. </t>
  </si>
  <si>
    <t xml:space="preserve">correo electrónico de solicitud
 </t>
  </si>
  <si>
    <t>Posibilidad de afectación económica o reputacional debido a accidentes ambientales por no contar con cerramientos que aíslen los tanques de almacenamiento de combustibles.</t>
  </si>
  <si>
    <r>
      <rPr>
        <b/>
        <sz val="14"/>
        <rFont val="Arial"/>
        <family val="2"/>
      </rPr>
      <t>LÍDER DEL PROCESO:</t>
    </r>
    <r>
      <rPr>
        <sz val="14"/>
        <rFont val="Arial"/>
        <family val="2"/>
      </rPr>
      <t xml:space="preserve"> Hno. Ariosto Ardila Silva</t>
    </r>
  </si>
  <si>
    <t xml:space="preserve">Realizar de manera semestral, una verificación aleatoria de los activos fijos que se registran en el inventario. </t>
  </si>
  <si>
    <t xml:space="preserve">Profesional de apoyo de almacen </t>
  </si>
  <si>
    <t xml:space="preserve">GRF-FO-03 Inventario  </t>
  </si>
  <si>
    <t>*Nota: 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</si>
</sst>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94"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sz val="11"/>
      <color rgb="FF000000"/>
      <name val="Arial"/>
      <family val="2"/>
    </font>
    <font>
      <sz val="10"/>
      <color theme="0"/>
      <name val="Arial"/>
      <family val="2"/>
    </font>
    <font>
      <b/>
      <sz val="18"/>
      <name val="Arial"/>
      <family val="2"/>
    </font>
    <font>
      <sz val="11"/>
      <name val="Arial"/>
      <family val="2"/>
    </font>
    <font>
      <sz val="14"/>
      <name val="Arial"/>
      <family val="2"/>
    </font>
    <font>
      <b/>
      <sz val="14"/>
      <name val="Arial"/>
      <family val="2"/>
    </font>
    <font>
      <b/>
      <sz val="11"/>
      <name val="Arial"/>
      <family val="2"/>
    </font>
    <font>
      <u/>
      <sz val="11"/>
      <color theme="10"/>
      <name val="Calibri"/>
      <family val="2"/>
      <scheme val="minor"/>
    </font>
    <font>
      <sz val="11"/>
      <color rgb="FF000000"/>
      <name val="Calibri"/>
      <family val="2"/>
      <scheme val="minor"/>
    </font>
    <font>
      <b/>
      <sz val="5"/>
      <name val="Arial"/>
      <family val="2"/>
    </font>
    <font>
      <b/>
      <sz val="22"/>
      <name val="Arial"/>
      <family val="2"/>
    </font>
    <font>
      <b/>
      <sz val="12"/>
      <name val="Arial Black"/>
      <family val="2"/>
    </font>
    <font>
      <u/>
      <sz val="11"/>
      <name val="Calibri"/>
      <family val="2"/>
      <scheme val="minor"/>
    </font>
    <font>
      <sz val="6"/>
      <name val="Arial"/>
      <family val="2"/>
    </font>
  </fonts>
  <fills count="2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
      <patternFill patternType="solid">
        <fgColor theme="3" tint="0.79998168889431442"/>
        <bgColor indexed="64"/>
      </patternFill>
    </fill>
  </fills>
  <borders count="11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87" fillId="0" borderId="0" applyNumberFormat="0" applyFill="0" applyBorder="0" applyAlignment="0" applyProtection="0"/>
  </cellStyleXfs>
  <cellXfs count="64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0" fillId="0" borderId="0" xfId="0" applyAlignment="1">
      <alignment wrapText="1"/>
    </xf>
    <xf numFmtId="0" fontId="54" fillId="0" borderId="57" xfId="0" applyFont="1" applyBorder="1" applyAlignment="1">
      <alignment horizontal="left" vertical="center"/>
    </xf>
    <xf numFmtId="0" fontId="0" fillId="17" borderId="0" xfId="0" applyFill="1"/>
    <xf numFmtId="0" fontId="62" fillId="17" borderId="0" xfId="0" applyFont="1" applyFill="1"/>
    <xf numFmtId="14" fontId="62" fillId="0" borderId="74" xfId="0" applyNumberFormat="1" applyFont="1" applyBorder="1" applyAlignment="1" applyProtection="1">
      <alignment horizontal="center" vertical="center"/>
      <protection locked="0"/>
    </xf>
    <xf numFmtId="0" fontId="62" fillId="0" borderId="74" xfId="0" applyFont="1" applyBorder="1" applyAlignment="1" applyProtection="1">
      <alignment horizontal="center" vertical="center"/>
      <protection locked="0"/>
    </xf>
    <xf numFmtId="0" fontId="62" fillId="0" borderId="74" xfId="0" applyFont="1" applyBorder="1" applyAlignment="1" applyProtection="1">
      <alignment horizontal="center" vertical="center" wrapText="1"/>
      <protection locked="0"/>
    </xf>
    <xf numFmtId="0" fontId="62" fillId="0" borderId="74" xfId="0" applyFont="1" applyBorder="1" applyAlignment="1" applyProtection="1">
      <alignment horizontal="justify" wrapText="1"/>
      <protection locked="0"/>
    </xf>
    <xf numFmtId="0" fontId="11" fillId="17" borderId="0" xfId="0" applyFont="1" applyFill="1"/>
    <xf numFmtId="0" fontId="63" fillId="0" borderId="24" xfId="0" applyFont="1" applyBorder="1" applyAlignment="1">
      <alignment horizontal="center" vertical="center"/>
    </xf>
    <xf numFmtId="0" fontId="63" fillId="0" borderId="85" xfId="0" applyFont="1" applyBorder="1" applyAlignment="1">
      <alignment horizontal="center" vertical="center" wrapText="1"/>
    </xf>
    <xf numFmtId="0" fontId="63"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67" fillId="16" borderId="74" xfId="0" applyNumberFormat="1" applyFont="1" applyFill="1" applyBorder="1" applyAlignment="1">
      <alignment horizontal="center" vertical="center" wrapText="1"/>
    </xf>
    <xf numFmtId="0" fontId="67" fillId="16" borderId="74" xfId="0" applyFont="1" applyFill="1" applyBorder="1" applyAlignment="1">
      <alignment horizontal="center" vertical="center" wrapText="1"/>
    </xf>
    <xf numFmtId="0" fontId="73" fillId="17" borderId="0" xfId="0" applyFont="1" applyFill="1" applyAlignment="1">
      <alignment horizontal="center" vertical="center" textRotation="90"/>
    </xf>
    <xf numFmtId="0" fontId="75" fillId="0" borderId="0" xfId="0" applyFont="1" applyAlignment="1">
      <alignment vertical="center"/>
    </xf>
    <xf numFmtId="0" fontId="78" fillId="0" borderId="0" xfId="0" applyFont="1"/>
    <xf numFmtId="0" fontId="73" fillId="0" borderId="0" xfId="0" applyFont="1" applyAlignment="1">
      <alignment horizontal="left" vertical="center"/>
    </xf>
    <xf numFmtId="0" fontId="62" fillId="0" borderId="91" xfId="0" applyFont="1" applyBorder="1" applyAlignment="1">
      <alignment horizontal="left" vertical="center"/>
    </xf>
    <xf numFmtId="0" fontId="62" fillId="0" borderId="92" xfId="0" applyFont="1" applyBorder="1" applyAlignment="1">
      <alignment horizontal="left" vertical="center"/>
    </xf>
    <xf numFmtId="0" fontId="78" fillId="3" borderId="0" xfId="0" applyFont="1" applyFill="1"/>
    <xf numFmtId="0" fontId="79" fillId="3" borderId="0" xfId="0" applyFont="1" applyFill="1" applyAlignment="1">
      <alignment horizontal="center" vertical="center"/>
    </xf>
    <xf numFmtId="0" fontId="0" fillId="0" borderId="85" xfId="0" applyBorder="1" applyAlignment="1">
      <alignment horizontal="center" vertical="center"/>
    </xf>
    <xf numFmtId="0" fontId="67" fillId="19" borderId="85" xfId="0" applyFont="1" applyFill="1" applyBorder="1" applyAlignment="1">
      <alignment horizontal="center" vertical="center"/>
    </xf>
    <xf numFmtId="0" fontId="76" fillId="18" borderId="0" xfId="0" applyFont="1" applyFill="1" applyAlignment="1">
      <alignment horizontal="center" vertical="center"/>
    </xf>
    <xf numFmtId="0" fontId="67" fillId="19" borderId="0" xfId="0" applyFont="1" applyFill="1" applyAlignment="1">
      <alignment horizontal="center" vertical="center"/>
    </xf>
    <xf numFmtId="0" fontId="77" fillId="0" borderId="0" xfId="0" applyFont="1" applyAlignment="1">
      <alignment horizontal="center"/>
    </xf>
    <xf numFmtId="0" fontId="77" fillId="0" borderId="0" xfId="0" applyFont="1" applyAlignment="1">
      <alignment horizontal="center" vertical="center"/>
    </xf>
    <xf numFmtId="0" fontId="69" fillId="21" borderId="27" xfId="0" applyFont="1" applyFill="1" applyBorder="1" applyAlignment="1">
      <alignment horizontal="center" vertical="center" wrapText="1"/>
    </xf>
    <xf numFmtId="0" fontId="69" fillId="21" borderId="28" xfId="0" applyFont="1" applyFill="1" applyBorder="1" applyAlignment="1">
      <alignment horizontal="center" vertical="center" wrapText="1"/>
    </xf>
    <xf numFmtId="0" fontId="80" fillId="3" borderId="21" xfId="0" applyFont="1" applyFill="1" applyBorder="1" applyAlignment="1" applyProtection="1">
      <alignment horizontal="justify" vertical="justify" wrapText="1"/>
      <protection locked="0"/>
    </xf>
    <xf numFmtId="0" fontId="68" fillId="0" borderId="22" xfId="0" applyFont="1" applyBorder="1" applyAlignment="1" applyProtection="1">
      <alignment horizontal="center" vertical="center" wrapText="1"/>
      <protection locked="0"/>
    </xf>
    <xf numFmtId="0" fontId="80" fillId="0" borderId="21" xfId="0" applyFont="1" applyBorder="1" applyAlignment="1" applyProtection="1">
      <alignment horizontal="justify" vertical="justify" wrapText="1"/>
      <protection locked="0"/>
    </xf>
    <xf numFmtId="0" fontId="68" fillId="0" borderId="21" xfId="0" applyFont="1" applyBorder="1" applyAlignment="1" applyProtection="1">
      <alignment horizontal="center" vertical="center" wrapText="1"/>
      <protection locked="0"/>
    </xf>
    <xf numFmtId="0" fontId="80"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69" fillId="21" borderId="25" xfId="0" applyFont="1" applyFill="1" applyBorder="1" applyAlignment="1">
      <alignment horizontal="center" vertical="center" wrapText="1"/>
    </xf>
    <xf numFmtId="0" fontId="68" fillId="21" borderId="21" xfId="0" applyFont="1" applyFill="1" applyBorder="1" applyAlignment="1" applyProtection="1">
      <alignment horizontal="center" vertical="center"/>
      <protection locked="0"/>
    </xf>
    <xf numFmtId="0" fontId="80" fillId="23" borderId="22" xfId="0" applyFont="1" applyFill="1" applyBorder="1" applyAlignment="1" applyProtection="1">
      <alignment horizontal="justify" vertical="justify" wrapText="1"/>
      <protection locked="0"/>
    </xf>
    <xf numFmtId="0" fontId="81" fillId="21" borderId="21" xfId="0" applyFont="1" applyFill="1" applyBorder="1" applyAlignment="1" applyProtection="1">
      <alignment horizontal="center" vertical="center"/>
      <protection locked="0"/>
    </xf>
    <xf numFmtId="0" fontId="80" fillId="24" borderId="21" xfId="0" applyFont="1" applyFill="1" applyBorder="1" applyAlignment="1" applyProtection="1">
      <alignment horizontal="justify" vertical="justify" wrapText="1"/>
      <protection locked="0"/>
    </xf>
    <xf numFmtId="0" fontId="80" fillId="22" borderId="67" xfId="0" applyFont="1" applyFill="1" applyBorder="1" applyAlignment="1" applyProtection="1">
      <alignment wrapText="1"/>
      <protection locked="0"/>
    </xf>
    <xf numFmtId="0" fontId="62"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57" fillId="18" borderId="0" xfId="0" applyFont="1" applyFill="1" applyAlignment="1">
      <alignment horizontal="center" vertical="center"/>
    </xf>
    <xf numFmtId="0" fontId="57" fillId="18" borderId="0" xfId="0" applyFont="1" applyFill="1" applyAlignment="1">
      <alignment horizontal="center" vertical="center" wrapText="1"/>
    </xf>
    <xf numFmtId="0" fontId="11" fillId="18" borderId="0" xfId="0" applyFont="1" applyFill="1" applyAlignment="1">
      <alignment wrapText="1"/>
    </xf>
    <xf numFmtId="0" fontId="83" fillId="0" borderId="0" xfId="0" applyFont="1" applyAlignment="1">
      <alignment horizontal="center" vertical="center" wrapText="1"/>
    </xf>
    <xf numFmtId="0" fontId="83"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83" fillId="0" borderId="21" xfId="0" applyFont="1" applyBorder="1" applyAlignment="1" applyProtection="1">
      <alignment horizontal="center" vertical="center" wrapText="1"/>
      <protection hidden="1"/>
    </xf>
    <xf numFmtId="0" fontId="83" fillId="0" borderId="21" xfId="0" applyFont="1" applyBorder="1" applyAlignment="1" applyProtection="1">
      <alignment horizontal="center" vertical="center" textRotation="90" wrapText="1"/>
      <protection locked="0"/>
    </xf>
    <xf numFmtId="9" fontId="83" fillId="0" borderId="21" xfId="0" applyNumberFormat="1" applyFont="1" applyBorder="1" applyAlignment="1" applyProtection="1">
      <alignment horizontal="center" vertical="center" wrapText="1"/>
      <protection hidden="1"/>
    </xf>
    <xf numFmtId="164" fontId="83" fillId="0" borderId="21" xfId="1" applyNumberFormat="1" applyFont="1" applyBorder="1" applyAlignment="1">
      <alignment horizontal="center" vertical="center" wrapText="1"/>
    </xf>
    <xf numFmtId="0" fontId="86" fillId="0" borderId="21" xfId="0" applyFont="1" applyBorder="1" applyAlignment="1" applyProtection="1">
      <alignment horizontal="center" vertical="center" textRotation="90" wrapText="1"/>
      <protection hidden="1"/>
    </xf>
    <xf numFmtId="0" fontId="83" fillId="3" borderId="0" xfId="0" applyFont="1" applyFill="1" applyAlignment="1">
      <alignment horizontal="center" vertical="center" wrapText="1"/>
    </xf>
    <xf numFmtId="0" fontId="1" fillId="0" borderId="21" xfId="0" applyFont="1" applyBorder="1" applyAlignment="1">
      <alignment horizontal="center" vertical="center"/>
    </xf>
    <xf numFmtId="0" fontId="62"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4"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43" fillId="0" borderId="108" xfId="0" applyFont="1" applyBorder="1" applyAlignment="1" applyProtection="1">
      <alignment horizontal="center" vertical="center" wrapText="1"/>
      <protection locked="0"/>
    </xf>
    <xf numFmtId="0" fontId="83" fillId="25" borderId="21" xfId="0" applyFont="1" applyFill="1" applyBorder="1" applyAlignment="1" applyProtection="1">
      <alignment horizontal="center" vertical="center" wrapText="1"/>
      <protection locked="0"/>
    </xf>
    <xf numFmtId="0" fontId="83" fillId="17" borderId="21" xfId="0" applyFont="1" applyFill="1" applyBorder="1" applyAlignment="1">
      <alignment horizontal="center" vertical="center" wrapText="1"/>
    </xf>
    <xf numFmtId="14" fontId="83" fillId="27" borderId="21" xfId="0" applyNumberFormat="1" applyFont="1" applyFill="1" applyBorder="1" applyAlignment="1" applyProtection="1">
      <alignment horizontal="center" vertical="center" wrapText="1"/>
      <protection locked="0"/>
    </xf>
    <xf numFmtId="0" fontId="86" fillId="13" borderId="21" xfId="0" applyFont="1" applyFill="1" applyBorder="1" applyAlignment="1" applyProtection="1">
      <alignment horizontal="center" vertical="center" textRotation="90" wrapText="1"/>
      <protection hidden="1"/>
    </xf>
    <xf numFmtId="164" fontId="83" fillId="0" borderId="21" xfId="1" applyNumberFormat="1" applyFont="1" applyFill="1" applyBorder="1" applyAlignment="1">
      <alignment horizontal="center" vertical="center" wrapText="1"/>
    </xf>
    <xf numFmtId="14" fontId="83" fillId="0" borderId="101" xfId="0" applyNumberFormat="1" applyFont="1" applyBorder="1" applyAlignment="1" applyProtection="1">
      <alignment horizontal="center" vertical="center" wrapText="1"/>
      <protection locked="0"/>
    </xf>
    <xf numFmtId="14" fontId="83" fillId="0" borderId="22" xfId="0" applyNumberFormat="1" applyFont="1" applyBorder="1" applyAlignment="1" applyProtection="1">
      <alignment horizontal="center" vertical="center" wrapText="1"/>
      <protection locked="0"/>
    </xf>
    <xf numFmtId="14" fontId="83" fillId="0" borderId="102" xfId="0" applyNumberFormat="1" applyFont="1" applyBorder="1" applyAlignment="1" applyProtection="1">
      <alignment horizontal="center" vertical="center" wrapText="1"/>
      <protection locked="0"/>
    </xf>
    <xf numFmtId="0" fontId="73" fillId="0" borderId="0" xfId="0" applyFont="1" applyAlignment="1">
      <alignment horizontal="center"/>
    </xf>
    <xf numFmtId="0" fontId="73" fillId="0" borderId="72" xfId="0" applyFont="1" applyBorder="1" applyAlignment="1">
      <alignment horizontal="center"/>
    </xf>
    <xf numFmtId="0" fontId="83" fillId="0" borderId="101" xfId="0" applyFont="1" applyBorder="1" applyAlignment="1" applyProtection="1">
      <alignment horizontal="center" vertical="center" wrapText="1"/>
      <protection locked="0"/>
    </xf>
    <xf numFmtId="0" fontId="83" fillId="0" borderId="22" xfId="0" applyFont="1" applyBorder="1" applyAlignment="1" applyProtection="1">
      <alignment horizontal="center" vertical="center" wrapText="1"/>
      <protection locked="0"/>
    </xf>
    <xf numFmtId="0" fontId="86" fillId="0" borderId="101" xfId="0" applyFont="1" applyBorder="1" applyAlignment="1">
      <alignment horizontal="center" vertical="center" wrapText="1"/>
    </xf>
    <xf numFmtId="0" fontId="86" fillId="0" borderId="22" xfId="0" applyFont="1" applyBorder="1" applyAlignment="1">
      <alignment horizontal="center" vertical="center" wrapText="1"/>
    </xf>
    <xf numFmtId="0" fontId="83" fillId="0" borderId="101" xfId="0" applyFont="1" applyBorder="1" applyAlignment="1">
      <alignment horizontal="center" vertical="center" wrapText="1"/>
    </xf>
    <xf numFmtId="0" fontId="83" fillId="0" borderId="22" xfId="0" applyFont="1" applyBorder="1" applyAlignment="1">
      <alignment horizontal="center" vertical="center" wrapText="1"/>
    </xf>
    <xf numFmtId="0" fontId="86" fillId="0" borderId="101" xfId="0" applyFont="1" applyBorder="1" applyAlignment="1" applyProtection="1">
      <alignment horizontal="center" vertical="center" wrapText="1"/>
      <protection hidden="1"/>
    </xf>
    <xf numFmtId="0" fontId="86" fillId="0" borderId="22" xfId="0" applyFont="1" applyBorder="1" applyAlignment="1" applyProtection="1">
      <alignment horizontal="center" vertical="center" wrapText="1"/>
      <protection hidden="1"/>
    </xf>
    <xf numFmtId="0" fontId="83" fillId="0" borderId="101" xfId="0" applyFont="1" applyBorder="1" applyAlignment="1" applyProtection="1">
      <alignment horizontal="center" vertical="center" textRotation="90" wrapText="1"/>
      <protection locked="0"/>
    </xf>
    <xf numFmtId="0" fontId="83" fillId="0" borderId="22" xfId="0" applyFont="1" applyBorder="1" applyAlignment="1" applyProtection="1">
      <alignment horizontal="center" vertical="center" textRotation="90" wrapText="1"/>
      <protection locked="0"/>
    </xf>
    <xf numFmtId="14" fontId="83" fillId="26" borderId="109" xfId="0" applyNumberFormat="1" applyFont="1" applyFill="1" applyBorder="1" applyAlignment="1">
      <alignment horizontal="center" vertical="center" wrapText="1"/>
    </xf>
    <xf numFmtId="14" fontId="83" fillId="26" borderId="22" xfId="0" applyNumberFormat="1" applyFont="1" applyFill="1" applyBorder="1" applyAlignment="1">
      <alignment horizontal="center" vertical="center" wrapText="1"/>
    </xf>
    <xf numFmtId="0" fontId="82" fillId="0" borderId="66" xfId="0" applyFont="1" applyBorder="1" applyAlignment="1">
      <alignment horizontal="left" vertical="center"/>
    </xf>
    <xf numFmtId="0" fontId="82" fillId="0" borderId="65" xfId="0" applyFont="1" applyBorder="1" applyAlignment="1">
      <alignment horizontal="left" vertical="center"/>
    </xf>
    <xf numFmtId="9" fontId="83" fillId="0" borderId="101" xfId="0" applyNumberFormat="1" applyFont="1" applyBorder="1" applyAlignment="1" applyProtection="1">
      <alignment horizontal="center" vertical="center" wrapText="1"/>
      <protection locked="0"/>
    </xf>
    <xf numFmtId="9" fontId="83" fillId="0" borderId="22" xfId="0" applyNumberFormat="1" applyFont="1" applyBorder="1" applyAlignment="1" applyProtection="1">
      <alignment horizontal="center" vertical="center" wrapText="1"/>
      <protection locked="0"/>
    </xf>
    <xf numFmtId="0" fontId="1" fillId="0" borderId="101"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101"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83" fillId="0" borderId="102" xfId="0" applyFont="1" applyBorder="1" applyAlignment="1" applyProtection="1">
      <alignment horizontal="center" vertical="center" wrapText="1"/>
      <protection locked="0"/>
    </xf>
    <xf numFmtId="9" fontId="83" fillId="0" borderId="102" xfId="0" applyNumberFormat="1" applyFont="1" applyBorder="1" applyAlignment="1" applyProtection="1">
      <alignment horizontal="center" vertical="center" wrapText="1"/>
      <protection locked="0"/>
    </xf>
    <xf numFmtId="9" fontId="83" fillId="0" borderId="101" xfId="0" applyNumberFormat="1" applyFont="1" applyBorder="1" applyAlignment="1" applyProtection="1">
      <alignment horizontal="center" vertical="center" wrapText="1"/>
      <protection hidden="1"/>
    </xf>
    <xf numFmtId="9" fontId="83" fillId="0" borderId="22" xfId="0" applyNumberFormat="1" applyFont="1" applyBorder="1" applyAlignment="1" applyProtection="1">
      <alignment horizontal="center" vertical="center" wrapText="1"/>
      <protection hidden="1"/>
    </xf>
    <xf numFmtId="9" fontId="83" fillId="0" borderId="102" xfId="0" applyNumberFormat="1" applyFont="1" applyBorder="1" applyAlignment="1" applyProtection="1">
      <alignment horizontal="center" vertical="center" wrapText="1"/>
      <protection hidden="1"/>
    </xf>
    <xf numFmtId="0" fontId="85" fillId="0" borderId="66" xfId="0" applyFont="1" applyBorder="1" applyAlignment="1">
      <alignment horizontal="left" vertical="center" wrapText="1"/>
    </xf>
    <xf numFmtId="0" fontId="85" fillId="0" borderId="65" xfId="0" applyFont="1" applyBorder="1" applyAlignment="1">
      <alignment horizontal="left" vertical="center" wrapText="1"/>
    </xf>
    <xf numFmtId="0" fontId="85" fillId="0" borderId="67" xfId="0" applyFont="1" applyBorder="1" applyAlignment="1">
      <alignment horizontal="left" vertical="center" wrapText="1"/>
    </xf>
    <xf numFmtId="0" fontId="84" fillId="0" borderId="21" xfId="0" applyFont="1" applyBorder="1" applyAlignment="1">
      <alignment horizontal="left" vertical="center" wrapText="1"/>
    </xf>
    <xf numFmtId="0" fontId="1" fillId="0" borderId="101" xfId="0" applyFont="1" applyBorder="1" applyAlignment="1" applyProtection="1">
      <alignment horizontal="justify" vertical="top" wrapText="1"/>
      <protection locked="0"/>
    </xf>
    <xf numFmtId="0" fontId="1" fillId="0" borderId="22" xfId="0" applyFont="1" applyBorder="1" applyAlignment="1" applyProtection="1">
      <alignment horizontal="justify" vertical="top" wrapText="1"/>
      <protection locked="0"/>
    </xf>
    <xf numFmtId="0" fontId="83" fillId="0" borderId="102" xfId="0" applyFont="1" applyBorder="1" applyAlignment="1">
      <alignment horizontal="center" vertical="center" wrapText="1"/>
    </xf>
    <xf numFmtId="0" fontId="1" fillId="0" borderId="100" xfId="0" applyFont="1" applyBorder="1" applyAlignment="1" applyProtection="1">
      <alignment horizontal="justify" vertical="top" wrapText="1"/>
      <protection locked="0"/>
    </xf>
    <xf numFmtId="0" fontId="1" fillId="0" borderId="28" xfId="0" applyFont="1" applyBorder="1" applyAlignment="1" applyProtection="1">
      <alignment horizontal="justify" vertical="top" wrapText="1"/>
      <protection locked="0"/>
    </xf>
    <xf numFmtId="0" fontId="1" fillId="0" borderId="83" xfId="0" applyFont="1" applyBorder="1" applyAlignment="1" applyProtection="1">
      <alignment horizontal="justify" vertical="top" wrapText="1"/>
      <protection locked="0"/>
    </xf>
    <xf numFmtId="0" fontId="1" fillId="0" borderId="102" xfId="0" applyFont="1" applyBorder="1" applyAlignment="1" applyProtection="1">
      <alignment horizontal="justify" vertical="top" wrapText="1"/>
      <protection locked="0"/>
    </xf>
    <xf numFmtId="0" fontId="1" fillId="0" borderId="100"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 fillId="28" borderId="101" xfId="0" applyFont="1" applyFill="1" applyBorder="1" applyAlignment="1" applyProtection="1">
      <alignment horizontal="center" vertical="center" wrapText="1"/>
      <protection locked="0"/>
    </xf>
    <xf numFmtId="0" fontId="1" fillId="28" borderId="22" xfId="0" applyFont="1" applyFill="1" applyBorder="1" applyAlignment="1" applyProtection="1">
      <alignment horizontal="center" vertical="center" wrapText="1"/>
      <protection locked="0"/>
    </xf>
    <xf numFmtId="0" fontId="86" fillId="0" borderId="102" xfId="0" applyFont="1" applyBorder="1" applyAlignment="1" applyProtection="1">
      <alignment horizontal="center" vertical="center" wrapText="1"/>
      <protection hidden="1"/>
    </xf>
    <xf numFmtId="0" fontId="83" fillId="0" borderId="102" xfId="0" applyFont="1" applyBorder="1" applyAlignment="1" applyProtection="1">
      <alignment horizontal="center" vertical="center" textRotation="90" wrapText="1"/>
      <protection locked="0"/>
    </xf>
    <xf numFmtId="14" fontId="1" fillId="0" borderId="101" xfId="0" applyNumberFormat="1" applyFont="1" applyBorder="1" applyAlignment="1" applyProtection="1">
      <alignment horizontal="center" vertical="center" wrapText="1"/>
      <protection locked="0"/>
    </xf>
    <xf numFmtId="14" fontId="1" fillId="0" borderId="22" xfId="0" applyNumberFormat="1" applyFont="1" applyBorder="1" applyAlignment="1" applyProtection="1">
      <alignment horizontal="center" vertical="center" wrapText="1"/>
      <protection locked="0"/>
    </xf>
    <xf numFmtId="14" fontId="83" fillId="17" borderId="101" xfId="0" applyNumberFormat="1" applyFont="1" applyFill="1" applyBorder="1" applyAlignment="1">
      <alignment horizontal="center" vertical="center" wrapText="1"/>
    </xf>
    <xf numFmtId="14" fontId="83" fillId="17" borderId="102" xfId="0" applyNumberFormat="1" applyFont="1" applyFill="1" applyBorder="1" applyAlignment="1">
      <alignment horizontal="center" vertical="center" wrapText="1"/>
    </xf>
    <xf numFmtId="14" fontId="83" fillId="17" borderId="22" xfId="0" applyNumberFormat="1" applyFont="1" applyFill="1" applyBorder="1" applyAlignment="1">
      <alignment horizontal="center" vertical="center" wrapText="1"/>
    </xf>
    <xf numFmtId="14" fontId="83" fillId="25" borderId="101" xfId="0" applyNumberFormat="1" applyFont="1" applyFill="1" applyBorder="1" applyAlignment="1" applyProtection="1">
      <alignment horizontal="center" vertical="center" wrapText="1"/>
      <protection locked="0"/>
    </xf>
    <xf numFmtId="14" fontId="83" fillId="25" borderId="102" xfId="0" applyNumberFormat="1" applyFont="1" applyFill="1" applyBorder="1" applyAlignment="1" applyProtection="1">
      <alignment horizontal="center" vertical="center" wrapText="1"/>
      <protection locked="0"/>
    </xf>
    <xf numFmtId="14" fontId="83" fillId="25" borderId="22" xfId="0" applyNumberFormat="1" applyFont="1" applyFill="1" applyBorder="1" applyAlignment="1" applyProtection="1">
      <alignment horizontal="center" vertical="center" wrapText="1"/>
      <protection locked="0"/>
    </xf>
    <xf numFmtId="14" fontId="1" fillId="0" borderId="102" xfId="0" applyNumberFormat="1" applyFont="1" applyBorder="1" applyAlignment="1" applyProtection="1">
      <alignment horizontal="center" vertical="center" wrapText="1"/>
      <protection locked="0"/>
    </xf>
    <xf numFmtId="0" fontId="58" fillId="0" borderId="0" xfId="0" applyFont="1" applyAlignment="1">
      <alignment horizontal="center" wrapText="1"/>
    </xf>
    <xf numFmtId="0" fontId="61" fillId="0" borderId="88" xfId="0" applyFont="1" applyBorder="1" applyAlignment="1">
      <alignment horizontal="center" vertical="center" wrapText="1"/>
    </xf>
    <xf numFmtId="0" fontId="61" fillId="0" borderId="12" xfId="0" applyFont="1" applyBorder="1" applyAlignment="1">
      <alignment horizontal="center" vertical="center" wrapText="1"/>
    </xf>
    <xf numFmtId="0" fontId="61" fillId="0" borderId="75" xfId="0" applyFont="1" applyBorder="1" applyAlignment="1">
      <alignment horizontal="center" vertical="center" wrapText="1"/>
    </xf>
    <xf numFmtId="0" fontId="61" fillId="0" borderId="71" xfId="0" applyFont="1" applyBorder="1" applyAlignment="1">
      <alignment horizontal="center" vertical="center" wrapText="1"/>
    </xf>
    <xf numFmtId="0" fontId="61" fillId="0" borderId="0" xfId="0" applyFont="1" applyAlignment="1">
      <alignment horizontal="center" vertical="center" wrapText="1"/>
    </xf>
    <xf numFmtId="0" fontId="61" fillId="0" borderId="72" xfId="0" applyFont="1" applyBorder="1" applyAlignment="1">
      <alignment horizontal="center" vertical="center" wrapText="1"/>
    </xf>
    <xf numFmtId="0" fontId="61" fillId="0" borderId="89"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78" xfId="0" applyFont="1" applyBorder="1" applyAlignment="1">
      <alignment horizontal="center" vertical="center" wrapText="1"/>
    </xf>
    <xf numFmtId="0" fontId="59" fillId="0" borderId="5" xfId="0" applyFont="1" applyBorder="1" applyAlignment="1">
      <alignment horizontal="center" wrapText="1"/>
    </xf>
    <xf numFmtId="0" fontId="59" fillId="0" borderId="6" xfId="0" applyFont="1" applyBorder="1" applyAlignment="1">
      <alignment horizontal="center" wrapText="1"/>
    </xf>
    <xf numFmtId="0" fontId="59" fillId="0" borderId="7" xfId="0" applyFont="1" applyBorder="1" applyAlignment="1">
      <alignment horizontal="center" wrapText="1"/>
    </xf>
    <xf numFmtId="0" fontId="59" fillId="0" borderId="8" xfId="0" applyFont="1" applyBorder="1" applyAlignment="1">
      <alignment horizontal="center" wrapText="1"/>
    </xf>
    <xf numFmtId="0" fontId="59" fillId="0" borderId="9" xfId="0" applyFont="1" applyBorder="1" applyAlignment="1">
      <alignment horizontal="center" wrapText="1"/>
    </xf>
    <xf numFmtId="0" fontId="59"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2" fillId="0" borderId="23" xfId="0" applyFont="1" applyBorder="1" applyAlignment="1">
      <alignment horizontal="left" vertical="center" wrapText="1"/>
    </xf>
    <xf numFmtId="0" fontId="62" fillId="0" borderId="35" xfId="0" applyFont="1" applyBorder="1" applyAlignment="1">
      <alignment horizontal="left" vertical="center" wrapText="1"/>
    </xf>
    <xf numFmtId="0" fontId="88" fillId="0" borderId="112" xfId="0" applyFont="1" applyBorder="1" applyAlignment="1">
      <alignment horizontal="center" wrapText="1"/>
    </xf>
    <xf numFmtId="0" fontId="88" fillId="0" borderId="113" xfId="0" applyFont="1" applyBorder="1" applyAlignment="1">
      <alignment horizontal="center" wrapText="1"/>
    </xf>
    <xf numFmtId="0" fontId="88" fillId="0" borderId="114" xfId="0" applyFont="1" applyBorder="1" applyAlignment="1">
      <alignment horizontal="center" wrapText="1"/>
    </xf>
    <xf numFmtId="0" fontId="61" fillId="0" borderId="94" xfId="0" applyFont="1" applyBorder="1" applyAlignment="1">
      <alignment horizontal="center" vertical="center" wrapText="1"/>
    </xf>
    <xf numFmtId="0" fontId="61" fillId="0" borderId="90" xfId="0" applyFont="1" applyBorder="1" applyAlignment="1">
      <alignment horizontal="center" vertical="center" wrapText="1"/>
    </xf>
    <xf numFmtId="0" fontId="61" fillId="0" borderId="93" xfId="0" applyFont="1" applyBorder="1" applyAlignment="1">
      <alignment horizontal="center" vertical="center" wrapText="1"/>
    </xf>
    <xf numFmtId="0" fontId="57" fillId="18" borderId="94" xfId="0" applyFont="1" applyFill="1" applyBorder="1" applyAlignment="1">
      <alignment horizontal="center" vertical="center"/>
    </xf>
    <xf numFmtId="0" fontId="57" fillId="18" borderId="90" xfId="0" applyFont="1" applyFill="1" applyBorder="1" applyAlignment="1">
      <alignment horizontal="center" vertical="center"/>
    </xf>
    <xf numFmtId="0" fontId="57" fillId="18" borderId="93" xfId="0" applyFont="1" applyFill="1" applyBorder="1" applyAlignment="1">
      <alignment horizontal="center" vertical="center"/>
    </xf>
    <xf numFmtId="0" fontId="67" fillId="18" borderId="5" xfId="0" applyFont="1" applyFill="1" applyBorder="1" applyAlignment="1">
      <alignment horizontal="center" vertical="center"/>
    </xf>
    <xf numFmtId="0" fontId="67" fillId="18" borderId="6" xfId="0" applyFont="1" applyFill="1" applyBorder="1" applyAlignment="1">
      <alignment horizontal="center" vertical="center"/>
    </xf>
    <xf numFmtId="0" fontId="67" fillId="18" borderId="9" xfId="0" applyFont="1" applyFill="1" applyBorder="1" applyAlignment="1">
      <alignment horizontal="center" vertical="center"/>
    </xf>
    <xf numFmtId="0" fontId="67" fillId="18" borderId="10" xfId="0" applyFont="1" applyFill="1" applyBorder="1" applyAlignment="1">
      <alignment horizontal="center" vertical="center"/>
    </xf>
    <xf numFmtId="0" fontId="67" fillId="19" borderId="9" xfId="0" applyFont="1" applyFill="1" applyBorder="1" applyAlignment="1">
      <alignment horizontal="center" vertical="center"/>
    </xf>
    <xf numFmtId="0" fontId="67" fillId="19" borderId="10" xfId="0" applyFont="1" applyFill="1" applyBorder="1" applyAlignment="1">
      <alignment horizontal="center" vertical="center"/>
    </xf>
    <xf numFmtId="0" fontId="67" fillId="18" borderId="5" xfId="0" applyFont="1" applyFill="1" applyBorder="1" applyAlignment="1">
      <alignment horizontal="center" vertical="center" wrapText="1"/>
    </xf>
    <xf numFmtId="0" fontId="67" fillId="18" borderId="6" xfId="0" applyFont="1" applyFill="1" applyBorder="1" applyAlignment="1">
      <alignment horizontal="center" vertical="center" wrapText="1"/>
    </xf>
    <xf numFmtId="0" fontId="67" fillId="18" borderId="9" xfId="0" applyFont="1" applyFill="1" applyBorder="1" applyAlignment="1">
      <alignment horizontal="center" vertical="center" wrapText="1"/>
    </xf>
    <xf numFmtId="0" fontId="67"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3" fillId="20" borderId="91" xfId="0" applyFont="1" applyFill="1" applyBorder="1" applyAlignment="1">
      <alignment horizontal="center" vertical="center" wrapText="1"/>
    </xf>
    <xf numFmtId="0" fontId="73" fillId="20" borderId="100" xfId="0" applyFont="1" applyFill="1" applyBorder="1" applyAlignment="1">
      <alignment horizontal="center" vertical="center" wrapText="1"/>
    </xf>
    <xf numFmtId="0" fontId="73" fillId="20" borderId="25" xfId="0" applyFont="1" applyFill="1" applyBorder="1" applyAlignment="1">
      <alignment horizontal="center" vertical="center" wrapText="1"/>
    </xf>
    <xf numFmtId="0" fontId="73"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4" fillId="0" borderId="5" xfId="0" applyFont="1" applyBorder="1" applyAlignment="1">
      <alignment horizontal="center" wrapText="1"/>
    </xf>
    <xf numFmtId="0" fontId="64" fillId="0" borderId="12" xfId="0" applyFont="1" applyBorder="1" applyAlignment="1">
      <alignment horizontal="center" wrapText="1"/>
    </xf>
    <xf numFmtId="0" fontId="64" fillId="0" borderId="6" xfId="0" applyFont="1" applyBorder="1" applyAlignment="1">
      <alignment horizontal="center" wrapText="1"/>
    </xf>
    <xf numFmtId="0" fontId="64" fillId="0" borderId="7" xfId="0" applyFont="1" applyBorder="1" applyAlignment="1">
      <alignment horizontal="center" wrapText="1"/>
    </xf>
    <xf numFmtId="0" fontId="64" fillId="0" borderId="0" xfId="0" applyFont="1" applyAlignment="1">
      <alignment horizontal="center" wrapText="1"/>
    </xf>
    <xf numFmtId="0" fontId="64" fillId="0" borderId="8" xfId="0" applyFont="1" applyBorder="1" applyAlignment="1">
      <alignment horizontal="center" wrapText="1"/>
    </xf>
    <xf numFmtId="0" fontId="64" fillId="0" borderId="9" xfId="0" applyFont="1" applyBorder="1" applyAlignment="1">
      <alignment horizontal="center" wrapText="1"/>
    </xf>
    <xf numFmtId="0" fontId="64" fillId="0" borderId="11" xfId="0" applyFont="1" applyBorder="1" applyAlignment="1">
      <alignment horizontal="center" wrapText="1"/>
    </xf>
    <xf numFmtId="0" fontId="64"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58"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59" fillId="0" borderId="95" xfId="0" applyFont="1" applyBorder="1" applyAlignment="1">
      <alignment horizontal="center" wrapText="1"/>
    </xf>
    <xf numFmtId="0" fontId="63" fillId="0" borderId="86" xfId="0" applyFont="1" applyBorder="1" applyAlignment="1">
      <alignment horizontal="center" wrapText="1"/>
    </xf>
    <xf numFmtId="0" fontId="63" fillId="0" borderId="97" xfId="0" applyFont="1" applyBorder="1" applyAlignment="1">
      <alignment horizontal="center" wrapText="1"/>
    </xf>
    <xf numFmtId="0" fontId="61" fillId="0" borderId="5"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9" xfId="0" applyFont="1" applyBorder="1" applyAlignment="1">
      <alignment horizontal="center" vertical="center" wrapText="1"/>
    </xf>
    <xf numFmtId="0" fontId="73"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4" fillId="0" borderId="69" xfId="0" applyFont="1" applyBorder="1" applyAlignment="1">
      <alignment horizontal="center" wrapText="1"/>
    </xf>
    <xf numFmtId="0" fontId="63" fillId="0" borderId="70" xfId="0" applyFont="1" applyBorder="1" applyAlignment="1">
      <alignment horizontal="center" wrapText="1"/>
    </xf>
    <xf numFmtId="0" fontId="63" fillId="0" borderId="73" xfId="0" applyFont="1" applyBorder="1" applyAlignment="1">
      <alignment horizontal="center" wrapText="1"/>
    </xf>
    <xf numFmtId="0" fontId="66" fillId="0" borderId="5"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0" xfId="0" applyFont="1" applyAlignment="1">
      <alignment horizontal="center" vertical="center" wrapText="1"/>
    </xf>
    <xf numFmtId="0" fontId="66" fillId="0" borderId="9" xfId="0" applyFont="1" applyBorder="1" applyAlignment="1">
      <alignment horizontal="center" vertical="center" wrapText="1"/>
    </xf>
    <xf numFmtId="0" fontId="66" fillId="0" borderId="11" xfId="0" applyFont="1" applyBorder="1" applyAlignment="1">
      <alignment horizontal="center" vertical="center" wrapText="1"/>
    </xf>
    <xf numFmtId="0" fontId="67" fillId="16" borderId="32" xfId="0" applyFont="1" applyFill="1" applyBorder="1" applyAlignment="1">
      <alignment horizontal="center" vertical="center" wrapText="1"/>
    </xf>
    <xf numFmtId="0" fontId="67" fillId="16" borderId="33" xfId="0" applyFont="1" applyFill="1" applyBorder="1" applyAlignment="1">
      <alignment horizontal="center" vertical="center" wrapText="1"/>
    </xf>
    <xf numFmtId="0" fontId="67" fillId="16" borderId="80" xfId="0" applyFont="1" applyFill="1" applyBorder="1" applyAlignment="1">
      <alignment horizontal="center" vertical="center" wrapText="1"/>
    </xf>
    <xf numFmtId="0" fontId="67" fillId="16" borderId="81" xfId="0" applyFont="1" applyFill="1" applyBorder="1" applyAlignment="1">
      <alignment horizontal="center" vertical="center" wrapText="1"/>
    </xf>
    <xf numFmtId="0" fontId="67" fillId="16" borderId="24" xfId="0" applyFont="1" applyFill="1" applyBorder="1" applyAlignment="1">
      <alignment horizontal="center" vertical="center" wrapText="1"/>
    </xf>
    <xf numFmtId="0" fontId="67" fillId="16" borderId="35" xfId="0" applyFont="1" applyFill="1" applyBorder="1" applyAlignment="1">
      <alignment horizontal="center" vertical="center" wrapText="1"/>
    </xf>
    <xf numFmtId="165" fontId="62" fillId="0" borderId="23" xfId="0" applyNumberFormat="1" applyFont="1" applyBorder="1" applyAlignment="1">
      <alignment horizontal="center" vertical="center"/>
    </xf>
    <xf numFmtId="165" fontId="62" fillId="0" borderId="35" xfId="0" applyNumberFormat="1" applyFont="1" applyBorder="1" applyAlignment="1">
      <alignment horizontal="center" vertical="center"/>
    </xf>
    <xf numFmtId="0" fontId="62" fillId="0" borderId="81" xfId="0" applyFont="1" applyBorder="1" applyAlignment="1">
      <alignment horizontal="center" vertical="center" wrapText="1"/>
    </xf>
    <xf numFmtId="0" fontId="62" fillId="0" borderId="33" xfId="0" applyFont="1" applyBorder="1" applyAlignment="1">
      <alignment horizontal="center" vertical="center" wrapText="1"/>
    </xf>
    <xf numFmtId="0" fontId="62" fillId="0" borderId="33" xfId="0" applyFont="1" applyBorder="1" applyAlignment="1">
      <alignment horizontal="left" vertical="center" wrapText="1"/>
    </xf>
    <xf numFmtId="0" fontId="62" fillId="0" borderId="34" xfId="0" applyFont="1" applyBorder="1" applyAlignment="1">
      <alignment horizontal="left" vertical="center" wrapText="1"/>
    </xf>
    <xf numFmtId="0" fontId="68" fillId="0" borderId="0" xfId="0" applyFont="1" applyAlignment="1">
      <alignment horizontal="center" vertical="center"/>
    </xf>
    <xf numFmtId="0" fontId="69" fillId="16" borderId="82" xfId="0" applyFont="1" applyFill="1" applyBorder="1" applyAlignment="1">
      <alignment horizontal="center" vertical="center" wrapText="1"/>
    </xf>
    <xf numFmtId="0" fontId="69" fillId="16" borderId="83" xfId="0" applyFont="1" applyFill="1" applyBorder="1" applyAlignment="1">
      <alignment horizontal="center" vertical="center" wrapText="1"/>
    </xf>
    <xf numFmtId="0" fontId="69" fillId="16" borderId="84" xfId="0" applyFont="1" applyFill="1" applyBorder="1" applyAlignment="1">
      <alignment horizontal="center" vertical="center" wrapText="1"/>
    </xf>
    <xf numFmtId="0" fontId="69" fillId="16" borderId="5" xfId="0" applyFont="1" applyFill="1" applyBorder="1" applyAlignment="1">
      <alignment horizontal="center" vertical="center" wrapText="1"/>
    </xf>
    <xf numFmtId="0" fontId="69" fillId="16" borderId="12" xfId="0" applyFont="1" applyFill="1" applyBorder="1" applyAlignment="1">
      <alignment horizontal="center" vertical="center" wrapText="1"/>
    </xf>
    <xf numFmtId="0" fontId="69" fillId="16" borderId="6" xfId="0" applyFont="1" applyFill="1" applyBorder="1" applyAlignment="1">
      <alignment horizontal="center" vertical="center" wrapText="1"/>
    </xf>
    <xf numFmtId="0" fontId="69" fillId="16" borderId="75" xfId="0" applyFont="1" applyFill="1" applyBorder="1" applyAlignment="1">
      <alignment horizontal="center" vertical="center" wrapText="1"/>
    </xf>
    <xf numFmtId="0" fontId="69" fillId="16" borderId="76" xfId="0" applyFont="1" applyFill="1" applyBorder="1" applyAlignment="1">
      <alignment horizontal="center" vertical="center" wrapText="1"/>
    </xf>
    <xf numFmtId="0" fontId="70" fillId="0" borderId="5" xfId="0" applyFont="1" applyBorder="1" applyAlignment="1">
      <alignment horizontal="center" vertical="center" wrapText="1"/>
    </xf>
    <xf numFmtId="0" fontId="70" fillId="0" borderId="12" xfId="0" applyFont="1" applyBorder="1" applyAlignment="1">
      <alignment horizontal="center" vertical="center" wrapText="1"/>
    </xf>
    <xf numFmtId="0" fontId="62" fillId="0" borderId="12" xfId="0" applyFont="1" applyBorder="1" applyAlignment="1">
      <alignment horizontal="center"/>
    </xf>
    <xf numFmtId="0" fontId="62" fillId="0" borderId="6" xfId="0" applyFont="1" applyBorder="1" applyAlignment="1">
      <alignment horizontal="center"/>
    </xf>
    <xf numFmtId="0" fontId="72" fillId="0" borderId="0" xfId="0" applyFont="1" applyAlignment="1">
      <alignment horizontal="left" wrapText="1"/>
    </xf>
    <xf numFmtId="0" fontId="70" fillId="0" borderId="7" xfId="0" applyFont="1" applyBorder="1" applyAlignment="1">
      <alignment horizontal="center" vertical="center" wrapText="1"/>
    </xf>
    <xf numFmtId="0" fontId="71" fillId="0" borderId="0" xfId="0" applyFont="1" applyAlignment="1">
      <alignment horizontal="center" vertical="center" wrapText="1"/>
    </xf>
    <xf numFmtId="0" fontId="70" fillId="0" borderId="0" xfId="0" applyFont="1" applyAlignment="1">
      <alignment horizontal="center" vertical="center" wrapText="1"/>
    </xf>
    <xf numFmtId="0" fontId="70" fillId="0" borderId="8" xfId="0" applyFont="1" applyBorder="1" applyAlignment="1">
      <alignment horizontal="center" vertical="center" wrapText="1"/>
    </xf>
    <xf numFmtId="0" fontId="62" fillId="0" borderId="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11" xfId="0" applyFont="1" applyBorder="1" applyAlignment="1">
      <alignment horizontal="center"/>
    </xf>
    <xf numFmtId="0" fontId="63" fillId="0" borderId="23" xfId="0" applyFont="1" applyBorder="1" applyAlignment="1">
      <alignment horizontal="center" vertical="center" wrapText="1"/>
    </xf>
    <xf numFmtId="0" fontId="63" fillId="0" borderId="24" xfId="0" applyFont="1" applyBorder="1" applyAlignment="1">
      <alignment horizontal="center" vertical="center" wrapText="1"/>
    </xf>
    <xf numFmtId="0" fontId="63"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83" fillId="0" borderId="0" xfId="0" applyFont="1"/>
    <xf numFmtId="0" fontId="83" fillId="0" borderId="0" xfId="0" applyFont="1" applyAlignment="1">
      <alignment horizontal="center" vertical="center"/>
    </xf>
    <xf numFmtId="0" fontId="83" fillId="0" borderId="0" xfId="0" applyFont="1" applyAlignment="1">
      <alignment horizontal="center"/>
    </xf>
    <xf numFmtId="0" fontId="89" fillId="0" borderId="95" xfId="0" applyFont="1" applyBorder="1" applyAlignment="1">
      <alignment horizontal="center" vertical="center" wrapText="1"/>
    </xf>
    <xf numFmtId="0" fontId="89" fillId="0" borderId="96" xfId="0" applyFont="1" applyBorder="1" applyAlignment="1">
      <alignment horizontal="center" vertical="center" wrapText="1"/>
    </xf>
    <xf numFmtId="0" fontId="89" fillId="0" borderId="110" xfId="0" applyFont="1" applyBorder="1" applyAlignment="1">
      <alignment horizontal="center" vertical="center" wrapText="1"/>
    </xf>
    <xf numFmtId="0" fontId="90" fillId="0" borderId="21" xfId="0" applyFont="1" applyBorder="1" applyAlignment="1" applyProtection="1">
      <alignment horizontal="center" vertical="center"/>
      <protection locked="0"/>
    </xf>
    <xf numFmtId="0" fontId="89" fillId="0" borderId="86" xfId="0" applyFont="1" applyBorder="1" applyAlignment="1">
      <alignment horizontal="center" vertical="center" wrapText="1"/>
    </xf>
    <xf numFmtId="0" fontId="89" fillId="0" borderId="0" xfId="0" applyFont="1" applyAlignment="1">
      <alignment horizontal="center" vertical="center" wrapText="1"/>
    </xf>
    <xf numFmtId="0" fontId="89" fillId="0" borderId="72" xfId="0" applyFont="1" applyBorder="1" applyAlignment="1">
      <alignment horizontal="center" vertical="center" wrapText="1"/>
    </xf>
    <xf numFmtId="0" fontId="89" fillId="0" borderId="97" xfId="0" applyFont="1" applyBorder="1" applyAlignment="1">
      <alignment horizontal="center" vertical="center" wrapText="1"/>
    </xf>
    <xf numFmtId="0" fontId="89" fillId="0" borderId="98" xfId="0" applyFont="1" applyBorder="1" applyAlignment="1">
      <alignment horizontal="center" vertical="center" wrapText="1"/>
    </xf>
    <xf numFmtId="0" fontId="89" fillId="0" borderId="111" xfId="0" applyFont="1" applyBorder="1" applyAlignment="1">
      <alignment horizontal="center" vertical="center" wrapText="1"/>
    </xf>
    <xf numFmtId="0" fontId="56" fillId="0" borderId="63" xfId="0" applyFont="1" applyBorder="1" applyAlignment="1" applyProtection="1">
      <alignment horizontal="center" wrapText="1"/>
      <protection locked="0"/>
    </xf>
    <xf numFmtId="0" fontId="56" fillId="0" borderId="57" xfId="0" applyFont="1" applyBorder="1" applyAlignment="1" applyProtection="1">
      <alignment horizontal="center" wrapText="1"/>
      <protection locked="0"/>
    </xf>
    <xf numFmtId="0" fontId="90" fillId="0" borderId="57" xfId="0" applyFont="1" applyBorder="1" applyAlignment="1" applyProtection="1">
      <alignment horizontal="center" vertical="center"/>
      <protection locked="0"/>
    </xf>
    <xf numFmtId="0" fontId="82" fillId="16" borderId="66" xfId="0" applyFont="1" applyFill="1" applyBorder="1" applyAlignment="1">
      <alignment horizontal="left" vertical="center"/>
    </xf>
    <xf numFmtId="0" fontId="82" fillId="16" borderId="65" xfId="0" applyFont="1" applyFill="1" applyBorder="1" applyAlignment="1">
      <alignment horizontal="left" vertical="center"/>
    </xf>
    <xf numFmtId="0" fontId="82" fillId="16" borderId="67" xfId="0" applyFont="1" applyFill="1" applyBorder="1" applyAlignment="1">
      <alignment horizontal="left" vertical="center"/>
    </xf>
    <xf numFmtId="0" fontId="83" fillId="3" borderId="0" xfId="0" applyFont="1" applyFill="1"/>
    <xf numFmtId="0" fontId="82" fillId="3" borderId="66" xfId="0" applyFont="1" applyFill="1" applyBorder="1" applyAlignment="1">
      <alignment horizontal="center" vertical="center"/>
    </xf>
    <xf numFmtId="0" fontId="82" fillId="3" borderId="67" xfId="0" applyFont="1" applyFill="1" applyBorder="1" applyAlignment="1">
      <alignment horizontal="center" vertical="center"/>
    </xf>
    <xf numFmtId="0" fontId="82" fillId="3" borderId="65" xfId="0" applyFont="1" applyFill="1" applyBorder="1" applyAlignment="1">
      <alignment horizontal="center" vertical="center"/>
    </xf>
    <xf numFmtId="0" fontId="82" fillId="3" borderId="57" xfId="0" applyFont="1" applyFill="1" applyBorder="1" applyAlignment="1">
      <alignment horizontal="center" vertical="center"/>
    </xf>
    <xf numFmtId="0" fontId="82" fillId="3" borderId="0" xfId="0" applyFont="1" applyFill="1" applyAlignment="1">
      <alignment horizontal="center" vertical="center"/>
    </xf>
    <xf numFmtId="0" fontId="82" fillId="3" borderId="40" xfId="0" applyFont="1" applyFill="1" applyBorder="1" applyAlignment="1">
      <alignment vertical="center"/>
    </xf>
    <xf numFmtId="0" fontId="86" fillId="0" borderId="0" xfId="0" applyFont="1" applyAlignment="1">
      <alignment horizontal="center"/>
    </xf>
    <xf numFmtId="0" fontId="86" fillId="0" borderId="72" xfId="0" applyFont="1" applyBorder="1" applyAlignment="1">
      <alignment horizontal="center"/>
    </xf>
    <xf numFmtId="0" fontId="56" fillId="16" borderId="66" xfId="0" applyFont="1" applyFill="1" applyBorder="1" applyAlignment="1">
      <alignment horizontal="center" vertical="center"/>
    </xf>
    <xf numFmtId="0" fontId="56" fillId="16" borderId="65" xfId="0" applyFont="1" applyFill="1" applyBorder="1" applyAlignment="1">
      <alignment horizontal="center" vertical="center"/>
    </xf>
    <xf numFmtId="0" fontId="56" fillId="16" borderId="107" xfId="0" applyFont="1" applyFill="1" applyBorder="1" applyAlignment="1">
      <alignment horizontal="center" vertical="center"/>
    </xf>
    <xf numFmtId="0" fontId="56" fillId="16" borderId="104" xfId="0" applyFont="1" applyFill="1" applyBorder="1" applyAlignment="1">
      <alignment horizontal="center" vertical="center" wrapText="1"/>
    </xf>
    <xf numFmtId="0" fontId="56" fillId="18" borderId="67" xfId="0" applyFont="1" applyFill="1" applyBorder="1" applyAlignment="1">
      <alignment horizontal="center" vertical="center" wrapText="1"/>
    </xf>
    <xf numFmtId="0" fontId="56" fillId="18" borderId="21" xfId="0" applyFont="1" applyFill="1" applyBorder="1" applyAlignment="1">
      <alignment horizontal="center" vertical="center" wrapText="1"/>
    </xf>
    <xf numFmtId="0" fontId="56" fillId="16" borderId="99" xfId="0" applyFont="1" applyFill="1" applyBorder="1" applyAlignment="1">
      <alignment horizontal="center" vertical="center" wrapText="1"/>
    </xf>
    <xf numFmtId="0" fontId="56" fillId="16" borderId="105" xfId="0" applyFont="1" applyFill="1" applyBorder="1" applyAlignment="1">
      <alignment horizontal="center" vertical="center" wrapText="1"/>
    </xf>
    <xf numFmtId="0" fontId="56" fillId="16" borderId="21" xfId="0" applyFont="1" applyFill="1" applyBorder="1" applyAlignment="1">
      <alignment horizontal="center" vertical="center"/>
    </xf>
    <xf numFmtId="0" fontId="56" fillId="16" borderId="22" xfId="0" applyFont="1" applyFill="1" applyBorder="1" applyAlignment="1">
      <alignment horizontal="center" vertical="center"/>
    </xf>
    <xf numFmtId="0" fontId="56" fillId="16" borderId="101" xfId="0" applyFont="1" applyFill="1" applyBorder="1" applyAlignment="1">
      <alignment horizontal="center" vertical="center" textRotation="90"/>
    </xf>
    <xf numFmtId="0" fontId="56" fillId="16" borderId="63" xfId="0" applyFont="1" applyFill="1" applyBorder="1" applyAlignment="1">
      <alignment horizontal="center" vertical="center"/>
    </xf>
    <xf numFmtId="0" fontId="56" fillId="16" borderId="63" xfId="0" applyFont="1" applyFill="1" applyBorder="1" applyAlignment="1">
      <alignment horizontal="center" vertical="center" wrapText="1"/>
    </xf>
    <xf numFmtId="0" fontId="56" fillId="16" borderId="106" xfId="0" applyFont="1" applyFill="1" applyBorder="1" applyAlignment="1">
      <alignment horizontal="center" vertical="center" wrapText="1"/>
    </xf>
    <xf numFmtId="0" fontId="56" fillId="16" borderId="21" xfId="0" applyFont="1" applyFill="1" applyBorder="1" applyAlignment="1">
      <alignment horizontal="center" vertical="center" textRotation="90"/>
    </xf>
    <xf numFmtId="0" fontId="56" fillId="16" borderId="21" xfId="0" applyFont="1" applyFill="1" applyBorder="1" applyAlignment="1">
      <alignment horizontal="center" vertical="center" wrapText="1"/>
    </xf>
    <xf numFmtId="0" fontId="56" fillId="16" borderId="101" xfId="0" applyFont="1" applyFill="1" applyBorder="1" applyAlignment="1">
      <alignment horizontal="center" vertical="center"/>
    </xf>
    <xf numFmtId="0" fontId="56" fillId="16" borderId="101" xfId="0" applyFont="1" applyFill="1" applyBorder="1" applyAlignment="1">
      <alignment horizontal="center" vertical="center" wrapText="1"/>
    </xf>
    <xf numFmtId="0" fontId="91" fillId="16" borderId="66" xfId="0" applyFont="1" applyFill="1" applyBorder="1" applyAlignment="1">
      <alignment horizontal="center" vertical="center" wrapText="1"/>
    </xf>
    <xf numFmtId="0" fontId="91" fillId="16" borderId="67" xfId="0" applyFont="1" applyFill="1" applyBorder="1" applyAlignment="1">
      <alignment horizontal="center" vertical="center" wrapText="1"/>
    </xf>
    <xf numFmtId="0" fontId="56" fillId="16" borderId="21" xfId="0" applyFont="1" applyFill="1" applyBorder="1" applyAlignment="1">
      <alignment horizontal="center" vertical="center" textRotation="90" wrapText="1"/>
    </xf>
    <xf numFmtId="0" fontId="56" fillId="16" borderId="102" xfId="0" applyFont="1" applyFill="1" applyBorder="1" applyAlignment="1">
      <alignment horizontal="center" vertical="center" textRotation="90"/>
    </xf>
    <xf numFmtId="0" fontId="86" fillId="3" borderId="0" xfId="0" applyFont="1" applyFill="1" applyAlignment="1">
      <alignment horizontal="center" vertical="center"/>
    </xf>
    <xf numFmtId="0" fontId="56" fillId="16" borderId="22" xfId="0" applyFont="1" applyFill="1" applyBorder="1" applyAlignment="1">
      <alignment horizontal="center" vertical="center" wrapText="1"/>
    </xf>
    <xf numFmtId="0" fontId="91" fillId="16" borderId="21" xfId="0" applyFont="1" applyFill="1" applyBorder="1" applyAlignment="1">
      <alignment horizontal="center" vertical="center" wrapText="1"/>
    </xf>
    <xf numFmtId="0" fontId="56" fillId="16" borderId="21" xfId="0" applyFont="1" applyFill="1" applyBorder="1" applyAlignment="1">
      <alignment horizontal="center" vertical="center" textRotation="90"/>
    </xf>
    <xf numFmtId="0" fontId="56" fillId="16" borderId="22" xfId="0" applyFont="1" applyFill="1" applyBorder="1" applyAlignment="1">
      <alignment horizontal="center" vertical="center" textRotation="90"/>
    </xf>
    <xf numFmtId="0" fontId="86" fillId="2" borderId="0" xfId="0" applyFont="1" applyFill="1" applyAlignment="1">
      <alignment horizontal="center" vertical="center"/>
    </xf>
    <xf numFmtId="14" fontId="92" fillId="17" borderId="21" xfId="5" applyNumberFormat="1" applyFont="1" applyFill="1" applyBorder="1" applyAlignment="1">
      <alignment horizontal="center" vertical="center" wrapText="1"/>
    </xf>
    <xf numFmtId="14" fontId="92" fillId="3" borderId="0" xfId="5" applyNumberFormat="1" applyFont="1" applyFill="1" applyAlignment="1">
      <alignment horizontal="center" vertical="center" wrapText="1"/>
    </xf>
    <xf numFmtId="0" fontId="92" fillId="17" borderId="21" xfId="5" applyFont="1" applyFill="1" applyBorder="1" applyAlignment="1">
      <alignment horizontal="center" vertical="center" wrapText="1"/>
    </xf>
    <xf numFmtId="0" fontId="92" fillId="3" borderId="0" xfId="5" applyFont="1" applyFill="1" applyAlignment="1">
      <alignment horizontal="center" vertical="center" wrapText="1"/>
    </xf>
    <xf numFmtId="0" fontId="83" fillId="17" borderId="21" xfId="0" applyFont="1" applyFill="1" applyBorder="1" applyAlignment="1" applyProtection="1">
      <alignment horizontal="center" vertical="center" wrapText="1"/>
      <protection locked="0"/>
    </xf>
    <xf numFmtId="0" fontId="86" fillId="0" borderId="102" xfId="0" applyFont="1" applyBorder="1" applyAlignment="1">
      <alignment horizontal="center" vertical="center" wrapText="1"/>
    </xf>
    <xf numFmtId="0" fontId="83" fillId="0" borderId="3" xfId="0" applyFont="1" applyBorder="1" applyAlignment="1">
      <alignment horizontal="center" vertical="center"/>
    </xf>
    <xf numFmtId="0" fontId="83" fillId="0" borderId="2" xfId="0" applyFont="1" applyBorder="1" applyAlignment="1">
      <alignment horizontal="center" vertical="center"/>
    </xf>
    <xf numFmtId="0" fontId="83" fillId="0" borderId="64" xfId="0" applyFont="1" applyBorder="1" applyAlignment="1">
      <alignment horizontal="left" vertical="center" wrapText="1"/>
    </xf>
    <xf numFmtId="0" fontId="83" fillId="0" borderId="0" xfId="0" applyFont="1" applyAlignment="1">
      <alignment horizontal="center" wrapText="1"/>
    </xf>
    <xf numFmtId="0" fontId="83" fillId="0" borderId="0" xfId="0" applyFont="1" applyAlignment="1">
      <alignment wrapText="1"/>
    </xf>
    <xf numFmtId="0" fontId="93" fillId="0" borderId="0" xfId="0" applyFont="1" applyAlignment="1">
      <alignment horizontal="center"/>
    </xf>
    <xf numFmtId="0" fontId="83" fillId="0" borderId="0" xfId="0" applyFont="1" applyAlignment="1">
      <alignment vertical="center"/>
    </xf>
    <xf numFmtId="0" fontId="85" fillId="0" borderId="68" xfId="0" applyFont="1" applyBorder="1" applyAlignment="1">
      <alignment horizontal="center" vertical="center" wrapText="1"/>
    </xf>
    <xf numFmtId="0" fontId="84" fillId="0" borderId="68" xfId="0" applyFont="1" applyBorder="1" applyAlignment="1">
      <alignment horizontal="center" vertical="center" wrapText="1"/>
    </xf>
    <xf numFmtId="0" fontId="84" fillId="0" borderId="68" xfId="0" applyFont="1" applyBorder="1" applyAlignment="1">
      <alignment horizontal="center" vertical="center" wrapText="1"/>
    </xf>
    <xf numFmtId="0" fontId="84" fillId="0" borderId="0" xfId="0" applyFont="1" applyAlignment="1">
      <alignment vertical="center" wrapText="1"/>
    </xf>
    <xf numFmtId="0" fontId="84" fillId="0" borderId="0" xfId="0" applyFont="1" applyAlignment="1">
      <alignment horizontal="center" vertical="center" wrapText="1"/>
    </xf>
    <xf numFmtId="0" fontId="13" fillId="0" borderId="103" xfId="0" applyFont="1" applyBorder="1" applyAlignment="1">
      <alignment horizontal="left" wrapText="1"/>
    </xf>
    <xf numFmtId="0" fontId="13" fillId="0" borderId="103" xfId="0" applyFont="1" applyBorder="1" applyAlignment="1">
      <alignment horizontal="left"/>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4315" y="1824789"/>
          <a:ext cx="8392027" cy="4010527"/>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42578125" defaultRowHeight="15" x14ac:dyDescent="0.25"/>
  <cols>
    <col min="1" max="1" width="3.7109375" style="68" customWidth="1"/>
    <col min="2" max="2" width="16.7109375" customWidth="1"/>
    <col min="3" max="3" width="25" customWidth="1"/>
    <col min="4" max="12" width="10.7109375" customWidth="1"/>
    <col min="13" max="13" width="13.28515625" customWidth="1"/>
    <col min="14" max="14" width="15.5703125" customWidth="1"/>
    <col min="15" max="16384" width="11.42578125" style="68"/>
  </cols>
  <sheetData>
    <row r="1" spans="2:14" ht="12.75" customHeight="1" thickBot="1" x14ac:dyDescent="0.3">
      <c r="B1" s="68"/>
      <c r="C1" s="68"/>
      <c r="D1" s="68"/>
      <c r="E1" s="68"/>
      <c r="F1" s="68"/>
      <c r="G1" s="68"/>
      <c r="H1" s="68"/>
      <c r="I1" s="68"/>
      <c r="J1" s="68"/>
      <c r="K1" s="68"/>
      <c r="L1" s="68"/>
      <c r="M1" s="68"/>
      <c r="N1" s="68"/>
    </row>
    <row r="2" spans="2:14" ht="18.75" customHeight="1" x14ac:dyDescent="0.25">
      <c r="B2" s="261" t="s">
        <v>0</v>
      </c>
      <c r="C2" s="262"/>
      <c r="D2" s="252" t="s">
        <v>1</v>
      </c>
      <c r="E2" s="253"/>
      <c r="F2" s="253"/>
      <c r="G2" s="253"/>
      <c r="H2" s="253"/>
      <c r="I2" s="253"/>
      <c r="J2" s="253"/>
      <c r="K2" s="253"/>
      <c r="L2" s="254"/>
      <c r="M2" s="267" t="s">
        <v>2</v>
      </c>
      <c r="N2" s="268"/>
    </row>
    <row r="3" spans="2:14" ht="15.75" customHeight="1" x14ac:dyDescent="0.25">
      <c r="B3" s="263"/>
      <c r="C3" s="264"/>
      <c r="D3" s="255"/>
      <c r="E3" s="256"/>
      <c r="F3" s="256"/>
      <c r="G3" s="256"/>
      <c r="H3" s="256"/>
      <c r="I3" s="256"/>
      <c r="J3" s="256"/>
      <c r="K3" s="256"/>
      <c r="L3" s="257"/>
      <c r="M3" s="269" t="s">
        <v>3</v>
      </c>
      <c r="N3" s="270"/>
    </row>
    <row r="4" spans="2:14" ht="18.75" customHeight="1" x14ac:dyDescent="0.25">
      <c r="B4" s="263"/>
      <c r="C4" s="264"/>
      <c r="D4" s="255"/>
      <c r="E4" s="256"/>
      <c r="F4" s="256"/>
      <c r="G4" s="256"/>
      <c r="H4" s="256"/>
      <c r="I4" s="256"/>
      <c r="J4" s="256"/>
      <c r="K4" s="256"/>
      <c r="L4" s="257"/>
      <c r="M4" s="269" t="s">
        <v>4</v>
      </c>
      <c r="N4" s="270"/>
    </row>
    <row r="5" spans="2:14" ht="29.25" customHeight="1" thickBot="1" x14ac:dyDescent="0.3">
      <c r="B5" s="265"/>
      <c r="C5" s="266"/>
      <c r="D5" s="258"/>
      <c r="E5" s="259"/>
      <c r="F5" s="259"/>
      <c r="G5" s="259"/>
      <c r="H5" s="259"/>
      <c r="I5" s="259"/>
      <c r="J5" s="259"/>
      <c r="K5" s="259"/>
      <c r="L5" s="260"/>
      <c r="M5" s="271" t="s">
        <v>5</v>
      </c>
      <c r="N5" s="272"/>
    </row>
    <row r="6" spans="2:14" ht="7.5" customHeight="1" thickBot="1" x14ac:dyDescent="0.3"/>
    <row r="7" spans="2:14" x14ac:dyDescent="0.25">
      <c r="B7" s="121"/>
      <c r="C7" s="122"/>
      <c r="D7" s="122"/>
      <c r="E7" s="122"/>
      <c r="F7" s="122"/>
      <c r="G7" s="122"/>
      <c r="H7" s="122"/>
      <c r="I7" s="122"/>
      <c r="J7" s="122"/>
      <c r="K7" s="122"/>
      <c r="L7" s="122"/>
      <c r="M7" s="122"/>
      <c r="N7" s="123"/>
    </row>
    <row r="8" spans="2:14" x14ac:dyDescent="0.25">
      <c r="B8" s="124"/>
      <c r="N8" s="125"/>
    </row>
    <row r="9" spans="2:14" x14ac:dyDescent="0.25">
      <c r="B9" s="124"/>
      <c r="N9" s="125"/>
    </row>
    <row r="10" spans="2:14" x14ac:dyDescent="0.25">
      <c r="B10" s="124"/>
      <c r="N10" s="125"/>
    </row>
    <row r="11" spans="2:14" x14ac:dyDescent="0.25">
      <c r="B11" s="124"/>
      <c r="N11" s="125"/>
    </row>
    <row r="12" spans="2:14" x14ac:dyDescent="0.25">
      <c r="B12" s="124"/>
      <c r="N12" s="125"/>
    </row>
    <row r="13" spans="2:14" x14ac:dyDescent="0.25">
      <c r="B13" s="124"/>
      <c r="N13" s="125"/>
    </row>
    <row r="14" spans="2:14" x14ac:dyDescent="0.25">
      <c r="B14" s="124"/>
      <c r="N14" s="125"/>
    </row>
    <row r="15" spans="2:14" x14ac:dyDescent="0.25">
      <c r="B15" s="124"/>
      <c r="N15" s="125"/>
    </row>
    <row r="16" spans="2:14" ht="21" customHeight="1" x14ac:dyDescent="0.25">
      <c r="B16" s="124"/>
      <c r="N16" s="125"/>
    </row>
    <row r="17" spans="2:14" ht="18.75" customHeight="1" x14ac:dyDescent="0.25">
      <c r="B17" s="124"/>
      <c r="N17" s="125"/>
    </row>
    <row r="18" spans="2:14" ht="17.25" customHeight="1" x14ac:dyDescent="0.25">
      <c r="B18" s="124"/>
      <c r="N18" s="125"/>
    </row>
    <row r="19" spans="2:14" ht="18.75" customHeight="1" x14ac:dyDescent="0.25">
      <c r="B19" s="124"/>
      <c r="N19" s="125"/>
    </row>
    <row r="20" spans="2:14" ht="21" customHeight="1" x14ac:dyDescent="0.25">
      <c r="B20" s="124"/>
      <c r="N20" s="125"/>
    </row>
    <row r="21" spans="2:14" x14ac:dyDescent="0.25">
      <c r="B21" s="124"/>
      <c r="N21" s="125"/>
    </row>
    <row r="22" spans="2:14" x14ac:dyDescent="0.25">
      <c r="B22" s="124"/>
      <c r="N22" s="125"/>
    </row>
    <row r="23" spans="2:14" x14ac:dyDescent="0.25">
      <c r="B23" s="124"/>
      <c r="N23" s="125"/>
    </row>
    <row r="24" spans="2:14" x14ac:dyDescent="0.25">
      <c r="B24" s="124"/>
      <c r="N24" s="125"/>
    </row>
    <row r="25" spans="2:14" x14ac:dyDescent="0.25">
      <c r="B25" s="124"/>
      <c r="N25" s="125"/>
    </row>
    <row r="26" spans="2:14" x14ac:dyDescent="0.25">
      <c r="B26" s="124"/>
      <c r="N26" s="125"/>
    </row>
    <row r="27" spans="2:14" x14ac:dyDescent="0.25">
      <c r="B27" s="124"/>
      <c r="N27" s="125"/>
    </row>
    <row r="28" spans="2:14" x14ac:dyDescent="0.25">
      <c r="B28" s="124"/>
      <c r="N28" s="125"/>
    </row>
    <row r="29" spans="2:14" x14ac:dyDescent="0.25">
      <c r="B29" s="124"/>
      <c r="N29" s="125"/>
    </row>
    <row r="30" spans="2:14" x14ac:dyDescent="0.25">
      <c r="B30" s="124"/>
      <c r="N30" s="125"/>
    </row>
    <row r="31" spans="2:14" x14ac:dyDescent="0.25">
      <c r="B31" s="124"/>
      <c r="D31" s="251" t="s">
        <v>6</v>
      </c>
      <c r="E31" s="251"/>
      <c r="N31" s="125"/>
    </row>
    <row r="32" spans="2:14" x14ac:dyDescent="0.25">
      <c r="B32" s="124"/>
      <c r="D32" s="251"/>
      <c r="E32" s="251"/>
      <c r="N32" s="125"/>
    </row>
    <row r="33" spans="2:14" x14ac:dyDescent="0.25">
      <c r="B33" s="124"/>
      <c r="N33" s="125"/>
    </row>
    <row r="34" spans="2:14" x14ac:dyDescent="0.25">
      <c r="B34" s="124"/>
      <c r="N34" s="125"/>
    </row>
    <row r="35" spans="2:14" x14ac:dyDescent="0.25">
      <c r="B35" s="124"/>
      <c r="N35" s="125"/>
    </row>
    <row r="36" spans="2:14" x14ac:dyDescent="0.25">
      <c r="B36" s="124"/>
      <c r="N36" s="125"/>
    </row>
    <row r="37" spans="2:14" x14ac:dyDescent="0.25">
      <c r="B37" s="124"/>
      <c r="N37" s="125"/>
    </row>
    <row r="38" spans="2:14" ht="15.75" thickBot="1" x14ac:dyDescent="0.3">
      <c r="B38" s="126"/>
      <c r="C38" s="127"/>
      <c r="D38" s="127"/>
      <c r="E38" s="127"/>
      <c r="F38" s="127"/>
      <c r="G38" s="127"/>
      <c r="H38" s="127"/>
      <c r="I38" s="127"/>
      <c r="J38" s="127"/>
      <c r="K38" s="127"/>
      <c r="L38" s="127"/>
      <c r="M38" s="127"/>
      <c r="N38" s="128"/>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42578125" defaultRowHeight="15" x14ac:dyDescent="0.25"/>
  <cols>
    <col min="1" max="1" width="10.28515625" style="111" customWidth="1"/>
    <col min="2" max="2" width="32.42578125" style="111" customWidth="1"/>
    <col min="3" max="3" width="77" style="111" customWidth="1"/>
    <col min="4" max="4" width="21" style="111" customWidth="1"/>
    <col min="5" max="5" width="23.7109375" style="111" customWidth="1"/>
    <col min="6" max="16384" width="11.42578125" style="111"/>
  </cols>
  <sheetData>
    <row r="1" spans="1:6" ht="7.9" customHeight="1" x14ac:dyDescent="0.25"/>
    <row r="2" spans="1:6" ht="15.75" customHeight="1" x14ac:dyDescent="0.25">
      <c r="B2" s="461" t="s">
        <v>273</v>
      </c>
      <c r="C2" s="464" t="s">
        <v>1</v>
      </c>
      <c r="D2" s="253"/>
      <c r="E2" s="178" t="s">
        <v>2</v>
      </c>
      <c r="F2" s="112"/>
    </row>
    <row r="3" spans="1:6" ht="15.75" customHeight="1" x14ac:dyDescent="0.25">
      <c r="B3" s="462"/>
      <c r="C3" s="465"/>
      <c r="D3" s="256"/>
      <c r="E3" s="179" t="s">
        <v>3</v>
      </c>
      <c r="F3" s="112"/>
    </row>
    <row r="4" spans="1:6" ht="16.5" customHeight="1" x14ac:dyDescent="0.25">
      <c r="B4" s="462"/>
      <c r="C4" s="465"/>
      <c r="D4" s="256"/>
      <c r="E4" s="179" t="s">
        <v>4</v>
      </c>
      <c r="F4" s="112"/>
    </row>
    <row r="5" spans="1:6" ht="15" customHeight="1" x14ac:dyDescent="0.25">
      <c r="B5" s="463"/>
      <c r="C5" s="466"/>
      <c r="D5" s="259"/>
      <c r="E5" s="180" t="s">
        <v>5</v>
      </c>
      <c r="F5" s="112"/>
    </row>
    <row r="7" spans="1:6" x14ac:dyDescent="0.25">
      <c r="A7" s="467" t="s">
        <v>9</v>
      </c>
      <c r="B7" s="129" t="s">
        <v>274</v>
      </c>
      <c r="C7" s="130" t="s">
        <v>275</v>
      </c>
      <c r="D7" s="130" t="s">
        <v>276</v>
      </c>
      <c r="E7" s="130" t="s">
        <v>277</v>
      </c>
    </row>
    <row r="8" spans="1:6" ht="42.75" x14ac:dyDescent="0.25">
      <c r="A8" s="467"/>
      <c r="B8" s="113">
        <v>45687</v>
      </c>
      <c r="C8" s="175" t="s">
        <v>278</v>
      </c>
      <c r="D8" s="115" t="s">
        <v>279</v>
      </c>
      <c r="E8" s="115" t="s">
        <v>280</v>
      </c>
    </row>
    <row r="9" spans="1:6" ht="161.44999999999999" customHeight="1" x14ac:dyDescent="0.25">
      <c r="A9" s="467"/>
      <c r="B9" s="113">
        <v>45777</v>
      </c>
      <c r="C9" s="175" t="s">
        <v>281</v>
      </c>
      <c r="D9" s="115" t="s">
        <v>279</v>
      </c>
      <c r="E9" s="115" t="s">
        <v>280</v>
      </c>
    </row>
    <row r="10" spans="1:6" x14ac:dyDescent="0.25">
      <c r="A10" s="467"/>
      <c r="B10" s="113"/>
      <c r="C10" s="114"/>
      <c r="D10" s="115"/>
      <c r="E10" s="115"/>
    </row>
    <row r="11" spans="1:6" x14ac:dyDescent="0.25">
      <c r="A11" s="467"/>
      <c r="B11" s="113"/>
      <c r="C11" s="114"/>
      <c r="D11" s="115"/>
      <c r="E11" s="115"/>
    </row>
    <row r="12" spans="1:6" x14ac:dyDescent="0.25">
      <c r="A12" s="467"/>
      <c r="B12" s="113"/>
      <c r="C12" s="114"/>
      <c r="D12" s="115"/>
      <c r="E12" s="115"/>
    </row>
    <row r="13" spans="1:6" x14ac:dyDescent="0.25">
      <c r="A13" s="131"/>
      <c r="B13" s="113"/>
      <c r="C13" s="114"/>
      <c r="D13" s="115"/>
      <c r="E13" s="115"/>
    </row>
    <row r="14" spans="1:6" x14ac:dyDescent="0.25">
      <c r="A14" s="131"/>
      <c r="B14" s="113"/>
      <c r="C14" s="114"/>
      <c r="D14" s="115"/>
      <c r="E14" s="115"/>
    </row>
    <row r="15" spans="1:6" x14ac:dyDescent="0.25">
      <c r="A15" s="131"/>
      <c r="B15" s="113"/>
      <c r="C15" s="114"/>
      <c r="D15" s="115"/>
      <c r="E15" s="115"/>
    </row>
    <row r="16" spans="1:6" x14ac:dyDescent="0.25">
      <c r="A16" s="131"/>
      <c r="B16" s="113"/>
      <c r="C16" s="114"/>
      <c r="D16" s="115"/>
      <c r="E16" s="115"/>
    </row>
    <row r="17" spans="1:5" x14ac:dyDescent="0.25">
      <c r="A17" s="131"/>
      <c r="B17" s="113"/>
      <c r="C17" s="114"/>
      <c r="D17" s="115"/>
      <c r="E17" s="115"/>
    </row>
    <row r="18" spans="1:5" x14ac:dyDescent="0.25">
      <c r="A18" s="131"/>
      <c r="B18" s="113"/>
      <c r="C18" s="114"/>
      <c r="D18" s="115"/>
      <c r="E18" s="115"/>
    </row>
    <row r="19" spans="1:5" x14ac:dyDescent="0.25">
      <c r="B19" s="113"/>
      <c r="C19" s="116"/>
      <c r="D19" s="115"/>
      <c r="E19" s="115"/>
    </row>
    <row r="20" spans="1:5" x14ac:dyDescent="0.25">
      <c r="B20" s="113"/>
      <c r="C20" s="114"/>
      <c r="D20" s="115"/>
      <c r="E20" s="115"/>
    </row>
    <row r="25" spans="1:5" x14ac:dyDescent="0.25">
      <c r="C25" s="117"/>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42578125"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42578125" defaultRowHeight="15" x14ac:dyDescent="0.2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37"/>
    <col min="11" max="16384" width="11.42578125" style="68"/>
  </cols>
  <sheetData>
    <row r="1" spans="2:10" ht="15.75" thickBot="1" x14ac:dyDescent="0.3"/>
    <row r="2" spans="2:10" ht="18" customHeight="1" x14ac:dyDescent="0.25">
      <c r="B2" s="468" t="s">
        <v>282</v>
      </c>
      <c r="C2" s="469"/>
      <c r="D2" s="469"/>
      <c r="E2" s="469"/>
      <c r="F2" s="469"/>
      <c r="G2" s="469"/>
      <c r="H2" s="470"/>
      <c r="J2" s="138" t="s">
        <v>283</v>
      </c>
    </row>
    <row r="3" spans="2:10" ht="20.25" x14ac:dyDescent="0.25">
      <c r="B3" s="69"/>
      <c r="C3" s="70"/>
      <c r="D3" s="70"/>
      <c r="E3" s="70"/>
      <c r="F3" s="70"/>
      <c r="G3" s="70"/>
      <c r="H3" s="71"/>
      <c r="J3" s="138"/>
    </row>
    <row r="4" spans="2:10" ht="63" customHeight="1" x14ac:dyDescent="0.25">
      <c r="B4" s="471" t="s">
        <v>284</v>
      </c>
      <c r="C4" s="472"/>
      <c r="D4" s="472"/>
      <c r="E4" s="472"/>
      <c r="F4" s="472"/>
      <c r="G4" s="472"/>
      <c r="H4" s="473"/>
    </row>
    <row r="5" spans="2:10" ht="63" customHeight="1" x14ac:dyDescent="0.25">
      <c r="B5" s="474"/>
      <c r="C5" s="475"/>
      <c r="D5" s="475"/>
      <c r="E5" s="475"/>
      <c r="F5" s="475"/>
      <c r="G5" s="475"/>
      <c r="H5" s="476"/>
    </row>
    <row r="6" spans="2:10" ht="16.5" x14ac:dyDescent="0.25">
      <c r="B6" s="477" t="s">
        <v>285</v>
      </c>
      <c r="C6" s="478"/>
      <c r="D6" s="478"/>
      <c r="E6" s="478"/>
      <c r="F6" s="478"/>
      <c r="G6" s="478"/>
      <c r="H6" s="479"/>
    </row>
    <row r="7" spans="2:10" ht="95.25" customHeight="1" x14ac:dyDescent="0.25">
      <c r="B7" s="487" t="s">
        <v>286</v>
      </c>
      <c r="C7" s="488"/>
      <c r="D7" s="488"/>
      <c r="E7" s="488"/>
      <c r="F7" s="488"/>
      <c r="G7" s="488"/>
      <c r="H7" s="489"/>
    </row>
    <row r="8" spans="2:10" ht="16.5" x14ac:dyDescent="0.25">
      <c r="B8" s="101"/>
      <c r="C8" s="102"/>
      <c r="D8" s="102"/>
      <c r="E8" s="102"/>
      <c r="F8" s="102"/>
      <c r="G8" s="102"/>
      <c r="H8" s="103"/>
    </row>
    <row r="9" spans="2:10" ht="16.5" customHeight="1" x14ac:dyDescent="0.25">
      <c r="B9" s="480" t="s">
        <v>287</v>
      </c>
      <c r="C9" s="481"/>
      <c r="D9" s="481"/>
      <c r="E9" s="481"/>
      <c r="F9" s="481"/>
      <c r="G9" s="481"/>
      <c r="H9" s="482"/>
    </row>
    <row r="10" spans="2:10" ht="44.25" customHeight="1" x14ac:dyDescent="0.25">
      <c r="B10" s="480"/>
      <c r="C10" s="481"/>
      <c r="D10" s="481"/>
      <c r="E10" s="481"/>
      <c r="F10" s="481"/>
      <c r="G10" s="481"/>
      <c r="H10" s="482"/>
    </row>
    <row r="11" spans="2:10" ht="15.75" thickBot="1" x14ac:dyDescent="0.3">
      <c r="B11" s="90"/>
      <c r="C11" s="93"/>
      <c r="D11" s="98"/>
      <c r="E11" s="99"/>
      <c r="F11" s="99"/>
      <c r="G11" s="100"/>
      <c r="H11" s="94"/>
    </row>
    <row r="12" spans="2:10" ht="15.75" thickTop="1" x14ac:dyDescent="0.25">
      <c r="B12" s="90"/>
      <c r="C12" s="483" t="s">
        <v>288</v>
      </c>
      <c r="D12" s="484"/>
      <c r="E12" s="485" t="s">
        <v>289</v>
      </c>
      <c r="F12" s="486"/>
      <c r="G12" s="93"/>
      <c r="H12" s="94"/>
    </row>
    <row r="13" spans="2:10" ht="35.25" customHeight="1" x14ac:dyDescent="0.25">
      <c r="B13" s="90"/>
      <c r="C13" s="490" t="s">
        <v>290</v>
      </c>
      <c r="D13" s="491"/>
      <c r="E13" s="492" t="s">
        <v>291</v>
      </c>
      <c r="F13" s="493"/>
      <c r="G13" s="93"/>
      <c r="H13" s="94"/>
    </row>
    <row r="14" spans="2:10" ht="17.25" customHeight="1" x14ac:dyDescent="0.25">
      <c r="B14" s="90"/>
      <c r="C14" s="490" t="s">
        <v>292</v>
      </c>
      <c r="D14" s="491"/>
      <c r="E14" s="492" t="s">
        <v>293</v>
      </c>
      <c r="F14" s="493"/>
      <c r="G14" s="93"/>
      <c r="H14" s="94"/>
    </row>
    <row r="15" spans="2:10" ht="19.5" customHeight="1" x14ac:dyDescent="0.25">
      <c r="B15" s="90"/>
      <c r="C15" s="490" t="s">
        <v>294</v>
      </c>
      <c r="D15" s="491"/>
      <c r="E15" s="492" t="s">
        <v>295</v>
      </c>
      <c r="F15" s="493"/>
      <c r="G15" s="93"/>
      <c r="H15" s="94"/>
    </row>
    <row r="16" spans="2:10" ht="69.75" customHeight="1" x14ac:dyDescent="0.25">
      <c r="B16" s="90"/>
      <c r="C16" s="490" t="s">
        <v>296</v>
      </c>
      <c r="D16" s="491"/>
      <c r="E16" s="492" t="s">
        <v>297</v>
      </c>
      <c r="F16" s="493"/>
      <c r="G16" s="93"/>
      <c r="H16" s="94"/>
    </row>
    <row r="17" spans="2:8" ht="34.5" customHeight="1" x14ac:dyDescent="0.25">
      <c r="B17" s="90"/>
      <c r="C17" s="494" t="s">
        <v>58</v>
      </c>
      <c r="D17" s="495"/>
      <c r="E17" s="496" t="s">
        <v>298</v>
      </c>
      <c r="F17" s="497"/>
      <c r="G17" s="93"/>
      <c r="H17" s="94"/>
    </row>
    <row r="18" spans="2:8" ht="27.75" customHeight="1" x14ac:dyDescent="0.25">
      <c r="B18" s="90"/>
      <c r="C18" s="494" t="s">
        <v>299</v>
      </c>
      <c r="D18" s="495"/>
      <c r="E18" s="496" t="s">
        <v>300</v>
      </c>
      <c r="F18" s="497"/>
      <c r="G18" s="93"/>
      <c r="H18" s="94"/>
    </row>
    <row r="19" spans="2:8" ht="28.5" customHeight="1" x14ac:dyDescent="0.25">
      <c r="B19" s="90"/>
      <c r="C19" s="494" t="s">
        <v>301</v>
      </c>
      <c r="D19" s="495"/>
      <c r="E19" s="496" t="s">
        <v>302</v>
      </c>
      <c r="F19" s="497"/>
      <c r="G19" s="93"/>
      <c r="H19" s="94"/>
    </row>
    <row r="20" spans="2:8" ht="72.75" customHeight="1" x14ac:dyDescent="0.25">
      <c r="B20" s="90"/>
      <c r="C20" s="494" t="s">
        <v>303</v>
      </c>
      <c r="D20" s="495"/>
      <c r="E20" s="496" t="s">
        <v>304</v>
      </c>
      <c r="F20" s="497"/>
      <c r="G20" s="93"/>
      <c r="H20" s="94"/>
    </row>
    <row r="21" spans="2:8" ht="64.5" customHeight="1" x14ac:dyDescent="0.25">
      <c r="B21" s="90"/>
      <c r="C21" s="494" t="s">
        <v>64</v>
      </c>
      <c r="D21" s="495"/>
      <c r="E21" s="496" t="s">
        <v>305</v>
      </c>
      <c r="F21" s="497"/>
      <c r="G21" s="93"/>
      <c r="H21" s="94"/>
    </row>
    <row r="22" spans="2:8" ht="71.25" customHeight="1" x14ac:dyDescent="0.25">
      <c r="B22" s="90"/>
      <c r="C22" s="494" t="s">
        <v>306</v>
      </c>
      <c r="D22" s="495"/>
      <c r="E22" s="496" t="s">
        <v>307</v>
      </c>
      <c r="F22" s="497"/>
      <c r="G22" s="93"/>
      <c r="H22" s="94"/>
    </row>
    <row r="23" spans="2:8" ht="55.5" customHeight="1" x14ac:dyDescent="0.25">
      <c r="B23" s="90"/>
      <c r="C23" s="501" t="s">
        <v>308</v>
      </c>
      <c r="D23" s="502"/>
      <c r="E23" s="496" t="s">
        <v>309</v>
      </c>
      <c r="F23" s="497"/>
      <c r="G23" s="93"/>
      <c r="H23" s="94"/>
    </row>
    <row r="24" spans="2:8" ht="42" customHeight="1" x14ac:dyDescent="0.25">
      <c r="B24" s="90"/>
      <c r="C24" s="501" t="s">
        <v>71</v>
      </c>
      <c r="D24" s="502"/>
      <c r="E24" s="496" t="s">
        <v>310</v>
      </c>
      <c r="F24" s="497"/>
      <c r="G24" s="93"/>
      <c r="H24" s="94"/>
    </row>
    <row r="25" spans="2:8" ht="59.25" customHeight="1" x14ac:dyDescent="0.25">
      <c r="B25" s="90"/>
      <c r="C25" s="501" t="s">
        <v>311</v>
      </c>
      <c r="D25" s="502"/>
      <c r="E25" s="496" t="s">
        <v>312</v>
      </c>
      <c r="F25" s="497"/>
      <c r="G25" s="93"/>
      <c r="H25" s="94"/>
    </row>
    <row r="26" spans="2:8" ht="23.25" customHeight="1" x14ac:dyDescent="0.25">
      <c r="B26" s="90"/>
      <c r="C26" s="501" t="s">
        <v>75</v>
      </c>
      <c r="D26" s="502"/>
      <c r="E26" s="496" t="s">
        <v>313</v>
      </c>
      <c r="F26" s="497"/>
      <c r="G26" s="93"/>
      <c r="H26" s="94"/>
    </row>
    <row r="27" spans="2:8" ht="30.75" customHeight="1" x14ac:dyDescent="0.25">
      <c r="B27" s="90"/>
      <c r="C27" s="501" t="s">
        <v>314</v>
      </c>
      <c r="D27" s="502"/>
      <c r="E27" s="496" t="s">
        <v>315</v>
      </c>
      <c r="F27" s="497"/>
      <c r="G27" s="93"/>
      <c r="H27" s="94"/>
    </row>
    <row r="28" spans="2:8" ht="35.25" customHeight="1" x14ac:dyDescent="0.25">
      <c r="B28" s="90"/>
      <c r="C28" s="501" t="s">
        <v>316</v>
      </c>
      <c r="D28" s="502"/>
      <c r="E28" s="496" t="s">
        <v>317</v>
      </c>
      <c r="F28" s="497"/>
      <c r="G28" s="93"/>
      <c r="H28" s="94"/>
    </row>
    <row r="29" spans="2:8" ht="33" customHeight="1" x14ac:dyDescent="0.25">
      <c r="B29" s="90"/>
      <c r="C29" s="501" t="s">
        <v>316</v>
      </c>
      <c r="D29" s="502"/>
      <c r="E29" s="496" t="s">
        <v>317</v>
      </c>
      <c r="F29" s="497"/>
      <c r="G29" s="93"/>
      <c r="H29" s="94"/>
    </row>
    <row r="30" spans="2:8" ht="30" customHeight="1" x14ac:dyDescent="0.25">
      <c r="B30" s="90"/>
      <c r="C30" s="501" t="s">
        <v>318</v>
      </c>
      <c r="D30" s="502"/>
      <c r="E30" s="496" t="s">
        <v>319</v>
      </c>
      <c r="F30" s="497"/>
      <c r="G30" s="93"/>
      <c r="H30" s="94"/>
    </row>
    <row r="31" spans="2:8" ht="35.25" customHeight="1" x14ac:dyDescent="0.25">
      <c r="B31" s="90"/>
      <c r="C31" s="501" t="s">
        <v>320</v>
      </c>
      <c r="D31" s="502"/>
      <c r="E31" s="496" t="s">
        <v>321</v>
      </c>
      <c r="F31" s="497"/>
      <c r="G31" s="93"/>
      <c r="H31" s="94"/>
    </row>
    <row r="32" spans="2:8" ht="31.5" customHeight="1" x14ac:dyDescent="0.25">
      <c r="B32" s="90"/>
      <c r="C32" s="501" t="s">
        <v>322</v>
      </c>
      <c r="D32" s="502"/>
      <c r="E32" s="496" t="s">
        <v>323</v>
      </c>
      <c r="F32" s="497"/>
      <c r="G32" s="93"/>
      <c r="H32" s="94"/>
    </row>
    <row r="33" spans="2:8" ht="35.25" customHeight="1" x14ac:dyDescent="0.25">
      <c r="B33" s="90"/>
      <c r="C33" s="501" t="s">
        <v>324</v>
      </c>
      <c r="D33" s="502"/>
      <c r="E33" s="496" t="s">
        <v>325</v>
      </c>
      <c r="F33" s="497"/>
      <c r="G33" s="93"/>
      <c r="H33" s="94"/>
    </row>
    <row r="34" spans="2:8" ht="59.25" customHeight="1" x14ac:dyDescent="0.25">
      <c r="B34" s="90"/>
      <c r="C34" s="501" t="s">
        <v>326</v>
      </c>
      <c r="D34" s="502"/>
      <c r="E34" s="496" t="s">
        <v>327</v>
      </c>
      <c r="F34" s="497"/>
      <c r="G34" s="93"/>
      <c r="H34" s="94"/>
    </row>
    <row r="35" spans="2:8" ht="29.25" customHeight="1" x14ac:dyDescent="0.25">
      <c r="B35" s="90"/>
      <c r="C35" s="501" t="s">
        <v>81</v>
      </c>
      <c r="D35" s="502"/>
      <c r="E35" s="496" t="s">
        <v>328</v>
      </c>
      <c r="F35" s="497"/>
      <c r="G35" s="93"/>
      <c r="H35" s="94"/>
    </row>
    <row r="36" spans="2:8" ht="82.5" customHeight="1" x14ac:dyDescent="0.25">
      <c r="B36" s="90"/>
      <c r="C36" s="501" t="s">
        <v>329</v>
      </c>
      <c r="D36" s="502"/>
      <c r="E36" s="496" t="s">
        <v>330</v>
      </c>
      <c r="F36" s="497"/>
      <c r="G36" s="93"/>
      <c r="H36" s="94"/>
    </row>
    <row r="37" spans="2:8" ht="46.5" customHeight="1" x14ac:dyDescent="0.25">
      <c r="B37" s="90"/>
      <c r="C37" s="501" t="s">
        <v>331</v>
      </c>
      <c r="D37" s="502"/>
      <c r="E37" s="496" t="s">
        <v>332</v>
      </c>
      <c r="F37" s="497"/>
      <c r="G37" s="93"/>
      <c r="H37" s="94"/>
    </row>
    <row r="38" spans="2:8" ht="6.75" customHeight="1" thickBot="1" x14ac:dyDescent="0.3">
      <c r="B38" s="90"/>
      <c r="C38" s="503"/>
      <c r="D38" s="504"/>
      <c r="E38" s="505"/>
      <c r="F38" s="506"/>
      <c r="G38" s="93"/>
      <c r="H38" s="94"/>
    </row>
    <row r="39" spans="2:8" ht="15.75" thickTop="1" x14ac:dyDescent="0.25">
      <c r="B39" s="90"/>
      <c r="C39" s="91"/>
      <c r="D39" s="91"/>
      <c r="E39" s="92"/>
      <c r="F39" s="92"/>
      <c r="G39" s="93"/>
      <c r="H39" s="94"/>
    </row>
    <row r="40" spans="2:8" ht="21" customHeight="1" x14ac:dyDescent="0.25">
      <c r="B40" s="498" t="s">
        <v>333</v>
      </c>
      <c r="C40" s="499"/>
      <c r="D40" s="499"/>
      <c r="E40" s="499"/>
      <c r="F40" s="499"/>
      <c r="G40" s="499"/>
      <c r="H40" s="500"/>
    </row>
    <row r="41" spans="2:8" ht="20.25" customHeight="1" x14ac:dyDescent="0.25">
      <c r="B41" s="498" t="s">
        <v>334</v>
      </c>
      <c r="C41" s="499"/>
      <c r="D41" s="499"/>
      <c r="E41" s="499"/>
      <c r="F41" s="499"/>
      <c r="G41" s="499"/>
      <c r="H41" s="500"/>
    </row>
    <row r="42" spans="2:8" ht="20.25" customHeight="1" x14ac:dyDescent="0.25">
      <c r="B42" s="498" t="s">
        <v>335</v>
      </c>
      <c r="C42" s="499"/>
      <c r="D42" s="499"/>
      <c r="E42" s="499"/>
      <c r="F42" s="499"/>
      <c r="G42" s="499"/>
      <c r="H42" s="500"/>
    </row>
    <row r="43" spans="2:8" ht="20.25" customHeight="1" x14ac:dyDescent="0.25">
      <c r="B43" s="498" t="s">
        <v>336</v>
      </c>
      <c r="C43" s="499"/>
      <c r="D43" s="499"/>
      <c r="E43" s="499"/>
      <c r="F43" s="499"/>
      <c r="G43" s="499"/>
      <c r="H43" s="500"/>
    </row>
    <row r="44" spans="2:8" ht="15" customHeight="1" x14ac:dyDescent="0.25">
      <c r="B44" s="498" t="s">
        <v>337</v>
      </c>
      <c r="C44" s="499"/>
      <c r="D44" s="499"/>
      <c r="E44" s="499"/>
      <c r="F44" s="499"/>
      <c r="G44" s="499"/>
      <c r="H44" s="500"/>
    </row>
    <row r="45" spans="2:8" ht="15.75" thickBot="1" x14ac:dyDescent="0.3">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42578125"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42578125" defaultRowHeight="15" x14ac:dyDescent="0.25"/>
  <sheetData>
    <row r="1" spans="1:4" x14ac:dyDescent="0.25">
      <c r="A1" t="s">
        <v>338</v>
      </c>
      <c r="B1" t="s">
        <v>60</v>
      </c>
      <c r="C1" t="s">
        <v>145</v>
      </c>
      <c r="D1" t="s">
        <v>146</v>
      </c>
    </row>
    <row r="2" spans="1:4" x14ac:dyDescent="0.25">
      <c r="A2" t="s">
        <v>339</v>
      </c>
      <c r="B2" t="s">
        <v>152</v>
      </c>
      <c r="C2" t="s">
        <v>182</v>
      </c>
      <c r="D2" t="s">
        <v>155</v>
      </c>
    </row>
    <row r="3" spans="1:4" x14ac:dyDescent="0.25">
      <c r="A3" t="s">
        <v>105</v>
      </c>
      <c r="B3" t="s">
        <v>166</v>
      </c>
      <c r="C3" t="s">
        <v>340</v>
      </c>
      <c r="D3" t="s">
        <v>169</v>
      </c>
    </row>
    <row r="4" spans="1:4" x14ac:dyDescent="0.25">
      <c r="A4" t="s">
        <v>341</v>
      </c>
      <c r="B4" t="s">
        <v>180</v>
      </c>
      <c r="C4" t="s">
        <v>190</v>
      </c>
      <c r="D4" t="s">
        <v>183</v>
      </c>
    </row>
    <row r="5" spans="1:4" x14ac:dyDescent="0.25">
      <c r="A5" t="s">
        <v>166</v>
      </c>
      <c r="B5" t="s">
        <v>188</v>
      </c>
      <c r="C5" t="s">
        <v>342</v>
      </c>
      <c r="D5" t="s">
        <v>109</v>
      </c>
    </row>
    <row r="6" spans="1:4" x14ac:dyDescent="0.25">
      <c r="A6" t="s">
        <v>148</v>
      </c>
      <c r="B6" t="s">
        <v>193</v>
      </c>
      <c r="C6" t="s">
        <v>109</v>
      </c>
    </row>
    <row r="7" spans="1:4" x14ac:dyDescent="0.25">
      <c r="A7" t="s">
        <v>343</v>
      </c>
      <c r="B7" t="s">
        <v>197</v>
      </c>
    </row>
    <row r="8" spans="1:4" x14ac:dyDescent="0.25">
      <c r="A8" t="s">
        <v>344</v>
      </c>
    </row>
    <row r="9" spans="1:4" x14ac:dyDescent="0.25">
      <c r="A9" t="s">
        <v>345</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4257812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42578125" defaultRowHeight="15" x14ac:dyDescent="0.25"/>
  <cols>
    <col min="1" max="1" width="2.5703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5703125" style="68" customWidth="1"/>
    <col min="12" max="12" width="2.28515625" style="68" customWidth="1"/>
    <col min="13" max="16384" width="11.42578125" style="68"/>
  </cols>
  <sheetData>
    <row r="1" spans="2:11" ht="6" customHeight="1" thickBot="1" x14ac:dyDescent="0.3"/>
    <row r="2" spans="2:11" ht="15" customHeight="1" x14ac:dyDescent="0.25">
      <c r="B2" s="507" t="s">
        <v>253</v>
      </c>
      <c r="C2" s="510" t="s">
        <v>1</v>
      </c>
      <c r="D2" s="511"/>
      <c r="E2" s="511"/>
      <c r="F2" s="511"/>
      <c r="G2" s="511"/>
      <c r="H2" s="511"/>
      <c r="I2" s="511"/>
      <c r="J2" s="294" t="s">
        <v>254</v>
      </c>
      <c r="K2" s="268"/>
    </row>
    <row r="3" spans="2:11" ht="15" customHeight="1" x14ac:dyDescent="0.25">
      <c r="B3" s="508"/>
      <c r="C3" s="512"/>
      <c r="D3" s="513"/>
      <c r="E3" s="513"/>
      <c r="F3" s="513"/>
      <c r="G3" s="513"/>
      <c r="H3" s="513"/>
      <c r="I3" s="513"/>
      <c r="J3" s="295" t="s">
        <v>346</v>
      </c>
      <c r="K3" s="270"/>
    </row>
    <row r="4" spans="2:11" ht="15" customHeight="1" x14ac:dyDescent="0.25">
      <c r="B4" s="508"/>
      <c r="C4" s="512"/>
      <c r="D4" s="513"/>
      <c r="E4" s="513"/>
      <c r="F4" s="513"/>
      <c r="G4" s="513"/>
      <c r="H4" s="513"/>
      <c r="I4" s="513"/>
      <c r="J4" s="295" t="s">
        <v>255</v>
      </c>
      <c r="K4" s="270" t="s">
        <v>255</v>
      </c>
    </row>
    <row r="5" spans="2:11" ht="15" customHeight="1" thickBot="1" x14ac:dyDescent="0.3">
      <c r="B5" s="509"/>
      <c r="C5" s="514"/>
      <c r="D5" s="515"/>
      <c r="E5" s="515"/>
      <c r="F5" s="515"/>
      <c r="G5" s="515"/>
      <c r="H5" s="515"/>
      <c r="I5" s="515"/>
      <c r="J5" s="296" t="s">
        <v>5</v>
      </c>
      <c r="K5" s="272" t="s">
        <v>5</v>
      </c>
    </row>
    <row r="6" spans="2:11" ht="15.75" thickBot="1" x14ac:dyDescent="0.3"/>
    <row r="7" spans="2:11" customFormat="1" ht="15.75" thickBot="1" x14ac:dyDescent="0.3">
      <c r="B7" s="516" t="s">
        <v>274</v>
      </c>
      <c r="C7" s="517"/>
      <c r="D7" s="518" t="s">
        <v>347</v>
      </c>
      <c r="E7" s="519"/>
      <c r="F7" s="518" t="s">
        <v>348</v>
      </c>
      <c r="G7" s="520"/>
      <c r="H7" s="520"/>
      <c r="I7" s="520"/>
      <c r="J7" s="520"/>
      <c r="K7" s="521"/>
    </row>
    <row r="8" spans="2:11" customFormat="1" ht="18" customHeight="1" thickBot="1" x14ac:dyDescent="0.3">
      <c r="B8" s="522"/>
      <c r="C8" s="523"/>
      <c r="D8" s="524">
        <v>1</v>
      </c>
      <c r="E8" s="525"/>
      <c r="F8" s="526"/>
      <c r="G8" s="526"/>
      <c r="H8" s="526"/>
      <c r="I8" s="526"/>
      <c r="J8" s="526"/>
      <c r="K8" s="527"/>
    </row>
    <row r="9" spans="2:11" customFormat="1" ht="18" customHeight="1" thickBot="1" x14ac:dyDescent="0.3">
      <c r="B9" s="522"/>
      <c r="C9" s="523"/>
      <c r="D9" s="524">
        <v>2</v>
      </c>
      <c r="E9" s="525"/>
      <c r="F9" s="526"/>
      <c r="G9" s="526"/>
      <c r="H9" s="526"/>
      <c r="I9" s="526"/>
      <c r="J9" s="526"/>
      <c r="K9" s="527"/>
    </row>
    <row r="10" spans="2:11" customFormat="1" ht="18" customHeight="1" thickBot="1" x14ac:dyDescent="0.3">
      <c r="B10" s="522"/>
      <c r="C10" s="523"/>
      <c r="D10" s="524">
        <v>3</v>
      </c>
      <c r="E10" s="525"/>
      <c r="F10" s="526"/>
      <c r="G10" s="526"/>
      <c r="H10" s="526"/>
      <c r="I10" s="526"/>
      <c r="J10" s="526"/>
      <c r="K10" s="527"/>
    </row>
    <row r="11" spans="2:11" customFormat="1" ht="18" customHeight="1" thickBot="1" x14ac:dyDescent="0.3">
      <c r="B11" s="522"/>
      <c r="C11" s="523"/>
      <c r="D11" s="524">
        <v>4</v>
      </c>
      <c r="E11" s="525"/>
      <c r="F11" s="526"/>
      <c r="G11" s="526"/>
      <c r="H11" s="526"/>
      <c r="I11" s="526"/>
      <c r="J11" s="526"/>
      <c r="K11" s="527"/>
    </row>
    <row r="12" spans="2:11" customFormat="1" ht="18" customHeight="1" thickBot="1" x14ac:dyDescent="0.3">
      <c r="B12" s="522"/>
      <c r="C12" s="523"/>
      <c r="D12" s="524">
        <v>5</v>
      </c>
      <c r="E12" s="525"/>
      <c r="F12" s="526"/>
      <c r="G12" s="526"/>
      <c r="H12" s="526"/>
      <c r="I12" s="526"/>
      <c r="J12" s="526"/>
      <c r="K12" s="527"/>
    </row>
    <row r="13" spans="2:11" customFormat="1" ht="18" customHeight="1" thickBot="1" x14ac:dyDescent="0.3">
      <c r="B13" s="522"/>
      <c r="C13" s="523"/>
      <c r="D13" s="524">
        <v>6</v>
      </c>
      <c r="E13" s="525"/>
      <c r="F13" s="526"/>
      <c r="G13" s="526"/>
      <c r="H13" s="526"/>
      <c r="I13" s="526"/>
      <c r="J13" s="526"/>
      <c r="K13" s="527"/>
    </row>
    <row r="14" spans="2:11" customFormat="1" ht="18" customHeight="1" thickBot="1" x14ac:dyDescent="0.3">
      <c r="B14" s="522"/>
      <c r="C14" s="523"/>
      <c r="D14" s="524">
        <v>7</v>
      </c>
      <c r="E14" s="525"/>
      <c r="F14" s="526"/>
      <c r="G14" s="526"/>
      <c r="H14" s="526"/>
      <c r="I14" s="526"/>
      <c r="J14" s="526"/>
      <c r="K14" s="527"/>
    </row>
    <row r="15" spans="2:11" customFormat="1" ht="18" customHeight="1" x14ac:dyDescent="0.25">
      <c r="B15" s="522">
        <v>45352</v>
      </c>
      <c r="C15" s="523"/>
      <c r="D15" s="524">
        <v>8</v>
      </c>
      <c r="E15" s="525"/>
      <c r="F15" s="526" t="s">
        <v>349</v>
      </c>
      <c r="G15" s="526"/>
      <c r="H15" s="526"/>
      <c r="I15" s="526"/>
      <c r="J15" s="526"/>
      <c r="K15" s="527"/>
    </row>
    <row r="16" spans="2:11" customFormat="1" ht="150.75" customHeight="1" x14ac:dyDescent="0.25">
      <c r="B16" s="522" t="s">
        <v>350</v>
      </c>
      <c r="C16" s="523"/>
      <c r="D16" s="524">
        <v>9</v>
      </c>
      <c r="E16" s="525"/>
      <c r="F16" s="526" t="s">
        <v>351</v>
      </c>
      <c r="G16" s="526"/>
      <c r="H16" s="526"/>
      <c r="I16" s="526"/>
      <c r="J16" s="526"/>
      <c r="K16" s="527"/>
    </row>
    <row r="17" spans="2:12" customFormat="1" ht="15.75" customHeight="1" x14ac:dyDescent="0.25">
      <c r="B17" s="528"/>
      <c r="C17" s="528"/>
      <c r="D17" s="528"/>
      <c r="E17" s="528"/>
      <c r="F17" s="528"/>
      <c r="G17" s="528"/>
      <c r="H17" s="528"/>
      <c r="I17" s="528"/>
      <c r="J17" s="528"/>
      <c r="K17" s="528"/>
    </row>
    <row r="18" spans="2:12" customFormat="1" ht="15.75" customHeight="1" thickBot="1" x14ac:dyDescent="0.3">
      <c r="B18" s="529" t="s">
        <v>352</v>
      </c>
      <c r="C18" s="530"/>
      <c r="D18" s="530"/>
      <c r="E18" s="531"/>
      <c r="F18" s="532" t="s">
        <v>353</v>
      </c>
      <c r="G18" s="533"/>
      <c r="H18" s="534"/>
      <c r="I18" s="535" t="s">
        <v>354</v>
      </c>
      <c r="J18" s="536"/>
      <c r="K18" s="531"/>
    </row>
    <row r="19" spans="2:12" customFormat="1" ht="27" customHeight="1" x14ac:dyDescent="0.25">
      <c r="B19" s="537"/>
      <c r="C19" s="538"/>
      <c r="D19" s="538"/>
      <c r="E19" s="538"/>
      <c r="F19" s="538"/>
      <c r="G19" s="538"/>
      <c r="H19" s="538"/>
      <c r="I19" s="539"/>
      <c r="J19" s="539"/>
      <c r="K19" s="540"/>
    </row>
    <row r="20" spans="2:12" customFormat="1" ht="15" customHeight="1" x14ac:dyDescent="0.25">
      <c r="B20" s="542" t="s">
        <v>355</v>
      </c>
      <c r="C20" s="543"/>
      <c r="D20" s="543"/>
      <c r="E20" s="543"/>
      <c r="F20" s="544" t="s">
        <v>356</v>
      </c>
      <c r="G20" s="544"/>
      <c r="H20" s="545"/>
      <c r="I20" s="544" t="s">
        <v>356</v>
      </c>
      <c r="J20" s="544"/>
      <c r="K20" s="545"/>
    </row>
    <row r="21" spans="2:12" customFormat="1" ht="22.5" customHeight="1" thickBot="1" x14ac:dyDescent="0.3">
      <c r="B21" s="546" t="s">
        <v>357</v>
      </c>
      <c r="C21" s="547"/>
      <c r="D21" s="547"/>
      <c r="E21" s="547"/>
      <c r="F21" s="547" t="s">
        <v>358</v>
      </c>
      <c r="G21" s="547"/>
      <c r="H21" s="548"/>
      <c r="I21" s="547" t="s">
        <v>358</v>
      </c>
      <c r="J21" s="547"/>
      <c r="K21" s="548"/>
    </row>
    <row r="22" spans="2:12" customFormat="1" ht="9" customHeight="1" thickBot="1" x14ac:dyDescent="0.3">
      <c r="B22" s="549"/>
      <c r="C22" s="549"/>
      <c r="D22" s="549"/>
      <c r="E22" s="549"/>
      <c r="F22" s="549"/>
      <c r="G22" s="549"/>
      <c r="H22" s="549"/>
      <c r="I22" s="549"/>
      <c r="J22" s="549"/>
      <c r="K22" s="549"/>
    </row>
    <row r="23" spans="2:12" customFormat="1" ht="15.75" thickBot="1" x14ac:dyDescent="0.3">
      <c r="B23" s="550" t="s">
        <v>112</v>
      </c>
      <c r="C23" s="551"/>
      <c r="D23" s="552"/>
      <c r="E23" s="118" t="s">
        <v>113</v>
      </c>
      <c r="F23" s="550" t="s">
        <v>114</v>
      </c>
      <c r="G23" s="552"/>
      <c r="H23" s="119" t="s">
        <v>115</v>
      </c>
      <c r="I23" s="550" t="s">
        <v>116</v>
      </c>
      <c r="J23" s="552"/>
      <c r="K23" s="120">
        <v>1</v>
      </c>
    </row>
    <row r="24" spans="2:12" ht="8.25" customHeight="1" x14ac:dyDescent="0.25"/>
    <row r="25" spans="2:12" x14ac:dyDescent="0.25">
      <c r="B25" s="541" t="s">
        <v>359</v>
      </c>
      <c r="C25" s="541"/>
      <c r="D25" s="541"/>
      <c r="E25" s="541"/>
      <c r="F25" s="541"/>
      <c r="G25" s="541"/>
      <c r="H25" s="541"/>
      <c r="I25" s="541"/>
      <c r="J25" s="541"/>
      <c r="K25" s="541"/>
      <c r="L25" s="541"/>
    </row>
    <row r="26" spans="2:12" x14ac:dyDescent="0.25">
      <c r="B26" s="541" t="s">
        <v>360</v>
      </c>
      <c r="C26" s="541"/>
      <c r="D26" s="541"/>
      <c r="E26" s="541"/>
      <c r="F26" s="541"/>
      <c r="G26" s="541"/>
      <c r="H26" s="541"/>
      <c r="I26" s="541"/>
      <c r="J26" s="541"/>
      <c r="K26" s="541"/>
      <c r="L26" s="541"/>
    </row>
    <row r="27" spans="2:12" ht="9" customHeight="1" x14ac:dyDescent="0.25"/>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baseColWidth="10" defaultColWidth="11.42578125" defaultRowHeight="15" x14ac:dyDescent="0.25"/>
  <cols>
    <col min="2" max="2" width="24.28515625" customWidth="1"/>
    <col min="3" max="3" width="70.28515625" customWidth="1"/>
    <col min="4" max="4" width="29.7109375" customWidth="1"/>
  </cols>
  <sheetData>
    <row r="1" spans="1:37" ht="23.25" x14ac:dyDescent="0.25">
      <c r="A1" s="68"/>
      <c r="B1" s="553" t="s">
        <v>361</v>
      </c>
      <c r="C1" s="553"/>
      <c r="D1" s="553"/>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x14ac:dyDescent="0.25">
      <c r="A3" s="68"/>
      <c r="B3" s="3"/>
      <c r="C3" s="4" t="s">
        <v>362</v>
      </c>
      <c r="D3" s="4" t="s">
        <v>257</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x14ac:dyDescent="0.25">
      <c r="A4" s="68"/>
      <c r="B4" s="5" t="s">
        <v>363</v>
      </c>
      <c r="C4" s="6" t="s">
        <v>364</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x14ac:dyDescent="0.25">
      <c r="A5" s="68"/>
      <c r="B5" s="8" t="s">
        <v>365</v>
      </c>
      <c r="C5" s="9" t="s">
        <v>366</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x14ac:dyDescent="0.25">
      <c r="A6" s="68"/>
      <c r="B6" s="11" t="s">
        <v>367</v>
      </c>
      <c r="C6" s="9" t="s">
        <v>368</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x14ac:dyDescent="0.25">
      <c r="A7" s="68"/>
      <c r="B7" s="12" t="s">
        <v>369</v>
      </c>
      <c r="C7" s="9" t="s">
        <v>370</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x14ac:dyDescent="0.25">
      <c r="A8" s="68"/>
      <c r="B8" s="13" t="s">
        <v>371</v>
      </c>
      <c r="C8" s="9" t="s">
        <v>372</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x14ac:dyDescent="0.25">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x14ac:dyDescent="0.25">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x14ac:dyDescent="0.25">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x14ac:dyDescent="0.25">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x14ac:dyDescent="0.25">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x14ac:dyDescent="0.25">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x14ac:dyDescent="0.25">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x14ac:dyDescent="0.25">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x14ac:dyDescent="0.25">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x14ac:dyDescent="0.25">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x14ac:dyDescent="0.25">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x14ac:dyDescent="0.25">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x14ac:dyDescent="0.25">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x14ac:dyDescent="0.25">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x14ac:dyDescent="0.25">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x14ac:dyDescent="0.25">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x14ac:dyDescent="0.25">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x14ac:dyDescent="0.25">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x14ac:dyDescent="0.25">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x14ac:dyDescent="0.25">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x14ac:dyDescent="0.25">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x14ac:dyDescent="0.25">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x14ac:dyDescent="0.25">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x14ac:dyDescent="0.2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x14ac:dyDescent="0.25">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x14ac:dyDescent="0.25">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x14ac:dyDescent="0.25">
      <c r="A35" s="68"/>
    </row>
    <row r="36" spans="1:31" x14ac:dyDescent="0.25">
      <c r="A36" s="68"/>
    </row>
    <row r="37" spans="1:31" x14ac:dyDescent="0.25">
      <c r="A37" s="68"/>
    </row>
    <row r="38" spans="1:31" x14ac:dyDescent="0.25">
      <c r="A38" s="68"/>
    </row>
    <row r="39" spans="1:31" x14ac:dyDescent="0.25">
      <c r="A39" s="68"/>
    </row>
    <row r="40" spans="1:31" x14ac:dyDescent="0.25">
      <c r="A40" s="68"/>
    </row>
    <row r="41" spans="1:31" x14ac:dyDescent="0.25">
      <c r="A41" s="68"/>
    </row>
    <row r="42" spans="1:31" x14ac:dyDescent="0.25">
      <c r="A42" s="68"/>
    </row>
    <row r="43" spans="1:31" x14ac:dyDescent="0.25">
      <c r="A43" s="68"/>
    </row>
    <row r="44" spans="1:31" x14ac:dyDescent="0.25">
      <c r="A44" s="68"/>
    </row>
    <row r="45" spans="1:31" x14ac:dyDescent="0.25">
      <c r="A45" s="68"/>
    </row>
    <row r="46" spans="1:31" x14ac:dyDescent="0.25">
      <c r="A46" s="68"/>
    </row>
    <row r="47" spans="1:31" x14ac:dyDescent="0.25">
      <c r="A47" s="68"/>
    </row>
    <row r="48" spans="1:31" x14ac:dyDescent="0.25">
      <c r="A48" s="68"/>
    </row>
    <row r="49" spans="1:1" x14ac:dyDescent="0.25">
      <c r="A49" s="68"/>
    </row>
    <row r="50" spans="1:1" x14ac:dyDescent="0.25">
      <c r="A50" s="68"/>
    </row>
    <row r="51" spans="1:1" x14ac:dyDescent="0.25">
      <c r="A51" s="68"/>
    </row>
    <row r="52" spans="1:1" x14ac:dyDescent="0.25">
      <c r="A52" s="68"/>
    </row>
    <row r="53" spans="1:1" x14ac:dyDescent="0.25">
      <c r="A53" s="68"/>
    </row>
    <row r="54" spans="1:1" x14ac:dyDescent="0.25">
      <c r="A54" s="68"/>
    </row>
    <row r="55" spans="1:1" x14ac:dyDescent="0.25">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baseColWidth="10" defaultColWidth="11.42578125" defaultRowHeight="15" x14ac:dyDescent="0.25"/>
  <cols>
    <col min="2" max="2" width="40.42578125" customWidth="1"/>
    <col min="3" max="3" width="74.7109375" customWidth="1"/>
    <col min="4" max="4" width="135" bestFit="1" customWidth="1"/>
    <col min="5" max="5" width="144.7109375" bestFit="1" customWidth="1"/>
    <col min="6" max="6" width="136.5703125" bestFit="1" customWidth="1"/>
  </cols>
  <sheetData>
    <row r="1" spans="1:21" ht="33.75" x14ac:dyDescent="0.25">
      <c r="A1" s="68"/>
      <c r="B1" s="554" t="s">
        <v>373</v>
      </c>
      <c r="C1" s="554"/>
      <c r="D1" s="554"/>
      <c r="E1" s="68"/>
      <c r="F1" s="68"/>
      <c r="G1" s="68"/>
      <c r="H1" s="68"/>
      <c r="I1" s="68"/>
      <c r="J1" s="68"/>
      <c r="K1" s="68"/>
      <c r="L1" s="68"/>
      <c r="M1" s="68"/>
      <c r="N1" s="68"/>
      <c r="O1" s="68"/>
      <c r="P1" s="68"/>
      <c r="Q1" s="68"/>
      <c r="R1" s="68"/>
      <c r="S1" s="68"/>
      <c r="T1" s="68"/>
      <c r="U1" s="68"/>
    </row>
    <row r="2" spans="1:21" x14ac:dyDescent="0.25">
      <c r="A2" s="68"/>
      <c r="B2" s="68"/>
      <c r="C2" s="68"/>
      <c r="D2" s="68"/>
      <c r="E2" s="68"/>
      <c r="F2" s="68"/>
      <c r="G2" s="68"/>
      <c r="H2" s="68"/>
      <c r="I2" s="68"/>
      <c r="J2" s="68"/>
      <c r="K2" s="68"/>
      <c r="L2" s="68"/>
      <c r="M2" s="68"/>
      <c r="N2" s="68"/>
      <c r="O2" s="68"/>
      <c r="P2" s="68"/>
      <c r="Q2" s="68"/>
      <c r="R2" s="68"/>
      <c r="S2" s="68"/>
      <c r="T2" s="68"/>
      <c r="U2" s="68"/>
    </row>
    <row r="3" spans="1:21" ht="60" x14ac:dyDescent="0.25">
      <c r="A3" s="68"/>
      <c r="B3" s="85"/>
      <c r="C3" s="22" t="s">
        <v>374</v>
      </c>
      <c r="D3" s="22" t="s">
        <v>375</v>
      </c>
      <c r="E3" s="68"/>
      <c r="F3" s="68"/>
      <c r="G3" s="68"/>
      <c r="H3" s="68"/>
      <c r="I3" s="68"/>
      <c r="J3" s="68"/>
      <c r="K3" s="68"/>
      <c r="L3" s="68"/>
      <c r="M3" s="68"/>
      <c r="N3" s="68"/>
      <c r="O3" s="68"/>
      <c r="P3" s="68"/>
      <c r="Q3" s="68"/>
      <c r="R3" s="68"/>
      <c r="S3" s="68"/>
      <c r="T3" s="68"/>
      <c r="U3" s="68"/>
    </row>
    <row r="4" spans="1:21" ht="33.75" x14ac:dyDescent="0.25">
      <c r="A4" s="84" t="s">
        <v>376</v>
      </c>
      <c r="B4" s="25" t="s">
        <v>377</v>
      </c>
      <c r="C4" s="30" t="s">
        <v>378</v>
      </c>
      <c r="D4" s="23" t="s">
        <v>379</v>
      </c>
      <c r="E4" s="68"/>
      <c r="F4" s="68"/>
      <c r="G4" s="68"/>
      <c r="H4" s="68"/>
      <c r="I4" s="68"/>
      <c r="J4" s="68"/>
      <c r="K4" s="68"/>
      <c r="L4" s="68"/>
      <c r="M4" s="68"/>
      <c r="N4" s="68"/>
      <c r="O4" s="68"/>
      <c r="P4" s="68"/>
      <c r="Q4" s="68"/>
      <c r="R4" s="68"/>
      <c r="S4" s="68"/>
      <c r="T4" s="68"/>
      <c r="U4" s="68"/>
    </row>
    <row r="5" spans="1:21" ht="101.25" x14ac:dyDescent="0.25">
      <c r="A5" s="84" t="s">
        <v>124</v>
      </c>
      <c r="B5" s="26" t="s">
        <v>380</v>
      </c>
      <c r="C5" s="31" t="s">
        <v>381</v>
      </c>
      <c r="D5" s="24" t="s">
        <v>382</v>
      </c>
      <c r="E5" s="68"/>
      <c r="F5" s="68"/>
      <c r="G5" s="68"/>
      <c r="H5" s="68"/>
      <c r="I5" s="68"/>
      <c r="J5" s="68"/>
      <c r="K5" s="68"/>
      <c r="L5" s="68"/>
      <c r="M5" s="68"/>
      <c r="N5" s="68"/>
      <c r="O5" s="68"/>
      <c r="P5" s="68"/>
      <c r="Q5" s="68"/>
      <c r="R5" s="68"/>
      <c r="S5" s="68"/>
      <c r="T5" s="68"/>
      <c r="U5" s="68"/>
    </row>
    <row r="6" spans="1:21" ht="67.5" x14ac:dyDescent="0.25">
      <c r="A6" s="84" t="s">
        <v>126</v>
      </c>
      <c r="B6" s="27" t="s">
        <v>383</v>
      </c>
      <c r="C6" s="31" t="s">
        <v>384</v>
      </c>
      <c r="D6" s="24" t="s">
        <v>385</v>
      </c>
      <c r="E6" s="68"/>
      <c r="F6" s="68"/>
      <c r="G6" s="68"/>
      <c r="H6" s="68"/>
      <c r="I6" s="68"/>
      <c r="J6" s="68"/>
      <c r="K6" s="68"/>
      <c r="L6" s="68"/>
      <c r="M6" s="68"/>
      <c r="N6" s="68"/>
      <c r="O6" s="68"/>
      <c r="P6" s="68"/>
      <c r="Q6" s="68"/>
      <c r="R6" s="68"/>
      <c r="S6" s="68"/>
      <c r="T6" s="68"/>
      <c r="U6" s="68"/>
    </row>
    <row r="7" spans="1:21" ht="101.25" x14ac:dyDescent="0.25">
      <c r="A7" s="84" t="s">
        <v>128</v>
      </c>
      <c r="B7" s="28" t="s">
        <v>386</v>
      </c>
      <c r="C7" s="31" t="s">
        <v>387</v>
      </c>
      <c r="D7" s="24" t="s">
        <v>388</v>
      </c>
      <c r="E7" s="68"/>
      <c r="F7" s="68"/>
      <c r="G7" s="68"/>
      <c r="H7" s="68"/>
      <c r="I7" s="68"/>
      <c r="J7" s="68"/>
      <c r="K7" s="68"/>
      <c r="L7" s="68"/>
      <c r="M7" s="68"/>
      <c r="N7" s="68"/>
      <c r="O7" s="68"/>
      <c r="P7" s="68"/>
      <c r="Q7" s="68"/>
      <c r="R7" s="68"/>
      <c r="S7" s="68"/>
      <c r="T7" s="68"/>
      <c r="U7" s="68"/>
    </row>
    <row r="8" spans="1:21" ht="67.5" x14ac:dyDescent="0.25">
      <c r="A8" s="84" t="s">
        <v>130</v>
      </c>
      <c r="B8" s="29" t="s">
        <v>389</v>
      </c>
      <c r="C8" s="31" t="s">
        <v>390</v>
      </c>
      <c r="D8" s="24" t="s">
        <v>391</v>
      </c>
      <c r="E8" s="68"/>
      <c r="F8" s="68"/>
      <c r="G8" s="68"/>
      <c r="H8" s="68"/>
      <c r="I8" s="68"/>
      <c r="J8" s="68"/>
      <c r="K8" s="68"/>
      <c r="L8" s="68"/>
      <c r="M8" s="68"/>
      <c r="N8" s="68"/>
      <c r="O8" s="68"/>
      <c r="P8" s="68"/>
      <c r="Q8" s="68"/>
      <c r="R8" s="68"/>
      <c r="S8" s="68"/>
      <c r="T8" s="68"/>
      <c r="U8" s="68"/>
    </row>
    <row r="9" spans="1:21" ht="20.25" x14ac:dyDescent="0.25">
      <c r="A9" s="84"/>
      <c r="B9" s="84"/>
      <c r="C9" s="86"/>
      <c r="D9" s="86"/>
      <c r="E9" s="68"/>
      <c r="F9" s="68"/>
      <c r="G9" s="68"/>
      <c r="H9" s="68"/>
      <c r="I9" s="68"/>
      <c r="J9" s="68"/>
      <c r="K9" s="68"/>
      <c r="L9" s="68"/>
      <c r="M9" s="68"/>
      <c r="N9" s="68"/>
      <c r="O9" s="68"/>
      <c r="P9" s="68"/>
      <c r="Q9" s="68"/>
      <c r="R9" s="68"/>
      <c r="S9" s="68"/>
      <c r="T9" s="68"/>
      <c r="U9" s="68"/>
    </row>
    <row r="10" spans="1:21" ht="16.5" x14ac:dyDescent="0.25">
      <c r="A10" s="84"/>
      <c r="B10" s="87"/>
      <c r="C10" s="87"/>
      <c r="D10" s="87"/>
      <c r="E10" s="68"/>
      <c r="F10" s="68"/>
      <c r="G10" s="68"/>
      <c r="H10" s="68"/>
      <c r="I10" s="68"/>
      <c r="J10" s="68"/>
      <c r="K10" s="68"/>
      <c r="L10" s="68"/>
      <c r="M10" s="68"/>
      <c r="N10" s="68"/>
      <c r="O10" s="68"/>
      <c r="P10" s="68"/>
      <c r="Q10" s="68"/>
      <c r="R10" s="68"/>
      <c r="S10" s="68"/>
      <c r="T10" s="68"/>
      <c r="U10" s="68"/>
    </row>
    <row r="11" spans="1:21" x14ac:dyDescent="0.25">
      <c r="A11" s="84"/>
      <c r="B11" s="84" t="s">
        <v>392</v>
      </c>
      <c r="C11" s="84" t="s">
        <v>121</v>
      </c>
      <c r="D11" s="84" t="s">
        <v>131</v>
      </c>
      <c r="E11" s="68"/>
      <c r="F11" s="68"/>
      <c r="G11" s="68"/>
      <c r="H11" s="68"/>
      <c r="I11" s="68"/>
      <c r="J11" s="68"/>
      <c r="K11" s="68"/>
      <c r="L11" s="68"/>
      <c r="M11" s="68"/>
      <c r="N11" s="68"/>
      <c r="O11" s="68"/>
      <c r="P11" s="68"/>
      <c r="Q11" s="68"/>
      <c r="R11" s="68"/>
      <c r="S11" s="68"/>
      <c r="T11" s="68"/>
      <c r="U11" s="68"/>
    </row>
    <row r="12" spans="1:21" x14ac:dyDescent="0.25">
      <c r="A12" s="84"/>
      <c r="B12" s="84" t="s">
        <v>393</v>
      </c>
      <c r="C12" s="84" t="s">
        <v>123</v>
      </c>
      <c r="D12" s="84" t="s">
        <v>132</v>
      </c>
      <c r="E12" s="68"/>
      <c r="F12" s="68"/>
      <c r="G12" s="68"/>
      <c r="H12" s="68"/>
      <c r="I12" s="68"/>
      <c r="J12" s="68"/>
      <c r="K12" s="68"/>
      <c r="L12" s="68"/>
      <c r="M12" s="68"/>
      <c r="N12" s="68"/>
      <c r="O12" s="68"/>
      <c r="P12" s="68"/>
      <c r="Q12" s="68"/>
      <c r="R12" s="68"/>
      <c r="S12" s="68"/>
      <c r="T12" s="68"/>
      <c r="U12" s="68"/>
    </row>
    <row r="13" spans="1:21" x14ac:dyDescent="0.25">
      <c r="A13" s="84"/>
      <c r="B13" s="84"/>
      <c r="C13" s="84" t="s">
        <v>125</v>
      </c>
      <c r="D13" s="84" t="s">
        <v>133</v>
      </c>
      <c r="E13" s="68"/>
      <c r="F13" s="68"/>
      <c r="G13" s="68"/>
      <c r="H13" s="68"/>
      <c r="I13" s="68"/>
      <c r="J13" s="68"/>
      <c r="K13" s="68"/>
      <c r="L13" s="68"/>
      <c r="M13" s="68"/>
      <c r="N13" s="68"/>
      <c r="O13" s="68"/>
      <c r="P13" s="68"/>
      <c r="Q13" s="68"/>
      <c r="R13" s="68"/>
      <c r="S13" s="68"/>
      <c r="T13" s="68"/>
      <c r="U13" s="68"/>
    </row>
    <row r="14" spans="1:21" x14ac:dyDescent="0.25">
      <c r="A14" s="84"/>
      <c r="B14" s="84"/>
      <c r="C14" s="84" t="s">
        <v>127</v>
      </c>
      <c r="D14" s="84" t="s">
        <v>134</v>
      </c>
      <c r="E14" s="68"/>
      <c r="F14" s="68"/>
      <c r="G14" s="68"/>
      <c r="H14" s="68"/>
      <c r="I14" s="68"/>
      <c r="J14" s="68"/>
      <c r="K14" s="68"/>
      <c r="L14" s="68"/>
      <c r="M14" s="68"/>
      <c r="N14" s="68"/>
      <c r="O14" s="68"/>
      <c r="P14" s="68"/>
      <c r="Q14" s="68"/>
      <c r="R14" s="68"/>
      <c r="S14" s="68"/>
      <c r="T14" s="68"/>
      <c r="U14" s="68"/>
    </row>
    <row r="15" spans="1:21" x14ac:dyDescent="0.25">
      <c r="A15" s="84"/>
      <c r="B15" s="84"/>
      <c r="C15" s="84" t="s">
        <v>129</v>
      </c>
      <c r="D15" s="84" t="s">
        <v>135</v>
      </c>
      <c r="E15" s="68"/>
      <c r="F15" s="68"/>
      <c r="G15" s="68"/>
      <c r="H15" s="68"/>
      <c r="I15" s="68"/>
      <c r="J15" s="68"/>
      <c r="K15" s="68"/>
      <c r="L15" s="68"/>
      <c r="M15" s="68"/>
      <c r="N15" s="68"/>
      <c r="O15" s="68"/>
      <c r="P15" s="68"/>
      <c r="Q15" s="68"/>
      <c r="R15" s="68"/>
      <c r="S15" s="68"/>
      <c r="T15" s="68"/>
      <c r="U15" s="68"/>
    </row>
    <row r="16" spans="1:21" x14ac:dyDescent="0.25">
      <c r="A16" s="84"/>
      <c r="B16" s="84"/>
      <c r="C16" s="84"/>
      <c r="D16" s="84"/>
      <c r="E16" s="68"/>
      <c r="F16" s="68"/>
      <c r="G16" s="68"/>
      <c r="H16" s="68"/>
      <c r="I16" s="68"/>
      <c r="J16" s="68"/>
      <c r="K16" s="68"/>
      <c r="L16" s="68"/>
      <c r="M16" s="68"/>
      <c r="N16" s="68"/>
      <c r="O16" s="68"/>
    </row>
    <row r="17" spans="1:15" x14ac:dyDescent="0.25">
      <c r="A17" s="84"/>
      <c r="B17" s="84"/>
      <c r="C17" s="84"/>
      <c r="D17" s="84"/>
      <c r="E17" s="68"/>
      <c r="F17" s="68"/>
      <c r="G17" s="68"/>
      <c r="H17" s="68"/>
      <c r="I17" s="68"/>
      <c r="J17" s="68"/>
      <c r="K17" s="68"/>
      <c r="L17" s="68"/>
      <c r="M17" s="68"/>
      <c r="N17" s="68"/>
      <c r="O17" s="68"/>
    </row>
    <row r="18" spans="1:15" x14ac:dyDescent="0.25">
      <c r="A18" s="84"/>
      <c r="B18" s="88"/>
      <c r="C18" s="88"/>
      <c r="D18" s="88"/>
      <c r="E18" s="68"/>
      <c r="F18" s="68"/>
      <c r="G18" s="68"/>
      <c r="H18" s="68"/>
      <c r="I18" s="68"/>
      <c r="J18" s="68"/>
      <c r="K18" s="68"/>
      <c r="L18" s="68"/>
      <c r="M18" s="68"/>
      <c r="N18" s="68"/>
      <c r="O18" s="68"/>
    </row>
    <row r="19" spans="1:15" x14ac:dyDescent="0.25">
      <c r="A19" s="84"/>
      <c r="B19" s="88"/>
      <c r="C19" s="88"/>
      <c r="D19" s="88"/>
      <c r="E19" s="68"/>
      <c r="F19" s="68"/>
      <c r="G19" s="68"/>
      <c r="H19" s="68"/>
      <c r="I19" s="68"/>
      <c r="J19" s="68"/>
      <c r="K19" s="68"/>
      <c r="L19" s="68"/>
      <c r="M19" s="68"/>
      <c r="N19" s="68"/>
      <c r="O19" s="68"/>
    </row>
    <row r="20" spans="1:15" x14ac:dyDescent="0.25">
      <c r="A20" s="84"/>
      <c r="B20" s="88"/>
      <c r="C20" s="88"/>
      <c r="D20" s="88"/>
      <c r="E20" s="68"/>
      <c r="F20" s="68"/>
      <c r="G20" s="68"/>
      <c r="H20" s="68"/>
      <c r="I20" s="68"/>
      <c r="J20" s="68"/>
      <c r="K20" s="68"/>
      <c r="L20" s="68"/>
      <c r="M20" s="68"/>
      <c r="N20" s="68"/>
      <c r="O20" s="68"/>
    </row>
    <row r="21" spans="1:15" x14ac:dyDescent="0.25">
      <c r="A21" s="84"/>
      <c r="B21" s="88"/>
      <c r="C21" s="88"/>
      <c r="D21" s="88"/>
      <c r="E21" s="68"/>
      <c r="F21" s="68"/>
      <c r="G21" s="68"/>
      <c r="H21" s="68"/>
      <c r="I21" s="68"/>
      <c r="J21" s="68"/>
      <c r="K21" s="68"/>
      <c r="L21" s="68"/>
      <c r="M21" s="68"/>
      <c r="N21" s="68"/>
      <c r="O21" s="68"/>
    </row>
    <row r="22" spans="1:15" ht="20.25" x14ac:dyDescent="0.25">
      <c r="A22" s="84"/>
      <c r="B22" s="84"/>
      <c r="C22" s="86"/>
      <c r="D22" s="86"/>
      <c r="E22" s="68"/>
      <c r="F22" s="68"/>
      <c r="G22" s="68"/>
      <c r="H22" s="68"/>
      <c r="I22" s="68"/>
      <c r="J22" s="68"/>
      <c r="K22" s="68"/>
      <c r="L22" s="68"/>
      <c r="M22" s="68"/>
      <c r="N22" s="68"/>
      <c r="O22" s="68"/>
    </row>
    <row r="23" spans="1:15" ht="20.25" x14ac:dyDescent="0.25">
      <c r="A23" s="84"/>
      <c r="B23" s="84"/>
      <c r="C23" s="86"/>
      <c r="D23" s="86"/>
      <c r="E23" s="68"/>
      <c r="F23" s="68"/>
      <c r="G23" s="68"/>
      <c r="H23" s="68"/>
      <c r="I23" s="68"/>
      <c r="J23" s="68"/>
      <c r="K23" s="68"/>
      <c r="L23" s="68"/>
      <c r="M23" s="68"/>
      <c r="N23" s="68"/>
      <c r="O23" s="68"/>
    </row>
    <row r="24" spans="1:15" ht="20.25" x14ac:dyDescent="0.25">
      <c r="A24" s="84"/>
      <c r="B24" s="84"/>
      <c r="C24" s="86"/>
      <c r="D24" s="86"/>
      <c r="E24" s="68"/>
      <c r="F24" s="68"/>
      <c r="G24" s="68"/>
      <c r="H24" s="68"/>
      <c r="I24" s="68"/>
      <c r="J24" s="68"/>
      <c r="K24" s="68"/>
      <c r="L24" s="68"/>
      <c r="M24" s="68"/>
      <c r="N24" s="68"/>
      <c r="O24" s="68"/>
    </row>
    <row r="25" spans="1:15" ht="20.25" x14ac:dyDescent="0.25">
      <c r="A25" s="84"/>
      <c r="B25" s="84"/>
      <c r="C25" s="86"/>
      <c r="D25" s="86"/>
      <c r="E25" s="68"/>
      <c r="F25" s="68"/>
      <c r="G25" s="68"/>
      <c r="H25" s="68"/>
      <c r="I25" s="68"/>
      <c r="J25" s="68"/>
      <c r="K25" s="68"/>
      <c r="L25" s="68"/>
      <c r="M25" s="68"/>
      <c r="N25" s="68"/>
      <c r="O25" s="68"/>
    </row>
    <row r="26" spans="1:15" ht="20.25" x14ac:dyDescent="0.25">
      <c r="A26" s="84"/>
      <c r="B26" s="84"/>
      <c r="C26" s="86"/>
      <c r="D26" s="86"/>
      <c r="E26" s="68"/>
      <c r="F26" s="68"/>
      <c r="G26" s="68"/>
      <c r="H26" s="68"/>
      <c r="I26" s="68"/>
      <c r="J26" s="68"/>
      <c r="K26" s="68"/>
      <c r="L26" s="68"/>
      <c r="M26" s="68"/>
      <c r="N26" s="68"/>
      <c r="O26" s="68"/>
    </row>
    <row r="27" spans="1:15" ht="20.25" x14ac:dyDescent="0.25">
      <c r="A27" s="84"/>
      <c r="B27" s="84"/>
      <c r="C27" s="86"/>
      <c r="D27" s="86"/>
      <c r="E27" s="68"/>
      <c r="F27" s="68"/>
      <c r="G27" s="68"/>
      <c r="H27" s="68"/>
      <c r="I27" s="68"/>
      <c r="J27" s="68"/>
      <c r="K27" s="68"/>
      <c r="L27" s="68"/>
      <c r="M27" s="68"/>
      <c r="N27" s="68"/>
      <c r="O27" s="68"/>
    </row>
    <row r="28" spans="1:15" ht="20.25" x14ac:dyDescent="0.25">
      <c r="A28" s="84"/>
      <c r="B28" s="84"/>
      <c r="C28" s="86"/>
      <c r="D28" s="86"/>
      <c r="E28" s="68"/>
      <c r="F28" s="68"/>
      <c r="G28" s="68"/>
      <c r="H28" s="68"/>
      <c r="I28" s="68"/>
      <c r="J28" s="68"/>
      <c r="K28" s="68"/>
      <c r="L28" s="68"/>
      <c r="M28" s="68"/>
      <c r="N28" s="68"/>
      <c r="O28" s="68"/>
    </row>
    <row r="29" spans="1:15" ht="20.25" x14ac:dyDescent="0.25">
      <c r="A29" s="84"/>
      <c r="B29" s="84"/>
      <c r="C29" s="86"/>
      <c r="D29" s="86"/>
      <c r="E29" s="68"/>
      <c r="F29" s="68"/>
      <c r="G29" s="68"/>
      <c r="H29" s="68"/>
      <c r="I29" s="68"/>
      <c r="J29" s="68"/>
      <c r="K29" s="68"/>
      <c r="L29" s="68"/>
      <c r="M29" s="68"/>
      <c r="N29" s="68"/>
      <c r="O29" s="68"/>
    </row>
    <row r="30" spans="1:15" ht="20.25" x14ac:dyDescent="0.25">
      <c r="A30" s="84"/>
      <c r="B30" s="84"/>
      <c r="C30" s="86"/>
      <c r="D30" s="86"/>
      <c r="E30" s="68"/>
      <c r="F30" s="68"/>
      <c r="G30" s="68"/>
      <c r="H30" s="68"/>
      <c r="I30" s="68"/>
      <c r="J30" s="68"/>
      <c r="K30" s="68"/>
      <c r="L30" s="68"/>
      <c r="M30" s="68"/>
      <c r="N30" s="68"/>
      <c r="O30" s="68"/>
    </row>
    <row r="31" spans="1:15" ht="20.25" x14ac:dyDescent="0.25">
      <c r="A31" s="84"/>
      <c r="B31" s="84"/>
      <c r="C31" s="86"/>
      <c r="D31" s="86"/>
      <c r="E31" s="68"/>
      <c r="F31" s="68"/>
      <c r="G31" s="68"/>
      <c r="H31" s="68"/>
      <c r="I31" s="68"/>
      <c r="J31" s="68"/>
      <c r="K31" s="68"/>
      <c r="L31" s="68"/>
      <c r="M31" s="68"/>
      <c r="N31" s="68"/>
      <c r="O31" s="68"/>
    </row>
    <row r="32" spans="1:15" ht="20.25" x14ac:dyDescent="0.25">
      <c r="A32" s="84"/>
      <c r="B32" s="84"/>
      <c r="C32" s="86"/>
      <c r="D32" s="86"/>
      <c r="E32" s="68"/>
      <c r="F32" s="68"/>
      <c r="G32" s="68"/>
      <c r="H32" s="68"/>
      <c r="I32" s="68"/>
      <c r="J32" s="68"/>
      <c r="K32" s="68"/>
      <c r="L32" s="68"/>
      <c r="M32" s="68"/>
      <c r="N32" s="68"/>
      <c r="O32" s="68"/>
    </row>
    <row r="33" spans="1:15" ht="20.25" x14ac:dyDescent="0.25">
      <c r="A33" s="84"/>
      <c r="B33" s="84"/>
      <c r="C33" s="86"/>
      <c r="D33" s="86"/>
      <c r="E33" s="68"/>
      <c r="F33" s="68"/>
      <c r="G33" s="68"/>
      <c r="H33" s="68"/>
      <c r="I33" s="68"/>
      <c r="J33" s="68"/>
      <c r="K33" s="68"/>
      <c r="L33" s="68"/>
      <c r="M33" s="68"/>
      <c r="N33" s="68"/>
      <c r="O33" s="68"/>
    </row>
    <row r="34" spans="1:15" ht="20.25" x14ac:dyDescent="0.25">
      <c r="A34" s="84"/>
      <c r="B34" s="84"/>
      <c r="C34" s="86"/>
      <c r="D34" s="86"/>
      <c r="E34" s="68"/>
      <c r="F34" s="68"/>
      <c r="G34" s="68"/>
      <c r="H34" s="68"/>
      <c r="I34" s="68"/>
      <c r="J34" s="68"/>
      <c r="K34" s="68"/>
      <c r="L34" s="68"/>
      <c r="M34" s="68"/>
      <c r="N34" s="68"/>
      <c r="O34" s="68"/>
    </row>
    <row r="35" spans="1:15" ht="20.25" x14ac:dyDescent="0.25">
      <c r="A35" s="84"/>
      <c r="B35" s="84"/>
      <c r="C35" s="86"/>
      <c r="D35" s="86"/>
      <c r="E35" s="68"/>
      <c r="F35" s="68"/>
      <c r="G35" s="68"/>
      <c r="H35" s="68"/>
      <c r="I35" s="68"/>
      <c r="J35" s="68"/>
      <c r="K35" s="68"/>
      <c r="L35" s="68"/>
      <c r="M35" s="68"/>
      <c r="N35" s="68"/>
      <c r="O35" s="68"/>
    </row>
    <row r="36" spans="1:15" ht="20.25" x14ac:dyDescent="0.25">
      <c r="A36" s="84"/>
      <c r="B36" s="84"/>
      <c r="C36" s="86"/>
      <c r="D36" s="86"/>
      <c r="E36" s="68"/>
      <c r="F36" s="68"/>
      <c r="G36" s="68"/>
      <c r="H36" s="68"/>
      <c r="I36" s="68"/>
      <c r="J36" s="68"/>
      <c r="K36" s="68"/>
      <c r="L36" s="68"/>
      <c r="M36" s="68"/>
      <c r="N36" s="68"/>
      <c r="O36" s="68"/>
    </row>
    <row r="37" spans="1:15" ht="20.25" x14ac:dyDescent="0.25">
      <c r="A37" s="84"/>
      <c r="B37" s="84"/>
      <c r="C37" s="86"/>
      <c r="D37" s="86"/>
      <c r="E37" s="68"/>
      <c r="F37" s="68"/>
      <c r="G37" s="68"/>
      <c r="H37" s="68"/>
      <c r="I37" s="68"/>
      <c r="J37" s="68"/>
      <c r="K37" s="68"/>
      <c r="L37" s="68"/>
      <c r="M37" s="68"/>
      <c r="N37" s="68"/>
      <c r="O37" s="68"/>
    </row>
    <row r="38" spans="1:15" ht="20.25" x14ac:dyDescent="0.25">
      <c r="A38" s="84"/>
      <c r="B38" s="84"/>
      <c r="C38" s="86"/>
      <c r="D38" s="86"/>
      <c r="E38" s="68"/>
      <c r="F38" s="68"/>
      <c r="G38" s="68"/>
      <c r="H38" s="68"/>
      <c r="I38" s="68"/>
      <c r="J38" s="68"/>
      <c r="K38" s="68"/>
      <c r="L38" s="68"/>
      <c r="M38" s="68"/>
      <c r="N38" s="68"/>
      <c r="O38" s="68"/>
    </row>
    <row r="39" spans="1:15" ht="20.25" x14ac:dyDescent="0.25">
      <c r="A39" s="84"/>
      <c r="B39" s="84"/>
      <c r="C39" s="86"/>
      <c r="D39" s="86"/>
      <c r="E39" s="68"/>
      <c r="F39" s="68"/>
      <c r="G39" s="68"/>
      <c r="H39" s="68"/>
      <c r="I39" s="68"/>
      <c r="J39" s="68"/>
      <c r="K39" s="68"/>
      <c r="L39" s="68"/>
      <c r="M39" s="68"/>
      <c r="N39" s="68"/>
      <c r="O39" s="68"/>
    </row>
    <row r="40" spans="1:15" ht="20.25" x14ac:dyDescent="0.25">
      <c r="A40" s="84"/>
      <c r="B40" s="84"/>
      <c r="C40" s="86"/>
      <c r="D40" s="86"/>
      <c r="E40" s="68"/>
      <c r="F40" s="68"/>
      <c r="G40" s="68"/>
      <c r="H40" s="68"/>
      <c r="I40" s="68"/>
      <c r="J40" s="68"/>
      <c r="K40" s="68"/>
      <c r="L40" s="68"/>
      <c r="M40" s="68"/>
      <c r="N40" s="68"/>
      <c r="O40" s="68"/>
    </row>
    <row r="41" spans="1:15" ht="20.25" x14ac:dyDescent="0.25">
      <c r="A41" s="84"/>
      <c r="B41" s="84"/>
      <c r="C41" s="86"/>
      <c r="D41" s="86"/>
      <c r="E41" s="68"/>
      <c r="F41" s="68"/>
      <c r="G41" s="68"/>
      <c r="H41" s="68"/>
      <c r="I41" s="68"/>
      <c r="J41" s="68"/>
      <c r="K41" s="68"/>
      <c r="L41" s="68"/>
      <c r="M41" s="68"/>
      <c r="N41" s="68"/>
      <c r="O41" s="68"/>
    </row>
    <row r="42" spans="1:15" ht="20.25" x14ac:dyDescent="0.25">
      <c r="A42" s="84"/>
      <c r="B42" s="84"/>
      <c r="C42" s="86"/>
      <c r="D42" s="86"/>
      <c r="E42" s="68"/>
      <c r="F42" s="68"/>
      <c r="G42" s="68"/>
      <c r="H42" s="68"/>
      <c r="I42" s="68"/>
      <c r="J42" s="68"/>
      <c r="K42" s="68"/>
      <c r="L42" s="68"/>
      <c r="M42" s="68"/>
      <c r="N42" s="68"/>
      <c r="O42" s="68"/>
    </row>
    <row r="43" spans="1:15" ht="20.25" x14ac:dyDescent="0.25">
      <c r="A43" s="84"/>
      <c r="B43" s="84"/>
      <c r="C43" s="86"/>
      <c r="D43" s="86"/>
      <c r="E43" s="68"/>
      <c r="F43" s="68"/>
      <c r="G43" s="68"/>
      <c r="H43" s="68"/>
      <c r="I43" s="68"/>
      <c r="J43" s="68"/>
      <c r="K43" s="68"/>
      <c r="L43" s="68"/>
      <c r="M43" s="68"/>
      <c r="N43" s="68"/>
      <c r="O43" s="68"/>
    </row>
    <row r="44" spans="1:15" ht="20.25" x14ac:dyDescent="0.25">
      <c r="A44" s="84"/>
      <c r="B44" s="84"/>
      <c r="C44" s="86"/>
      <c r="D44" s="86"/>
      <c r="E44" s="68"/>
      <c r="F44" s="68"/>
      <c r="G44" s="68"/>
      <c r="H44" s="68"/>
      <c r="I44" s="68"/>
      <c r="J44" s="68"/>
      <c r="K44" s="68"/>
      <c r="L44" s="68"/>
      <c r="M44" s="68"/>
      <c r="N44" s="68"/>
      <c r="O44" s="68"/>
    </row>
    <row r="45" spans="1:15" ht="20.25" x14ac:dyDescent="0.25">
      <c r="A45" s="84"/>
      <c r="B45" s="84"/>
      <c r="C45" s="86"/>
      <c r="D45" s="86"/>
      <c r="E45" s="68"/>
      <c r="F45" s="68"/>
      <c r="G45" s="68"/>
      <c r="H45" s="68"/>
      <c r="I45" s="68"/>
      <c r="J45" s="68"/>
      <c r="K45" s="68"/>
      <c r="L45" s="68"/>
      <c r="M45" s="68"/>
      <c r="N45" s="68"/>
      <c r="O45" s="68"/>
    </row>
    <row r="46" spans="1:15" ht="20.25" x14ac:dyDescent="0.25">
      <c r="A46" s="84"/>
      <c r="B46" s="84"/>
      <c r="C46" s="86"/>
      <c r="D46" s="86"/>
      <c r="E46" s="68"/>
      <c r="F46" s="68"/>
      <c r="G46" s="68"/>
      <c r="H46" s="68"/>
      <c r="I46" s="68"/>
      <c r="J46" s="68"/>
      <c r="K46" s="68"/>
      <c r="L46" s="68"/>
      <c r="M46" s="68"/>
      <c r="N46" s="68"/>
      <c r="O46" s="68"/>
    </row>
    <row r="47" spans="1:15" ht="20.25" x14ac:dyDescent="0.25">
      <c r="A47" s="84"/>
      <c r="B47" s="84"/>
      <c r="C47" s="86"/>
      <c r="D47" s="86"/>
      <c r="E47" s="68"/>
      <c r="F47" s="68"/>
      <c r="G47" s="68"/>
      <c r="H47" s="68"/>
      <c r="I47" s="68"/>
      <c r="J47" s="68"/>
      <c r="K47" s="68"/>
      <c r="L47" s="68"/>
      <c r="M47" s="68"/>
      <c r="N47" s="68"/>
      <c r="O47" s="68"/>
    </row>
    <row r="48" spans="1:15" ht="20.25" x14ac:dyDescent="0.25">
      <c r="A48" s="84"/>
      <c r="B48" s="84"/>
      <c r="C48" s="86"/>
      <c r="D48" s="86"/>
      <c r="E48" s="68"/>
      <c r="F48" s="68"/>
      <c r="G48" s="68"/>
      <c r="H48" s="68"/>
      <c r="I48" s="68"/>
      <c r="J48" s="68"/>
      <c r="K48" s="68"/>
      <c r="L48" s="68"/>
      <c r="M48" s="68"/>
      <c r="N48" s="68"/>
      <c r="O48" s="68"/>
    </row>
    <row r="49" spans="1:15" ht="20.25" x14ac:dyDescent="0.25">
      <c r="A49" s="84"/>
      <c r="B49" s="84"/>
      <c r="C49" s="86"/>
      <c r="D49" s="86"/>
      <c r="E49" s="68"/>
      <c r="F49" s="68"/>
      <c r="G49" s="68"/>
      <c r="H49" s="68"/>
      <c r="I49" s="68"/>
      <c r="J49" s="68"/>
      <c r="K49" s="68"/>
      <c r="L49" s="68"/>
      <c r="M49" s="68"/>
      <c r="N49" s="68"/>
      <c r="O49" s="68"/>
    </row>
    <row r="50" spans="1:15" ht="20.25" x14ac:dyDescent="0.25">
      <c r="A50" s="84"/>
      <c r="B50" s="84"/>
      <c r="C50" s="86"/>
      <c r="D50" s="86"/>
      <c r="E50" s="68"/>
      <c r="F50" s="68"/>
      <c r="G50" s="68"/>
      <c r="H50" s="68"/>
      <c r="I50" s="68"/>
      <c r="J50" s="68"/>
      <c r="K50" s="68"/>
      <c r="L50" s="68"/>
      <c r="M50" s="68"/>
      <c r="N50" s="68"/>
      <c r="O50" s="68"/>
    </row>
    <row r="51" spans="1:15" ht="20.25" x14ac:dyDescent="0.25">
      <c r="A51" s="84"/>
      <c r="B51" s="84"/>
      <c r="C51" s="86"/>
      <c r="D51" s="86"/>
      <c r="E51" s="68"/>
      <c r="F51" s="68"/>
      <c r="G51" s="68"/>
      <c r="H51" s="68"/>
      <c r="I51" s="68"/>
      <c r="J51" s="68"/>
      <c r="K51" s="68"/>
      <c r="L51" s="68"/>
      <c r="M51" s="68"/>
      <c r="N51" s="68"/>
      <c r="O51" s="68"/>
    </row>
    <row r="52" spans="1:15" ht="20.25" x14ac:dyDescent="0.25">
      <c r="A52" s="84"/>
      <c r="B52" s="15"/>
      <c r="C52" s="20"/>
      <c r="D52" s="20"/>
    </row>
    <row r="53" spans="1:15" ht="20.25" x14ac:dyDescent="0.25">
      <c r="A53" s="84"/>
      <c r="B53" s="15"/>
      <c r="C53" s="20"/>
      <c r="D53" s="20"/>
    </row>
    <row r="54" spans="1:15" ht="20.25" x14ac:dyDescent="0.25">
      <c r="A54" s="84"/>
      <c r="B54" s="15"/>
      <c r="C54" s="20"/>
      <c r="D54" s="20"/>
    </row>
    <row r="55" spans="1:15" ht="20.25" x14ac:dyDescent="0.25">
      <c r="A55" s="84"/>
      <c r="B55" s="15"/>
      <c r="C55" s="20"/>
      <c r="D55" s="20"/>
    </row>
    <row r="56" spans="1:15" ht="20.25" x14ac:dyDescent="0.25">
      <c r="A56" s="84"/>
      <c r="B56" s="15"/>
      <c r="C56" s="20"/>
      <c r="D56" s="20"/>
    </row>
    <row r="57" spans="1:15" ht="20.25" x14ac:dyDescent="0.25">
      <c r="A57" s="84"/>
      <c r="B57" s="15"/>
      <c r="C57" s="20"/>
      <c r="D57" s="20"/>
    </row>
    <row r="58" spans="1:15" ht="20.25" x14ac:dyDescent="0.25">
      <c r="A58" s="84"/>
      <c r="B58" s="15"/>
      <c r="C58" s="20"/>
      <c r="D58" s="20"/>
    </row>
    <row r="59" spans="1:15" ht="20.25" x14ac:dyDescent="0.25">
      <c r="A59" s="84"/>
      <c r="B59" s="15"/>
      <c r="C59" s="20"/>
      <c r="D59" s="20"/>
    </row>
    <row r="60" spans="1:15" ht="20.25" x14ac:dyDescent="0.25">
      <c r="A60" s="84"/>
      <c r="B60" s="15"/>
      <c r="C60" s="20"/>
      <c r="D60" s="20"/>
    </row>
    <row r="61" spans="1:15" ht="20.25" x14ac:dyDescent="0.25">
      <c r="A61" s="84"/>
      <c r="B61" s="15"/>
      <c r="C61" s="20"/>
      <c r="D61" s="20"/>
    </row>
    <row r="62" spans="1:15" ht="20.25" x14ac:dyDescent="0.25">
      <c r="A62" s="84"/>
      <c r="B62" s="15"/>
      <c r="C62" s="20"/>
      <c r="D62" s="20"/>
    </row>
    <row r="63" spans="1:15" ht="20.25" x14ac:dyDescent="0.25">
      <c r="A63" s="84"/>
      <c r="B63" s="15"/>
      <c r="C63" s="20"/>
      <c r="D63" s="20"/>
    </row>
    <row r="64" spans="1:15" ht="20.25" x14ac:dyDescent="0.25">
      <c r="A64" s="84"/>
      <c r="B64" s="15"/>
      <c r="C64" s="20"/>
      <c r="D64" s="20"/>
    </row>
    <row r="65" spans="1:4" ht="20.25" x14ac:dyDescent="0.25">
      <c r="A65" s="84"/>
      <c r="B65" s="15"/>
      <c r="C65" s="20"/>
      <c r="D65" s="20"/>
    </row>
    <row r="66" spans="1:4" ht="20.25" x14ac:dyDescent="0.25">
      <c r="A66" s="84"/>
      <c r="B66" s="15"/>
      <c r="C66" s="20"/>
      <c r="D66" s="20"/>
    </row>
    <row r="67" spans="1:4" ht="20.25" x14ac:dyDescent="0.25">
      <c r="A67" s="84"/>
      <c r="B67" s="15"/>
      <c r="C67" s="20"/>
      <c r="D67" s="20"/>
    </row>
    <row r="68" spans="1:4" ht="20.25" x14ac:dyDescent="0.25">
      <c r="A68" s="84"/>
      <c r="B68" s="15"/>
      <c r="C68" s="20"/>
      <c r="D68" s="20"/>
    </row>
    <row r="69" spans="1:4" ht="20.25" x14ac:dyDescent="0.25">
      <c r="A69" s="84"/>
      <c r="B69" s="15"/>
      <c r="C69" s="20"/>
      <c r="D69" s="20"/>
    </row>
    <row r="70" spans="1:4" ht="20.25" x14ac:dyDescent="0.25">
      <c r="A70" s="84"/>
      <c r="B70" s="15"/>
      <c r="C70" s="20"/>
      <c r="D70" s="20"/>
    </row>
    <row r="71" spans="1:4" ht="20.25" x14ac:dyDescent="0.25">
      <c r="A71" s="84"/>
      <c r="B71" s="15"/>
      <c r="C71" s="20"/>
      <c r="D71" s="20"/>
    </row>
    <row r="72" spans="1:4" ht="20.25" x14ac:dyDescent="0.25">
      <c r="A72" s="84"/>
      <c r="B72" s="15"/>
      <c r="C72" s="20"/>
      <c r="D72" s="20"/>
    </row>
    <row r="73" spans="1:4" ht="20.25" x14ac:dyDescent="0.25">
      <c r="A73" s="84"/>
      <c r="B73" s="15"/>
      <c r="C73" s="20"/>
      <c r="D73" s="20"/>
    </row>
    <row r="74" spans="1:4" ht="20.25" x14ac:dyDescent="0.25">
      <c r="A74" s="84"/>
      <c r="B74" s="15"/>
      <c r="C74" s="20"/>
      <c r="D74" s="20"/>
    </row>
    <row r="75" spans="1:4" ht="20.25" x14ac:dyDescent="0.25">
      <c r="A75" s="84"/>
      <c r="B75" s="15"/>
      <c r="C75" s="20"/>
      <c r="D75" s="20"/>
    </row>
    <row r="76" spans="1:4" ht="20.25" x14ac:dyDescent="0.25">
      <c r="A76" s="84"/>
      <c r="B76" s="15"/>
      <c r="C76" s="20"/>
      <c r="D76" s="20"/>
    </row>
    <row r="77" spans="1:4" ht="20.25" x14ac:dyDescent="0.25">
      <c r="A77" s="84"/>
      <c r="B77" s="15"/>
      <c r="C77" s="20"/>
      <c r="D77" s="20"/>
    </row>
    <row r="78" spans="1:4" ht="20.25" x14ac:dyDescent="0.25">
      <c r="A78" s="84"/>
      <c r="B78" s="15"/>
      <c r="C78" s="20"/>
      <c r="D78" s="20"/>
    </row>
    <row r="79" spans="1:4" ht="20.25" x14ac:dyDescent="0.25">
      <c r="A79" s="84"/>
      <c r="B79" s="15"/>
      <c r="C79" s="20"/>
      <c r="D79" s="20"/>
    </row>
    <row r="80" spans="1:4" ht="20.25" x14ac:dyDescent="0.25">
      <c r="A80" s="84"/>
      <c r="B80" s="15"/>
      <c r="C80" s="20"/>
      <c r="D80" s="20"/>
    </row>
    <row r="81" spans="1:4" ht="20.25" x14ac:dyDescent="0.25">
      <c r="A81" s="84"/>
      <c r="B81" s="15"/>
      <c r="C81" s="20"/>
      <c r="D81" s="20"/>
    </row>
    <row r="82" spans="1:4" ht="20.25" x14ac:dyDescent="0.25">
      <c r="A82" s="84"/>
      <c r="B82" s="15"/>
      <c r="C82" s="20"/>
      <c r="D82" s="20"/>
    </row>
    <row r="83" spans="1:4" ht="20.25" x14ac:dyDescent="0.25">
      <c r="A83" s="84"/>
      <c r="B83" s="15"/>
      <c r="C83" s="20"/>
      <c r="D83" s="20"/>
    </row>
    <row r="84" spans="1:4" ht="20.25" x14ac:dyDescent="0.25">
      <c r="A84" s="84"/>
      <c r="B84" s="15"/>
      <c r="C84" s="20"/>
      <c r="D84" s="20"/>
    </row>
    <row r="85" spans="1:4" ht="20.25" x14ac:dyDescent="0.25">
      <c r="A85" s="84"/>
      <c r="B85" s="15"/>
      <c r="C85" s="20"/>
      <c r="D85" s="20"/>
    </row>
    <row r="86" spans="1:4" ht="20.25" x14ac:dyDescent="0.25">
      <c r="A86" s="84"/>
      <c r="B86" s="15"/>
      <c r="C86" s="20"/>
      <c r="D86" s="20"/>
    </row>
    <row r="87" spans="1:4" ht="20.25" x14ac:dyDescent="0.25">
      <c r="A87" s="84"/>
      <c r="B87" s="15"/>
      <c r="C87" s="20"/>
      <c r="D87" s="20"/>
    </row>
    <row r="88" spans="1:4" ht="20.25" x14ac:dyDescent="0.25">
      <c r="A88" s="84"/>
      <c r="B88" s="15"/>
      <c r="C88" s="20"/>
      <c r="D88" s="20"/>
    </row>
    <row r="89" spans="1:4" ht="20.25" x14ac:dyDescent="0.25">
      <c r="A89" s="84"/>
      <c r="B89" s="15"/>
      <c r="C89" s="20"/>
      <c r="D89" s="20"/>
    </row>
    <row r="90" spans="1:4" ht="20.25" x14ac:dyDescent="0.25">
      <c r="A90" s="84"/>
      <c r="B90" s="15"/>
      <c r="C90" s="20"/>
      <c r="D90" s="20"/>
    </row>
    <row r="91" spans="1:4" ht="20.25" x14ac:dyDescent="0.25">
      <c r="A91" s="84"/>
      <c r="B91" s="15"/>
      <c r="C91" s="20"/>
      <c r="D91" s="20"/>
    </row>
    <row r="92" spans="1:4" ht="20.25" x14ac:dyDescent="0.25">
      <c r="A92" s="84"/>
      <c r="B92" s="15"/>
      <c r="C92" s="20"/>
      <c r="D92" s="20"/>
    </row>
    <row r="93" spans="1:4" ht="20.25" x14ac:dyDescent="0.25">
      <c r="A93" s="84"/>
      <c r="B93" s="15"/>
      <c r="C93" s="20"/>
      <c r="D93" s="20"/>
    </row>
    <row r="94" spans="1:4" ht="20.25" x14ac:dyDescent="0.25">
      <c r="A94" s="84"/>
      <c r="B94" s="15"/>
      <c r="C94" s="20"/>
      <c r="D94" s="20"/>
    </row>
    <row r="95" spans="1:4" ht="20.25" x14ac:dyDescent="0.25">
      <c r="A95" s="84"/>
      <c r="B95" s="15"/>
      <c r="C95" s="20"/>
      <c r="D95" s="20"/>
    </row>
    <row r="96" spans="1:4" ht="20.25" x14ac:dyDescent="0.25">
      <c r="A96" s="84"/>
      <c r="B96" s="15"/>
      <c r="C96" s="20"/>
      <c r="D96" s="20"/>
    </row>
    <row r="97" spans="1:4" ht="20.25" x14ac:dyDescent="0.25">
      <c r="A97" s="84"/>
      <c r="B97" s="15"/>
      <c r="C97" s="20"/>
      <c r="D97" s="20"/>
    </row>
    <row r="98" spans="1:4" ht="20.25" x14ac:dyDescent="0.25">
      <c r="A98" s="84"/>
      <c r="B98" s="15"/>
      <c r="C98" s="20"/>
      <c r="D98" s="20"/>
    </row>
    <row r="99" spans="1:4" ht="20.25" x14ac:dyDescent="0.25">
      <c r="A99" s="84"/>
      <c r="B99" s="15"/>
      <c r="C99" s="20"/>
      <c r="D99" s="20"/>
    </row>
    <row r="100" spans="1:4" ht="20.25" x14ac:dyDescent="0.25">
      <c r="A100" s="84"/>
      <c r="B100" s="15"/>
      <c r="C100" s="20"/>
      <c r="D100" s="20"/>
    </row>
    <row r="101" spans="1:4" ht="20.25" x14ac:dyDescent="0.25">
      <c r="A101" s="84"/>
      <c r="B101" s="15"/>
      <c r="C101" s="20"/>
      <c r="D101" s="20"/>
    </row>
    <row r="102" spans="1:4" ht="20.25" x14ac:dyDescent="0.25">
      <c r="A102" s="84"/>
      <c r="B102" s="15"/>
      <c r="C102" s="20"/>
      <c r="D102" s="20"/>
    </row>
    <row r="103" spans="1:4" ht="20.25" x14ac:dyDescent="0.25">
      <c r="A103" s="84"/>
      <c r="B103" s="15"/>
      <c r="C103" s="20"/>
      <c r="D103" s="20"/>
    </row>
    <row r="104" spans="1:4" ht="20.25" x14ac:dyDescent="0.25">
      <c r="A104" s="84"/>
      <c r="B104" s="15"/>
      <c r="C104" s="20"/>
      <c r="D104" s="20"/>
    </row>
    <row r="105" spans="1:4" ht="20.25" x14ac:dyDescent="0.25">
      <c r="A105" s="84"/>
      <c r="B105" s="15"/>
      <c r="C105" s="20"/>
      <c r="D105" s="20"/>
    </row>
    <row r="106" spans="1:4" ht="20.25" x14ac:dyDescent="0.25">
      <c r="A106" s="84"/>
      <c r="B106" s="15"/>
      <c r="C106" s="20"/>
      <c r="D106" s="20"/>
    </row>
    <row r="107" spans="1:4" ht="20.25" x14ac:dyDescent="0.25">
      <c r="A107" s="84"/>
      <c r="B107" s="15"/>
      <c r="C107" s="20"/>
      <c r="D107" s="20"/>
    </row>
    <row r="108" spans="1:4" ht="20.25" x14ac:dyDescent="0.25">
      <c r="A108" s="84"/>
      <c r="B108" s="15"/>
      <c r="C108" s="20"/>
      <c r="D108" s="20"/>
    </row>
    <row r="109" spans="1:4" ht="20.25" x14ac:dyDescent="0.25">
      <c r="A109" s="84"/>
      <c r="B109" s="15"/>
      <c r="C109" s="20"/>
      <c r="D109" s="20"/>
    </row>
    <row r="110" spans="1:4" ht="20.25" x14ac:dyDescent="0.25">
      <c r="A110" s="84"/>
      <c r="B110" s="15"/>
      <c r="C110" s="20"/>
      <c r="D110" s="20"/>
    </row>
    <row r="111" spans="1:4" ht="20.25" x14ac:dyDescent="0.25">
      <c r="A111" s="84"/>
      <c r="B111" s="15"/>
      <c r="C111" s="20"/>
      <c r="D111" s="20"/>
    </row>
    <row r="112" spans="1:4" ht="20.25" x14ac:dyDescent="0.25">
      <c r="A112" s="84"/>
      <c r="B112" s="15"/>
      <c r="C112" s="20"/>
      <c r="D112" s="20"/>
    </row>
    <row r="113" spans="1:4" ht="20.25" x14ac:dyDescent="0.25">
      <c r="A113" s="84"/>
      <c r="B113" s="15"/>
      <c r="C113" s="20"/>
      <c r="D113" s="20"/>
    </row>
    <row r="114" spans="1:4" ht="20.25" x14ac:dyDescent="0.25">
      <c r="A114" s="84"/>
      <c r="B114" s="15"/>
      <c r="C114" s="20"/>
      <c r="D114" s="20"/>
    </row>
    <row r="115" spans="1:4" ht="20.25" x14ac:dyDescent="0.25">
      <c r="A115" s="84"/>
      <c r="B115" s="15"/>
      <c r="C115" s="20"/>
      <c r="D115" s="20"/>
    </row>
    <row r="116" spans="1:4" ht="20.25" x14ac:dyDescent="0.25">
      <c r="A116" s="84"/>
      <c r="B116" s="15"/>
      <c r="C116" s="20"/>
      <c r="D116" s="20"/>
    </row>
    <row r="117" spans="1:4" ht="20.25" x14ac:dyDescent="0.25">
      <c r="A117" s="84"/>
      <c r="B117" s="15"/>
      <c r="C117" s="20"/>
      <c r="D117" s="20"/>
    </row>
    <row r="118" spans="1:4" ht="20.25" x14ac:dyDescent="0.25">
      <c r="A118" s="84"/>
      <c r="B118" s="15"/>
      <c r="C118" s="20"/>
      <c r="D118" s="20"/>
    </row>
    <row r="119" spans="1:4" ht="20.25" x14ac:dyDescent="0.25">
      <c r="A119" s="84"/>
      <c r="B119" s="15"/>
      <c r="C119" s="20"/>
      <c r="D119" s="20"/>
    </row>
    <row r="120" spans="1:4" ht="20.25" x14ac:dyDescent="0.25">
      <c r="A120" s="84"/>
      <c r="B120" s="15"/>
      <c r="C120" s="20"/>
      <c r="D120" s="20"/>
    </row>
    <row r="121" spans="1:4" ht="20.25" x14ac:dyDescent="0.25">
      <c r="A121" s="84"/>
      <c r="B121" s="15"/>
      <c r="C121" s="20"/>
      <c r="D121" s="20"/>
    </row>
    <row r="122" spans="1:4" ht="20.25" x14ac:dyDescent="0.25">
      <c r="A122" s="84"/>
      <c r="B122" s="15"/>
      <c r="C122" s="20"/>
      <c r="D122" s="20"/>
    </row>
    <row r="123" spans="1:4" ht="20.25" x14ac:dyDescent="0.25">
      <c r="A123" s="84"/>
      <c r="B123" s="15"/>
      <c r="C123" s="20"/>
      <c r="D123" s="20"/>
    </row>
    <row r="124" spans="1:4" ht="20.25" x14ac:dyDescent="0.25">
      <c r="A124" s="84"/>
      <c r="B124" s="15"/>
      <c r="C124" s="20"/>
      <c r="D124" s="20"/>
    </row>
    <row r="125" spans="1:4" ht="20.25" x14ac:dyDescent="0.25">
      <c r="A125" s="84"/>
      <c r="B125" s="15"/>
      <c r="C125" s="20"/>
      <c r="D125" s="20"/>
    </row>
    <row r="126" spans="1:4" ht="20.25" x14ac:dyDescent="0.25">
      <c r="A126" s="84"/>
      <c r="B126" s="15"/>
      <c r="C126" s="20"/>
      <c r="D126" s="20"/>
    </row>
    <row r="127" spans="1:4" ht="20.25" x14ac:dyDescent="0.25">
      <c r="A127" s="84"/>
      <c r="B127" s="15"/>
      <c r="C127" s="20"/>
      <c r="D127" s="20"/>
    </row>
    <row r="128" spans="1:4" ht="20.25" x14ac:dyDescent="0.25">
      <c r="A128" s="84"/>
      <c r="B128" s="15"/>
      <c r="C128" s="20"/>
      <c r="D128" s="20"/>
    </row>
    <row r="129" spans="1:4" ht="20.25" x14ac:dyDescent="0.25">
      <c r="A129" s="84"/>
      <c r="B129" s="15"/>
      <c r="C129" s="20"/>
      <c r="D129" s="20"/>
    </row>
    <row r="130" spans="1:4" ht="20.25" x14ac:dyDescent="0.25">
      <c r="A130" s="84"/>
      <c r="B130" s="15"/>
      <c r="C130" s="20"/>
      <c r="D130" s="20"/>
    </row>
    <row r="131" spans="1:4" ht="20.25" x14ac:dyDescent="0.25">
      <c r="A131" s="84"/>
      <c r="B131" s="15"/>
      <c r="C131" s="20"/>
      <c r="D131" s="20"/>
    </row>
    <row r="132" spans="1:4" ht="20.25" x14ac:dyDescent="0.25">
      <c r="A132" s="84"/>
      <c r="B132" s="15"/>
      <c r="C132" s="20"/>
      <c r="D132" s="20"/>
    </row>
    <row r="133" spans="1:4" ht="20.25" x14ac:dyDescent="0.25">
      <c r="A133" s="84"/>
      <c r="B133" s="15"/>
      <c r="C133" s="20"/>
      <c r="D133" s="20"/>
    </row>
    <row r="134" spans="1:4" ht="20.25" x14ac:dyDescent="0.25">
      <c r="A134" s="84"/>
      <c r="B134" s="15"/>
      <c r="C134" s="20"/>
      <c r="D134" s="20"/>
    </row>
    <row r="135" spans="1:4" ht="20.25" x14ac:dyDescent="0.25">
      <c r="A135" s="84"/>
      <c r="B135" s="15"/>
      <c r="C135" s="20"/>
      <c r="D135" s="20"/>
    </row>
    <row r="136" spans="1:4" ht="20.25" x14ac:dyDescent="0.25">
      <c r="A136" s="84"/>
      <c r="B136" s="15"/>
      <c r="C136" s="20"/>
      <c r="D136" s="20"/>
    </row>
    <row r="137" spans="1:4" ht="20.25" x14ac:dyDescent="0.25">
      <c r="A137" s="84"/>
      <c r="B137" s="15"/>
      <c r="C137" s="20"/>
      <c r="D137" s="20"/>
    </row>
    <row r="138" spans="1:4" ht="20.25" x14ac:dyDescent="0.25">
      <c r="A138" s="84"/>
      <c r="B138" s="15"/>
      <c r="C138" s="20"/>
      <c r="D138" s="20"/>
    </row>
    <row r="139" spans="1:4" ht="20.25" x14ac:dyDescent="0.25">
      <c r="A139" s="84"/>
      <c r="B139" s="15"/>
      <c r="C139" s="20"/>
      <c r="D139" s="20"/>
    </row>
    <row r="140" spans="1:4" ht="20.25" x14ac:dyDescent="0.25">
      <c r="A140" s="84"/>
      <c r="B140" s="15"/>
      <c r="C140" s="20"/>
      <c r="D140" s="20"/>
    </row>
    <row r="141" spans="1:4" ht="20.25" x14ac:dyDescent="0.25">
      <c r="A141" s="84"/>
      <c r="B141" s="15"/>
      <c r="C141" s="20"/>
      <c r="D141" s="20"/>
    </row>
    <row r="142" spans="1:4" ht="20.25" x14ac:dyDescent="0.25">
      <c r="A142" s="84"/>
      <c r="B142" s="15"/>
      <c r="C142" s="20"/>
      <c r="D142" s="20"/>
    </row>
    <row r="143" spans="1:4" ht="20.25" x14ac:dyDescent="0.25">
      <c r="A143" s="84"/>
      <c r="B143" s="15"/>
      <c r="C143" s="20"/>
      <c r="D143" s="20"/>
    </row>
    <row r="144" spans="1:4" ht="20.25" x14ac:dyDescent="0.25">
      <c r="A144" s="84"/>
      <c r="B144" s="15"/>
      <c r="C144" s="20"/>
      <c r="D144" s="20"/>
    </row>
    <row r="145" spans="1:4" ht="20.25" x14ac:dyDescent="0.25">
      <c r="A145" s="84"/>
      <c r="B145" s="15"/>
      <c r="C145" s="20"/>
      <c r="D145" s="20"/>
    </row>
    <row r="146" spans="1:4" ht="20.25" x14ac:dyDescent="0.25">
      <c r="A146" s="84"/>
      <c r="B146" s="15"/>
      <c r="C146" s="20"/>
      <c r="D146" s="20"/>
    </row>
    <row r="147" spans="1:4" ht="20.25" x14ac:dyDescent="0.25">
      <c r="A147" s="84"/>
      <c r="B147" s="15"/>
      <c r="C147" s="20"/>
      <c r="D147" s="20"/>
    </row>
    <row r="148" spans="1:4" ht="20.25" x14ac:dyDescent="0.25">
      <c r="A148" s="84"/>
      <c r="B148" s="15"/>
      <c r="C148" s="20"/>
      <c r="D148" s="20"/>
    </row>
    <row r="149" spans="1:4" ht="20.25" x14ac:dyDescent="0.25">
      <c r="A149" s="84"/>
      <c r="B149" s="15"/>
      <c r="C149" s="20"/>
      <c r="D149" s="20"/>
    </row>
    <row r="150" spans="1:4" ht="20.25" x14ac:dyDescent="0.25">
      <c r="A150" s="84"/>
      <c r="B150" s="15"/>
      <c r="C150" s="20"/>
      <c r="D150" s="20"/>
    </row>
    <row r="151" spans="1:4" ht="20.25" x14ac:dyDescent="0.25">
      <c r="A151" s="84"/>
      <c r="B151" s="15"/>
      <c r="C151" s="20"/>
      <c r="D151" s="20"/>
    </row>
    <row r="152" spans="1:4" ht="20.25" x14ac:dyDescent="0.25">
      <c r="A152" s="84"/>
      <c r="B152" s="15"/>
      <c r="C152" s="20"/>
      <c r="D152" s="20"/>
    </row>
    <row r="153" spans="1:4" ht="20.25" x14ac:dyDescent="0.25">
      <c r="A153" s="84"/>
      <c r="B153" s="15"/>
      <c r="C153" s="20"/>
      <c r="D153" s="20"/>
    </row>
    <row r="154" spans="1:4" ht="20.25" x14ac:dyDescent="0.25">
      <c r="A154" s="84"/>
      <c r="B154" s="15"/>
      <c r="C154" s="20"/>
      <c r="D154" s="20"/>
    </row>
    <row r="155" spans="1:4" ht="20.25" x14ac:dyDescent="0.25">
      <c r="A155" s="84"/>
      <c r="B155" s="15"/>
      <c r="C155" s="20"/>
      <c r="D155" s="20"/>
    </row>
    <row r="156" spans="1:4" ht="20.25" x14ac:dyDescent="0.25">
      <c r="A156" s="84"/>
      <c r="B156" s="15"/>
      <c r="C156" s="20"/>
      <c r="D156" s="20"/>
    </row>
    <row r="157" spans="1:4" ht="20.25" x14ac:dyDescent="0.25">
      <c r="A157" s="84"/>
      <c r="B157" s="15"/>
      <c r="C157" s="20"/>
      <c r="D157" s="20"/>
    </row>
    <row r="158" spans="1:4" ht="20.25" x14ac:dyDescent="0.25">
      <c r="A158" s="84"/>
      <c r="B158" s="15"/>
      <c r="C158" s="20"/>
      <c r="D158" s="20"/>
    </row>
    <row r="159" spans="1:4" ht="20.25" x14ac:dyDescent="0.25">
      <c r="A159" s="84"/>
      <c r="B159" s="15"/>
      <c r="C159" s="20"/>
      <c r="D159" s="20"/>
    </row>
    <row r="160" spans="1:4" ht="20.25" x14ac:dyDescent="0.25">
      <c r="A160" s="84"/>
      <c r="B160" s="15"/>
      <c r="C160" s="20"/>
      <c r="D160" s="20"/>
    </row>
    <row r="161" spans="1:4" ht="20.25" x14ac:dyDescent="0.25">
      <c r="A161" s="84"/>
      <c r="B161" s="15"/>
      <c r="C161" s="20"/>
      <c r="D161" s="20"/>
    </row>
    <row r="162" spans="1:4" ht="20.25" x14ac:dyDescent="0.25">
      <c r="A162" s="84"/>
      <c r="B162" s="15"/>
      <c r="C162" s="20"/>
      <c r="D162" s="20"/>
    </row>
    <row r="163" spans="1:4" ht="20.25" x14ac:dyDescent="0.25">
      <c r="A163" s="84"/>
      <c r="B163" s="15"/>
      <c r="C163" s="20"/>
      <c r="D163" s="20"/>
    </row>
    <row r="164" spans="1:4" ht="20.25" x14ac:dyDescent="0.25">
      <c r="A164" s="84"/>
      <c r="B164" s="15"/>
      <c r="C164" s="20"/>
      <c r="D164" s="20"/>
    </row>
    <row r="165" spans="1:4" ht="20.25" x14ac:dyDescent="0.25">
      <c r="A165" s="84"/>
      <c r="B165" s="15"/>
      <c r="C165" s="20"/>
      <c r="D165" s="20"/>
    </row>
    <row r="166" spans="1:4" ht="20.25" x14ac:dyDescent="0.25">
      <c r="A166" s="84"/>
      <c r="B166" s="15"/>
      <c r="C166" s="20"/>
      <c r="D166" s="20"/>
    </row>
    <row r="167" spans="1:4" ht="20.25" x14ac:dyDescent="0.25">
      <c r="A167" s="84"/>
      <c r="B167" s="15"/>
      <c r="C167" s="20"/>
      <c r="D167" s="20"/>
    </row>
    <row r="168" spans="1:4" ht="20.25" x14ac:dyDescent="0.25">
      <c r="A168" s="84"/>
      <c r="B168" s="15"/>
      <c r="C168" s="20"/>
      <c r="D168" s="20"/>
    </row>
    <row r="169" spans="1:4" ht="20.25" x14ac:dyDescent="0.25">
      <c r="A169" s="84"/>
      <c r="B169" s="15"/>
      <c r="C169" s="20"/>
      <c r="D169" s="20"/>
    </row>
    <row r="170" spans="1:4" ht="20.25" x14ac:dyDescent="0.25">
      <c r="A170" s="84"/>
      <c r="B170" s="15"/>
      <c r="C170" s="20"/>
      <c r="D170" s="20"/>
    </row>
    <row r="171" spans="1:4" ht="20.25" x14ac:dyDescent="0.25">
      <c r="A171" s="84"/>
      <c r="B171" s="15"/>
      <c r="C171" s="20"/>
      <c r="D171" s="20"/>
    </row>
    <row r="172" spans="1:4" ht="20.25" x14ac:dyDescent="0.25">
      <c r="A172" s="84"/>
      <c r="B172" s="15"/>
      <c r="C172" s="20"/>
      <c r="D172" s="20"/>
    </row>
    <row r="173" spans="1:4" ht="20.25" x14ac:dyDescent="0.25">
      <c r="A173" s="84"/>
      <c r="B173" s="15"/>
      <c r="C173" s="20"/>
      <c r="D173" s="20"/>
    </row>
    <row r="174" spans="1:4" ht="20.25" x14ac:dyDescent="0.25">
      <c r="A174" s="84"/>
      <c r="B174" s="15"/>
      <c r="C174" s="20"/>
      <c r="D174" s="20"/>
    </row>
    <row r="175" spans="1:4" ht="20.25" x14ac:dyDescent="0.25">
      <c r="A175" s="84"/>
      <c r="B175" s="15"/>
      <c r="C175" s="20"/>
      <c r="D175" s="20"/>
    </row>
    <row r="176" spans="1:4" ht="20.25" x14ac:dyDescent="0.25">
      <c r="A176" s="84"/>
      <c r="B176" s="15"/>
      <c r="C176" s="20"/>
      <c r="D176" s="20"/>
    </row>
    <row r="177" spans="1:4" ht="20.25" x14ac:dyDescent="0.25">
      <c r="A177" s="84"/>
      <c r="B177" s="15"/>
      <c r="C177" s="20"/>
      <c r="D177" s="20"/>
    </row>
    <row r="178" spans="1:4" ht="20.25" x14ac:dyDescent="0.25">
      <c r="A178" s="84"/>
      <c r="B178" s="15"/>
      <c r="C178" s="20"/>
      <c r="D178" s="20"/>
    </row>
    <row r="179" spans="1:4" ht="20.25" x14ac:dyDescent="0.25">
      <c r="A179" s="84"/>
      <c r="B179" s="15"/>
      <c r="C179" s="20"/>
      <c r="D179" s="20"/>
    </row>
    <row r="180" spans="1:4" ht="20.25" x14ac:dyDescent="0.25">
      <c r="A180" s="84"/>
      <c r="B180" s="15"/>
      <c r="C180" s="20"/>
      <c r="D180" s="20"/>
    </row>
    <row r="181" spans="1:4" ht="20.25" x14ac:dyDescent="0.25">
      <c r="A181" s="84"/>
      <c r="B181" s="15"/>
      <c r="C181" s="20"/>
      <c r="D181" s="20"/>
    </row>
    <row r="182" spans="1:4" ht="20.25" x14ac:dyDescent="0.25">
      <c r="A182" s="84"/>
      <c r="B182" s="15"/>
      <c r="C182" s="20"/>
      <c r="D182" s="20"/>
    </row>
    <row r="183" spans="1:4" ht="20.25" x14ac:dyDescent="0.25">
      <c r="A183" s="84"/>
      <c r="B183" s="15"/>
      <c r="C183" s="20"/>
      <c r="D183" s="20"/>
    </row>
    <row r="184" spans="1:4" ht="20.25" x14ac:dyDescent="0.25">
      <c r="A184" s="84"/>
      <c r="B184" s="15"/>
      <c r="C184" s="20"/>
      <c r="D184" s="20"/>
    </row>
    <row r="185" spans="1:4" ht="20.25" x14ac:dyDescent="0.25">
      <c r="A185" s="84"/>
      <c r="B185" s="15"/>
      <c r="C185" s="20"/>
      <c r="D185" s="20"/>
    </row>
    <row r="186" spans="1:4" ht="20.25" x14ac:dyDescent="0.25">
      <c r="A186" s="84"/>
      <c r="B186" s="15"/>
      <c r="C186" s="20"/>
      <c r="D186" s="20"/>
    </row>
    <row r="187" spans="1:4" ht="20.25" x14ac:dyDescent="0.25">
      <c r="A187" s="84"/>
      <c r="B187" s="15"/>
      <c r="C187" s="20"/>
      <c r="D187" s="20"/>
    </row>
    <row r="188" spans="1:4" ht="20.25" x14ac:dyDescent="0.25">
      <c r="A188" s="84"/>
      <c r="B188" s="15"/>
      <c r="C188" s="20"/>
      <c r="D188" s="20"/>
    </row>
    <row r="189" spans="1:4" ht="20.25" x14ac:dyDescent="0.25">
      <c r="A189" s="84"/>
      <c r="B189" s="15"/>
      <c r="C189" s="20"/>
      <c r="D189" s="20"/>
    </row>
    <row r="190" spans="1:4" ht="20.25" x14ac:dyDescent="0.25">
      <c r="A190" s="84"/>
      <c r="B190" s="15"/>
      <c r="C190" s="20"/>
      <c r="D190" s="20"/>
    </row>
    <row r="191" spans="1:4" ht="20.25" x14ac:dyDescent="0.25">
      <c r="A191" s="84"/>
      <c r="B191" s="15"/>
      <c r="C191" s="20"/>
      <c r="D191" s="20"/>
    </row>
    <row r="192" spans="1:4" ht="20.25" x14ac:dyDescent="0.25">
      <c r="A192" s="84"/>
      <c r="B192" s="15"/>
      <c r="C192" s="20"/>
      <c r="D192" s="20"/>
    </row>
    <row r="193" spans="1:4" ht="20.25" x14ac:dyDescent="0.25">
      <c r="A193" s="84"/>
      <c r="B193" s="15"/>
      <c r="C193" s="20"/>
      <c r="D193" s="20"/>
    </row>
    <row r="194" spans="1:4" ht="20.25" x14ac:dyDescent="0.25">
      <c r="A194" s="84"/>
      <c r="B194" s="15"/>
      <c r="C194" s="20"/>
      <c r="D194" s="20"/>
    </row>
    <row r="195" spans="1:4" ht="20.25" x14ac:dyDescent="0.25">
      <c r="A195" s="84"/>
      <c r="B195" s="15"/>
      <c r="C195" s="20"/>
      <c r="D195" s="20"/>
    </row>
    <row r="196" spans="1:4" ht="20.25" x14ac:dyDescent="0.25">
      <c r="A196" s="84"/>
      <c r="B196" s="15"/>
      <c r="C196" s="20"/>
      <c r="D196" s="20"/>
    </row>
    <row r="197" spans="1:4" ht="20.25" x14ac:dyDescent="0.25">
      <c r="A197" s="84"/>
      <c r="B197" s="15"/>
      <c r="C197" s="20"/>
      <c r="D197" s="20"/>
    </row>
    <row r="198" spans="1:4" ht="20.25" x14ac:dyDescent="0.25">
      <c r="A198" s="84"/>
      <c r="B198" s="15"/>
      <c r="C198" s="20"/>
      <c r="D198" s="20"/>
    </row>
    <row r="199" spans="1:4" ht="20.25" x14ac:dyDescent="0.25">
      <c r="A199" s="84"/>
      <c r="B199" s="15"/>
      <c r="C199" s="20"/>
      <c r="D199" s="20"/>
    </row>
    <row r="200" spans="1:4" ht="20.25" x14ac:dyDescent="0.25">
      <c r="A200" s="84"/>
      <c r="B200" s="15"/>
      <c r="C200" s="20"/>
      <c r="D200" s="20"/>
    </row>
    <row r="201" spans="1:4" ht="20.25" x14ac:dyDescent="0.25">
      <c r="A201" s="84"/>
      <c r="B201" s="15"/>
      <c r="C201" s="20"/>
      <c r="D201" s="20"/>
    </row>
    <row r="202" spans="1:4" ht="20.25" x14ac:dyDescent="0.25">
      <c r="A202" s="84"/>
      <c r="B202" s="15"/>
      <c r="C202" s="20"/>
      <c r="D202" s="20"/>
    </row>
    <row r="203" spans="1:4" ht="20.25" x14ac:dyDescent="0.25">
      <c r="A203" s="84"/>
      <c r="B203" s="15"/>
      <c r="C203" s="20"/>
      <c r="D203" s="20"/>
    </row>
    <row r="204" spans="1:4" ht="20.25" x14ac:dyDescent="0.25">
      <c r="A204" s="84"/>
      <c r="B204" s="15"/>
      <c r="C204" s="20"/>
      <c r="D204" s="20"/>
    </row>
    <row r="205" spans="1:4" ht="20.25" x14ac:dyDescent="0.25">
      <c r="A205" s="84"/>
      <c r="B205" s="15"/>
      <c r="C205" s="20"/>
      <c r="D205" s="20"/>
    </row>
    <row r="206" spans="1:4" ht="20.25" x14ac:dyDescent="0.25">
      <c r="A206" s="84"/>
      <c r="B206" s="15"/>
      <c r="C206" s="20"/>
      <c r="D206" s="20"/>
    </row>
    <row r="207" spans="1:4" ht="20.25" x14ac:dyDescent="0.25">
      <c r="A207" s="84"/>
      <c r="B207" s="15"/>
      <c r="C207" s="20"/>
      <c r="D207" s="20"/>
    </row>
    <row r="208" spans="1:4" x14ac:dyDescent="0.25">
      <c r="A208" s="68"/>
      <c r="B208" s="15"/>
      <c r="C208" s="15"/>
      <c r="D208" s="15"/>
    </row>
    <row r="209" spans="1:8" ht="20.25" x14ac:dyDescent="0.25">
      <c r="A209" s="68"/>
      <c r="B209" s="16" t="s">
        <v>394</v>
      </c>
      <c r="C209" s="16" t="s">
        <v>395</v>
      </c>
      <c r="D209" s="19" t="s">
        <v>394</v>
      </c>
      <c r="E209" s="19" t="s">
        <v>395</v>
      </c>
    </row>
    <row r="210" spans="1:8" ht="21" x14ac:dyDescent="0.35">
      <c r="A210" s="68"/>
      <c r="B210" s="17" t="s">
        <v>396</v>
      </c>
      <c r="C210" s="17" t="s">
        <v>397</v>
      </c>
      <c r="D210" t="s">
        <v>396</v>
      </c>
      <c r="F210" t="str">
        <f>IF(NOT(ISBLANK(D210)),D210,IF(NOT(ISBLANK(E210)),"     "&amp;E210,FALSE))</f>
        <v>Afectación Económica o presupuestal</v>
      </c>
      <c r="G210" t="s">
        <v>396</v>
      </c>
      <c r="H210" t="str">
        <f>IF(NOT(ISERROR(MATCH(G210,_xlfn.ANCHORARRAY(B221),0))),F223&amp;"Por favor no seleccionar los criterios de impacto",G210)</f>
        <v>❌Por favor no seleccionar los criterios de impacto</v>
      </c>
    </row>
    <row r="211" spans="1:8" ht="21" x14ac:dyDescent="0.35">
      <c r="A211" s="68"/>
      <c r="B211" s="17" t="s">
        <v>396</v>
      </c>
      <c r="C211" s="17" t="s">
        <v>381</v>
      </c>
      <c r="E211" t="s">
        <v>397</v>
      </c>
      <c r="F211" t="str">
        <f t="shared" ref="F211:F221" si="0">IF(NOT(ISBLANK(D211)),D211,IF(NOT(ISBLANK(E211)),"     "&amp;E211,FALSE))</f>
        <v xml:space="preserve">     Afectación menor a 10 SMLMV .</v>
      </c>
    </row>
    <row r="212" spans="1:8" ht="21" x14ac:dyDescent="0.35">
      <c r="A212" s="68"/>
      <c r="B212" s="17" t="s">
        <v>396</v>
      </c>
      <c r="C212" s="17" t="s">
        <v>384</v>
      </c>
      <c r="E212" t="s">
        <v>381</v>
      </c>
      <c r="F212" t="str">
        <f t="shared" si="0"/>
        <v xml:space="preserve">     Entre 10 y 50 SMLMV </v>
      </c>
    </row>
    <row r="213" spans="1:8" ht="21" x14ac:dyDescent="0.35">
      <c r="A213" s="68"/>
      <c r="B213" s="17" t="s">
        <v>396</v>
      </c>
      <c r="C213" s="17" t="s">
        <v>387</v>
      </c>
      <c r="E213" t="s">
        <v>384</v>
      </c>
      <c r="F213" t="str">
        <f t="shared" si="0"/>
        <v xml:space="preserve">     Entre 50 y 100 SMLMV </v>
      </c>
    </row>
    <row r="214" spans="1:8" ht="21" x14ac:dyDescent="0.35">
      <c r="A214" s="68"/>
      <c r="B214" s="17" t="s">
        <v>396</v>
      </c>
      <c r="C214" s="17" t="s">
        <v>390</v>
      </c>
      <c r="E214" t="s">
        <v>387</v>
      </c>
      <c r="F214" t="str">
        <f t="shared" si="0"/>
        <v xml:space="preserve">     Entre 100 y 500 SMLMV </v>
      </c>
    </row>
    <row r="215" spans="1:8" ht="21" x14ac:dyDescent="0.35">
      <c r="A215" s="68"/>
      <c r="B215" s="17" t="s">
        <v>375</v>
      </c>
      <c r="C215" s="17" t="s">
        <v>379</v>
      </c>
      <c r="E215" t="s">
        <v>390</v>
      </c>
      <c r="F215" t="str">
        <f t="shared" si="0"/>
        <v xml:space="preserve">     Mayor a 500 SMLMV </v>
      </c>
    </row>
    <row r="216" spans="1:8" ht="21" x14ac:dyDescent="0.35">
      <c r="A216" s="68"/>
      <c r="B216" s="17" t="s">
        <v>375</v>
      </c>
      <c r="C216" s="17" t="s">
        <v>382</v>
      </c>
      <c r="D216" t="s">
        <v>375</v>
      </c>
      <c r="F216" t="str">
        <f t="shared" si="0"/>
        <v>Pérdida Reputacional</v>
      </c>
    </row>
    <row r="217" spans="1:8" ht="21" x14ac:dyDescent="0.35">
      <c r="A217" s="68"/>
      <c r="B217" s="17" t="s">
        <v>375</v>
      </c>
      <c r="C217" s="17" t="s">
        <v>385</v>
      </c>
      <c r="E217" t="s">
        <v>379</v>
      </c>
      <c r="F217" t="str">
        <f t="shared" si="0"/>
        <v xml:space="preserve">     El riesgo afecta la imagen de alguna área de la organización</v>
      </c>
    </row>
    <row r="218" spans="1:8" ht="21" x14ac:dyDescent="0.35">
      <c r="A218" s="68"/>
      <c r="B218" s="17" t="s">
        <v>375</v>
      </c>
      <c r="C218" s="17" t="s">
        <v>398</v>
      </c>
      <c r="E218" t="s">
        <v>382</v>
      </c>
      <c r="F218" t="str">
        <f t="shared" si="0"/>
        <v xml:space="preserve">     El riesgo afecta la imagen de la entidad internamente, de conocimiento general, nivel interno, de junta dircetiva y accionistas y/o de provedores</v>
      </c>
    </row>
    <row r="219" spans="1:8" ht="21" x14ac:dyDescent="0.35">
      <c r="A219" s="68"/>
      <c r="B219" s="17" t="s">
        <v>375</v>
      </c>
      <c r="C219" s="17" t="s">
        <v>391</v>
      </c>
      <c r="E219" t="s">
        <v>385</v>
      </c>
      <c r="F219" t="str">
        <f t="shared" si="0"/>
        <v xml:space="preserve">     El riesgo afecta la imagen de la entidad con algunos usuarios de relevancia frente al logro de los objetivos</v>
      </c>
    </row>
    <row r="220" spans="1:8" x14ac:dyDescent="0.25">
      <c r="A220" s="68"/>
      <c r="B220" s="18"/>
      <c r="C220" s="18"/>
      <c r="E220" t="s">
        <v>398</v>
      </c>
      <c r="F220" t="str">
        <f t="shared" si="0"/>
        <v xml:space="preserve">     El riesgo afecta la imagen de de la entidad con efecto publicitario sostenido a nivel de sector administrativo, nivel departamental o municipal</v>
      </c>
    </row>
    <row r="221" spans="1:8" x14ac:dyDescent="0.25">
      <c r="A221" s="68"/>
      <c r="B221" s="18" t="str">
        <f t="array" ref="B221:B223">_xlfn.UNIQUE(Tabla1[[#All],[Criterios]])</f>
        <v>Criterios</v>
      </c>
      <c r="C221" s="18"/>
      <c r="E221" t="s">
        <v>391</v>
      </c>
      <c r="F221" t="str">
        <f t="shared" si="0"/>
        <v xml:space="preserve">     El riesgo afecta la imagen de la entidad a nivel nacional, con efecto publicitarios sostenible a nivel país</v>
      </c>
    </row>
    <row r="222" spans="1:8" x14ac:dyDescent="0.25">
      <c r="A222" s="68"/>
      <c r="B222" s="18" t="str">
        <v>Afectación Económica o presupuestal</v>
      </c>
      <c r="C222" s="18"/>
    </row>
    <row r="223" spans="1:8" x14ac:dyDescent="0.25">
      <c r="B223" s="18" t="str">
        <v>Pérdida Reputacional</v>
      </c>
      <c r="C223" s="18"/>
      <c r="F223" s="21" t="s">
        <v>399</v>
      </c>
    </row>
    <row r="224" spans="1:8" x14ac:dyDescent="0.25">
      <c r="B224" s="14"/>
      <c r="C224" s="14"/>
      <c r="F224" s="21" t="s">
        <v>400</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baseColWidth="10" defaultColWidth="14.28515625" defaultRowHeight="12.75" x14ac:dyDescent="0.2"/>
  <cols>
    <col min="1" max="2" width="14.28515625" style="73"/>
    <col min="3" max="3" width="17" style="73" customWidth="1"/>
    <col min="4" max="4" width="14.28515625" style="73"/>
    <col min="5" max="5" width="46" style="73" customWidth="1"/>
    <col min="6" max="16384" width="14.28515625" style="73"/>
  </cols>
  <sheetData>
    <row r="1" spans="2:6" ht="24" customHeight="1" thickBot="1" x14ac:dyDescent="0.25">
      <c r="B1" s="555" t="s">
        <v>401</v>
      </c>
      <c r="C1" s="556"/>
      <c r="D1" s="556"/>
      <c r="E1" s="556"/>
      <c r="F1" s="557"/>
    </row>
    <row r="2" spans="2:6" ht="16.5" thickBot="1" x14ac:dyDescent="0.3">
      <c r="B2" s="74"/>
      <c r="C2" s="74"/>
      <c r="D2" s="74"/>
      <c r="E2" s="74"/>
      <c r="F2" s="74"/>
    </row>
    <row r="3" spans="2:6" ht="16.5" thickBot="1" x14ac:dyDescent="0.25">
      <c r="B3" s="559" t="s">
        <v>402</v>
      </c>
      <c r="C3" s="560"/>
      <c r="D3" s="560"/>
      <c r="E3" s="181" t="s">
        <v>403</v>
      </c>
      <c r="F3" s="83" t="s">
        <v>404</v>
      </c>
    </row>
    <row r="4" spans="2:6" ht="31.5" x14ac:dyDescent="0.2">
      <c r="B4" s="561" t="s">
        <v>405</v>
      </c>
      <c r="C4" s="563" t="s">
        <v>100</v>
      </c>
      <c r="D4" s="182" t="s">
        <v>156</v>
      </c>
      <c r="E4" s="75" t="s">
        <v>406</v>
      </c>
      <c r="F4" s="76">
        <v>0.25</v>
      </c>
    </row>
    <row r="5" spans="2:6" ht="47.25" x14ac:dyDescent="0.2">
      <c r="B5" s="562"/>
      <c r="C5" s="564"/>
      <c r="D5" s="183" t="s">
        <v>106</v>
      </c>
      <c r="E5" s="77" t="s">
        <v>407</v>
      </c>
      <c r="F5" s="78">
        <v>0.15</v>
      </c>
    </row>
    <row r="6" spans="2:6" ht="47.25" x14ac:dyDescent="0.2">
      <c r="B6" s="562"/>
      <c r="C6" s="564"/>
      <c r="D6" s="183" t="s">
        <v>184</v>
      </c>
      <c r="E6" s="77" t="s">
        <v>408</v>
      </c>
      <c r="F6" s="78">
        <v>0.1</v>
      </c>
    </row>
    <row r="7" spans="2:6" ht="63" x14ac:dyDescent="0.2">
      <c r="B7" s="562"/>
      <c r="C7" s="564" t="s">
        <v>101</v>
      </c>
      <c r="D7" s="183" t="s">
        <v>157</v>
      </c>
      <c r="E7" s="77" t="s">
        <v>409</v>
      </c>
      <c r="F7" s="78">
        <v>0.25</v>
      </c>
    </row>
    <row r="8" spans="2:6" ht="31.5" x14ac:dyDescent="0.2">
      <c r="B8" s="562"/>
      <c r="C8" s="564"/>
      <c r="D8" s="183" t="s">
        <v>170</v>
      </c>
      <c r="E8" s="77" t="s">
        <v>410</v>
      </c>
      <c r="F8" s="78">
        <v>0.15</v>
      </c>
    </row>
    <row r="9" spans="2:6" ht="47.25" x14ac:dyDescent="0.2">
      <c r="B9" s="562" t="s">
        <v>411</v>
      </c>
      <c r="C9" s="564" t="s">
        <v>53</v>
      </c>
      <c r="D9" s="183" t="s">
        <v>158</v>
      </c>
      <c r="E9" s="77" t="s">
        <v>412</v>
      </c>
      <c r="F9" s="79" t="s">
        <v>413</v>
      </c>
    </row>
    <row r="10" spans="2:6" ht="63" x14ac:dyDescent="0.2">
      <c r="B10" s="562"/>
      <c r="C10" s="564"/>
      <c r="D10" s="183" t="s">
        <v>171</v>
      </c>
      <c r="E10" s="77" t="s">
        <v>414</v>
      </c>
      <c r="F10" s="79" t="s">
        <v>413</v>
      </c>
    </row>
    <row r="11" spans="2:6" ht="47.25" x14ac:dyDescent="0.2">
      <c r="B11" s="562"/>
      <c r="C11" s="564" t="s">
        <v>103</v>
      </c>
      <c r="D11" s="183" t="s">
        <v>159</v>
      </c>
      <c r="E11" s="77" t="s">
        <v>415</v>
      </c>
      <c r="F11" s="79" t="s">
        <v>413</v>
      </c>
    </row>
    <row r="12" spans="2:6" ht="47.25" x14ac:dyDescent="0.2">
      <c r="B12" s="562"/>
      <c r="C12" s="564"/>
      <c r="D12" s="183" t="s">
        <v>172</v>
      </c>
      <c r="E12" s="77" t="s">
        <v>416</v>
      </c>
      <c r="F12" s="79" t="s">
        <v>413</v>
      </c>
    </row>
    <row r="13" spans="2:6" ht="31.5" x14ac:dyDescent="0.2">
      <c r="B13" s="562"/>
      <c r="C13" s="564" t="s">
        <v>104</v>
      </c>
      <c r="D13" s="183" t="s">
        <v>417</v>
      </c>
      <c r="E13" s="77" t="s">
        <v>418</v>
      </c>
      <c r="F13" s="79" t="s">
        <v>413</v>
      </c>
    </row>
    <row r="14" spans="2:6" ht="32.25" thickBot="1" x14ac:dyDescent="0.25">
      <c r="B14" s="565"/>
      <c r="C14" s="566"/>
      <c r="D14" s="184" t="s">
        <v>419</v>
      </c>
      <c r="E14" s="80" t="s">
        <v>420</v>
      </c>
      <c r="F14" s="81" t="s">
        <v>413</v>
      </c>
    </row>
    <row r="15" spans="2:6" ht="49.5" customHeight="1" x14ac:dyDescent="0.2">
      <c r="B15" s="558" t="s">
        <v>421</v>
      </c>
      <c r="C15" s="558"/>
      <c r="D15" s="558"/>
      <c r="E15" s="558"/>
      <c r="F15" s="558"/>
    </row>
    <row r="16" spans="2:6" ht="27" customHeight="1" x14ac:dyDescent="0.25">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L25" sqref="L25"/>
    </sheetView>
  </sheetViews>
  <sheetFormatPr baseColWidth="10" defaultColWidth="11.42578125" defaultRowHeight="15" x14ac:dyDescent="0.25"/>
  <cols>
    <col min="1" max="1" width="17.42578125" customWidth="1"/>
    <col min="2" max="2" width="9.7109375" customWidth="1"/>
    <col min="4" max="4" width="72.28515625" customWidth="1"/>
    <col min="5" max="6" width="11" customWidth="1"/>
    <col min="7" max="7" width="11.42578125" style="133"/>
    <col min="8" max="8" width="11.42578125" style="15"/>
  </cols>
  <sheetData>
    <row r="1" spans="1:8" ht="15.75" thickBot="1" x14ac:dyDescent="0.3"/>
    <row r="2" spans="1:8" ht="19.5" customHeight="1" x14ac:dyDescent="0.25">
      <c r="B2" s="261" t="s">
        <v>0</v>
      </c>
      <c r="C2" s="262"/>
      <c r="D2" s="278" t="s">
        <v>7</v>
      </c>
      <c r="E2" s="294" t="s">
        <v>8</v>
      </c>
      <c r="F2" s="268"/>
    </row>
    <row r="3" spans="1:8" ht="19.5" customHeight="1" x14ac:dyDescent="0.25">
      <c r="B3" s="263"/>
      <c r="C3" s="264"/>
      <c r="D3" s="279"/>
      <c r="E3" s="295" t="s">
        <v>3</v>
      </c>
      <c r="F3" s="270"/>
    </row>
    <row r="4" spans="1:8" ht="19.5" customHeight="1" x14ac:dyDescent="0.25">
      <c r="B4" s="263"/>
      <c r="C4" s="264"/>
      <c r="D4" s="279"/>
      <c r="E4" s="295" t="s">
        <v>4</v>
      </c>
      <c r="F4" s="270"/>
    </row>
    <row r="5" spans="1:8" ht="19.5" customHeight="1" thickBot="1" x14ac:dyDescent="0.3">
      <c r="A5" t="s">
        <v>9</v>
      </c>
      <c r="B5" s="265"/>
      <c r="C5" s="266"/>
      <c r="D5" s="280"/>
      <c r="E5" s="296" t="s">
        <v>5</v>
      </c>
      <c r="F5" s="272"/>
    </row>
    <row r="6" spans="1:8" ht="15.75" thickBot="1" x14ac:dyDescent="0.3"/>
    <row r="7" spans="1:8" x14ac:dyDescent="0.25">
      <c r="B7" s="281" t="s">
        <v>10</v>
      </c>
      <c r="C7" s="284" t="s">
        <v>11</v>
      </c>
      <c r="D7" s="285"/>
      <c r="E7" s="290" t="s">
        <v>12</v>
      </c>
      <c r="F7" s="291"/>
    </row>
    <row r="8" spans="1:8" ht="15.75" thickBot="1" x14ac:dyDescent="0.3">
      <c r="B8" s="282"/>
      <c r="C8" s="286"/>
      <c r="D8" s="287"/>
      <c r="E8" s="292"/>
      <c r="F8" s="293"/>
      <c r="H8" s="143"/>
    </row>
    <row r="9" spans="1:8" ht="15.75" thickBot="1" x14ac:dyDescent="0.3">
      <c r="B9" s="283"/>
      <c r="C9" s="288" t="s">
        <v>13</v>
      </c>
      <c r="D9" s="289"/>
      <c r="E9" s="140" t="s">
        <v>14</v>
      </c>
      <c r="F9" s="140" t="s">
        <v>15</v>
      </c>
      <c r="H9" s="143"/>
    </row>
    <row r="10" spans="1:8" ht="15.75" thickBot="1" x14ac:dyDescent="0.3">
      <c r="B10" s="139">
        <v>1</v>
      </c>
      <c r="C10" s="273" t="s">
        <v>16</v>
      </c>
      <c r="D10" s="274"/>
      <c r="E10" s="135"/>
      <c r="F10" s="136"/>
      <c r="H10" s="143"/>
    </row>
    <row r="11" spans="1:8" ht="15.75" thickBot="1" x14ac:dyDescent="0.3">
      <c r="B11" s="139">
        <v>2</v>
      </c>
      <c r="C11" s="273" t="s">
        <v>17</v>
      </c>
      <c r="D11" s="274" t="s">
        <v>17</v>
      </c>
      <c r="E11" s="135"/>
      <c r="F11" s="136"/>
      <c r="H11" s="144"/>
    </row>
    <row r="12" spans="1:8" ht="15.75" thickBot="1" x14ac:dyDescent="0.3">
      <c r="B12" s="139">
        <v>3</v>
      </c>
      <c r="C12" s="273" t="s">
        <v>18</v>
      </c>
      <c r="D12" s="274" t="s">
        <v>18</v>
      </c>
      <c r="E12" s="135"/>
      <c r="F12" s="136"/>
    </row>
    <row r="13" spans="1:8" ht="15.75" thickBot="1" x14ac:dyDescent="0.3">
      <c r="B13" s="139">
        <v>4</v>
      </c>
      <c r="C13" s="273" t="s">
        <v>19</v>
      </c>
      <c r="D13" s="274" t="s">
        <v>20</v>
      </c>
      <c r="E13" s="135"/>
      <c r="F13" s="136"/>
    </row>
    <row r="14" spans="1:8" ht="15.75" thickBot="1" x14ac:dyDescent="0.3">
      <c r="B14" s="139">
        <v>5</v>
      </c>
      <c r="C14" s="273" t="s">
        <v>21</v>
      </c>
      <c r="D14" s="274" t="s">
        <v>21</v>
      </c>
      <c r="E14" s="135"/>
      <c r="F14" s="136"/>
    </row>
    <row r="15" spans="1:8" ht="15.75" thickBot="1" x14ac:dyDescent="0.3">
      <c r="B15" s="139">
        <v>6</v>
      </c>
      <c r="C15" s="273" t="s">
        <v>22</v>
      </c>
      <c r="D15" s="274" t="s">
        <v>22</v>
      </c>
      <c r="E15" s="135"/>
      <c r="F15" s="136"/>
    </row>
    <row r="16" spans="1:8" ht="15.75" thickBot="1" x14ac:dyDescent="0.3">
      <c r="B16" s="139">
        <v>7</v>
      </c>
      <c r="C16" s="273" t="s">
        <v>23</v>
      </c>
      <c r="D16" s="274" t="s">
        <v>23</v>
      </c>
      <c r="E16" s="135"/>
      <c r="F16" s="136"/>
    </row>
    <row r="17" spans="1:7" ht="28.5" customHeight="1" thickBot="1" x14ac:dyDescent="0.3">
      <c r="B17" s="139">
        <v>8</v>
      </c>
      <c r="C17" s="273" t="s">
        <v>24</v>
      </c>
      <c r="D17" s="274" t="s">
        <v>24</v>
      </c>
      <c r="E17" s="135"/>
      <c r="F17" s="136"/>
    </row>
    <row r="18" spans="1:7" ht="18.75" customHeight="1" thickBot="1" x14ac:dyDescent="0.3">
      <c r="B18" s="139">
        <v>9</v>
      </c>
      <c r="C18" s="273" t="s">
        <v>25</v>
      </c>
      <c r="D18" s="274" t="s">
        <v>25</v>
      </c>
      <c r="E18" s="135"/>
      <c r="F18" s="136"/>
    </row>
    <row r="19" spans="1:7" ht="15.75" thickBot="1" x14ac:dyDescent="0.3">
      <c r="B19" s="139">
        <v>10</v>
      </c>
      <c r="C19" s="273" t="s">
        <v>26</v>
      </c>
      <c r="D19" s="274" t="s">
        <v>26</v>
      </c>
      <c r="E19" s="135"/>
      <c r="F19" s="136"/>
    </row>
    <row r="20" spans="1:7" ht="15.75" thickBot="1" x14ac:dyDescent="0.3">
      <c r="B20" s="139">
        <v>11</v>
      </c>
      <c r="C20" s="273" t="s">
        <v>27</v>
      </c>
      <c r="D20" s="274" t="s">
        <v>27</v>
      </c>
      <c r="E20" s="135"/>
      <c r="F20" s="136"/>
    </row>
    <row r="21" spans="1:7" ht="15.75" thickBot="1" x14ac:dyDescent="0.3">
      <c r="B21" s="139">
        <v>12</v>
      </c>
      <c r="C21" s="273" t="s">
        <v>28</v>
      </c>
      <c r="D21" s="274" t="s">
        <v>28</v>
      </c>
      <c r="E21" s="135"/>
      <c r="F21" s="136"/>
    </row>
    <row r="22" spans="1:7" ht="15.75" thickBot="1" x14ac:dyDescent="0.3">
      <c r="B22" s="139">
        <v>13</v>
      </c>
      <c r="C22" s="273" t="s">
        <v>29</v>
      </c>
      <c r="D22" s="274" t="s">
        <v>29</v>
      </c>
      <c r="E22" s="135"/>
      <c r="F22" s="136"/>
    </row>
    <row r="23" spans="1:7" ht="15.75" thickBot="1" x14ac:dyDescent="0.3">
      <c r="B23" s="139">
        <v>14</v>
      </c>
      <c r="C23" s="273" t="s">
        <v>30</v>
      </c>
      <c r="D23" s="274" t="s">
        <v>30</v>
      </c>
      <c r="E23" s="135"/>
      <c r="F23" s="136"/>
    </row>
    <row r="24" spans="1:7" ht="15.75" thickBot="1" x14ac:dyDescent="0.3">
      <c r="B24" s="139">
        <v>15</v>
      </c>
      <c r="C24" s="273" t="s">
        <v>31</v>
      </c>
      <c r="D24" s="274" t="s">
        <v>31</v>
      </c>
      <c r="E24" s="135"/>
      <c r="F24" s="136"/>
    </row>
    <row r="25" spans="1:7" ht="15.75" thickBot="1" x14ac:dyDescent="0.3">
      <c r="B25" s="139">
        <v>16</v>
      </c>
      <c r="C25" s="273" t="s">
        <v>32</v>
      </c>
      <c r="D25" s="274" t="s">
        <v>32</v>
      </c>
      <c r="E25" s="135"/>
      <c r="F25" s="136"/>
    </row>
    <row r="26" spans="1:7" ht="15.75" thickBot="1" x14ac:dyDescent="0.3">
      <c r="B26" s="139">
        <v>17</v>
      </c>
      <c r="C26" s="273" t="s">
        <v>33</v>
      </c>
      <c r="D26" s="274" t="s">
        <v>33</v>
      </c>
      <c r="E26" s="135"/>
      <c r="F26" s="136"/>
    </row>
    <row r="27" spans="1:7" ht="15.75" thickBot="1" x14ac:dyDescent="0.3">
      <c r="B27" s="139">
        <v>18</v>
      </c>
      <c r="C27" s="273" t="s">
        <v>34</v>
      </c>
      <c r="D27" s="274" t="s">
        <v>34</v>
      </c>
      <c r="E27" s="135"/>
      <c r="F27" s="136"/>
    </row>
    <row r="28" spans="1:7" ht="15.75" thickBot="1" x14ac:dyDescent="0.3">
      <c r="B28" s="139">
        <v>19</v>
      </c>
      <c r="C28" s="273" t="s">
        <v>35</v>
      </c>
      <c r="D28" s="274" t="s">
        <v>35</v>
      </c>
      <c r="E28" s="135"/>
      <c r="F28" s="136"/>
    </row>
    <row r="29" spans="1:7" x14ac:dyDescent="0.25">
      <c r="C29" s="134"/>
      <c r="D29" s="134"/>
      <c r="E29" s="142">
        <f>COUNTIF(E10:E28,"x")</f>
        <v>0</v>
      </c>
      <c r="F29" s="142">
        <f>COUNTIF(F10:F28,"x")</f>
        <v>0</v>
      </c>
      <c r="G29" s="141" t="str">
        <f>IF(E29=0,"",IF(E29&lt;=5,"Moderado",IF(E29&lt;=11,"Mayor",IF(E29&lt;=19,"Catastrófico",""))))</f>
        <v/>
      </c>
    </row>
    <row r="30" spans="1:7" x14ac:dyDescent="0.25">
      <c r="C30" s="132"/>
      <c r="D30" s="132"/>
      <c r="E30" s="132"/>
      <c r="F30" s="132"/>
    </row>
    <row r="31" spans="1:7" ht="66" customHeight="1" x14ac:dyDescent="0.25">
      <c r="A31" s="275" t="s">
        <v>36</v>
      </c>
      <c r="B31" s="276"/>
      <c r="C31" s="276"/>
      <c r="D31" s="276"/>
      <c r="E31" s="276"/>
      <c r="F31" s="277"/>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9.140625"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9.140625"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42578125" defaultRowHeight="15" x14ac:dyDescent="0.25"/>
  <sheetData>
    <row r="2" spans="2:5" x14ac:dyDescent="0.25">
      <c r="B2" t="s">
        <v>161</v>
      </c>
      <c r="E2" t="s">
        <v>150</v>
      </c>
    </row>
    <row r="3" spans="2:5" x14ac:dyDescent="0.25">
      <c r="B3" t="s">
        <v>174</v>
      </c>
      <c r="E3" t="s">
        <v>164</v>
      </c>
    </row>
    <row r="4" spans="2:5" x14ac:dyDescent="0.25">
      <c r="B4" t="s">
        <v>196</v>
      </c>
      <c r="E4" t="s">
        <v>178</v>
      </c>
    </row>
    <row r="5" spans="2:5" x14ac:dyDescent="0.25">
      <c r="B5" t="s">
        <v>107</v>
      </c>
    </row>
    <row r="8" spans="2:5" x14ac:dyDescent="0.25">
      <c r="B8" t="s">
        <v>147</v>
      </c>
    </row>
    <row r="9" spans="2:5" x14ac:dyDescent="0.25">
      <c r="B9" t="s">
        <v>162</v>
      </c>
    </row>
    <row r="10" spans="2:5" x14ac:dyDescent="0.25">
      <c r="B10" t="s">
        <v>175</v>
      </c>
    </row>
    <row r="13" spans="2:5" x14ac:dyDescent="0.25">
      <c r="B13" t="s">
        <v>153</v>
      </c>
    </row>
    <row r="14" spans="2:5" x14ac:dyDescent="0.25">
      <c r="B14" t="s">
        <v>167</v>
      </c>
    </row>
    <row r="15" spans="2:5" x14ac:dyDescent="0.25">
      <c r="B15" t="s">
        <v>181</v>
      </c>
    </row>
    <row r="16" spans="2:5" x14ac:dyDescent="0.25">
      <c r="B16" t="s">
        <v>189</v>
      </c>
    </row>
    <row r="17" spans="2:2" x14ac:dyDescent="0.25">
      <c r="B17" t="s">
        <v>194</v>
      </c>
    </row>
    <row r="18" spans="2:2" x14ac:dyDescent="0.25">
      <c r="B18" t="s">
        <v>198</v>
      </c>
    </row>
    <row r="19" spans="2:2" x14ac:dyDescent="0.25">
      <c r="B19" t="s">
        <v>200</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42578125" defaultRowHeight="12.75" x14ac:dyDescent="0.2"/>
  <cols>
    <col min="1" max="1" width="32.7109375" style="1" customWidth="1"/>
    <col min="2" max="16384" width="11.42578125" style="1"/>
  </cols>
  <sheetData>
    <row r="3" spans="1:1" x14ac:dyDescent="0.2">
      <c r="A3" s="2" t="s">
        <v>156</v>
      </c>
    </row>
    <row r="4" spans="1:1" x14ac:dyDescent="0.2">
      <c r="A4" s="2" t="s">
        <v>106</v>
      </c>
    </row>
    <row r="5" spans="1:1" x14ac:dyDescent="0.2">
      <c r="A5" s="2" t="s">
        <v>184</v>
      </c>
    </row>
    <row r="6" spans="1:1" x14ac:dyDescent="0.2">
      <c r="A6" s="2" t="s">
        <v>157</v>
      </c>
    </row>
    <row r="7" spans="1:1" x14ac:dyDescent="0.2">
      <c r="A7" s="2" t="s">
        <v>170</v>
      </c>
    </row>
    <row r="8" spans="1:1" x14ac:dyDescent="0.2">
      <c r="A8" s="2" t="s">
        <v>158</v>
      </c>
    </row>
    <row r="9" spans="1:1" x14ac:dyDescent="0.2">
      <c r="A9" s="2" t="s">
        <v>171</v>
      </c>
    </row>
    <row r="10" spans="1:1" x14ac:dyDescent="0.2">
      <c r="A10" s="2" t="s">
        <v>159</v>
      </c>
    </row>
    <row r="11" spans="1:1" x14ac:dyDescent="0.2">
      <c r="A11" s="2" t="s">
        <v>172</v>
      </c>
    </row>
    <row r="12" spans="1:1" x14ac:dyDescent="0.2">
      <c r="A12" s="2" t="s">
        <v>160</v>
      </c>
    </row>
    <row r="13" spans="1:1" x14ac:dyDescent="0.2">
      <c r="A13" s="2" t="s">
        <v>173</v>
      </c>
    </row>
    <row r="14" spans="1:1" x14ac:dyDescent="0.2">
      <c r="A14" s="2" t="s">
        <v>185</v>
      </c>
    </row>
    <row r="16" spans="1:1" x14ac:dyDescent="0.2">
      <c r="A16" s="2" t="s">
        <v>186</v>
      </c>
    </row>
    <row r="17" spans="1:1" x14ac:dyDescent="0.2">
      <c r="A17" s="2" t="s">
        <v>161</v>
      </c>
    </row>
    <row r="18" spans="1:1" x14ac:dyDescent="0.2">
      <c r="A18" s="2" t="s">
        <v>174</v>
      </c>
    </row>
    <row r="20" spans="1:1" x14ac:dyDescent="0.2">
      <c r="A20" s="2" t="s">
        <v>162</v>
      </c>
    </row>
    <row r="21" spans="1:1" x14ac:dyDescent="0.2">
      <c r="A21" s="2" t="s">
        <v>175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40"/>
  <sheetViews>
    <sheetView tabSelected="1" topLeftCell="AK18" zoomScale="124" zoomScaleNormal="124" workbookViewId="0">
      <selection activeCell="AP28" sqref="AP28:AP29"/>
    </sheetView>
  </sheetViews>
  <sheetFormatPr baseColWidth="10" defaultColWidth="11.42578125" defaultRowHeight="14.25" x14ac:dyDescent="0.2"/>
  <cols>
    <col min="1" max="1" width="0" style="567" hidden="1" customWidth="1"/>
    <col min="2" max="2" width="4.5703125" style="567" customWidth="1"/>
    <col min="3" max="3" width="6.28515625" style="567" customWidth="1"/>
    <col min="4" max="4" width="4.7109375" style="568" customWidth="1"/>
    <col min="5" max="5" width="21" style="568" customWidth="1"/>
    <col min="6" max="7" width="20.7109375" style="568" customWidth="1"/>
    <col min="8" max="8" width="18.28515625" style="568" customWidth="1"/>
    <col min="9" max="9" width="31" style="568" customWidth="1"/>
    <col min="10" max="10" width="44.140625" style="568" customWidth="1"/>
    <col min="11" max="11" width="58.28515625" style="567" customWidth="1"/>
    <col min="12" max="12" width="25.5703125" style="569" customWidth="1"/>
    <col min="13" max="13" width="31.85546875" style="569" customWidth="1"/>
    <col min="14" max="14" width="23.85546875" style="569" customWidth="1"/>
    <col min="15" max="15" width="11.5703125" style="567" customWidth="1"/>
    <col min="16" max="16" width="16.42578125" style="567" customWidth="1"/>
    <col min="17" max="17" width="8.85546875" style="567" customWidth="1"/>
    <col min="18" max="18" width="21.28515625" style="567" customWidth="1"/>
    <col min="19" max="19" width="17.42578125" style="567" customWidth="1"/>
    <col min="20" max="20" width="10.5703125" style="567" customWidth="1"/>
    <col min="21" max="21" width="16" style="567" customWidth="1"/>
    <col min="22" max="22" width="5.7109375" style="567" customWidth="1"/>
    <col min="23" max="23" width="63.42578125" style="567" customWidth="1"/>
    <col min="24" max="24" width="57.28515625" style="567" customWidth="1"/>
    <col min="25" max="25" width="15.28515625" style="567" customWidth="1"/>
    <col min="26" max="26" width="6.7109375" style="567" customWidth="1"/>
    <col min="27" max="27" width="5" style="567" customWidth="1"/>
    <col min="28" max="28" width="5.42578125" style="567" customWidth="1"/>
    <col min="29" max="29" width="7.28515625" style="567" customWidth="1"/>
    <col min="30" max="30" width="6.7109375" style="567" customWidth="1"/>
    <col min="31" max="31" width="8.28515625" style="567" customWidth="1"/>
    <col min="32" max="32" width="12" style="567" customWidth="1"/>
    <col min="33" max="33" width="13.7109375" style="567" customWidth="1"/>
    <col min="34" max="38" width="16.140625" style="567" customWidth="1"/>
    <col min="39" max="40" width="7.28515625" style="567" customWidth="1"/>
    <col min="41" max="41" width="46.5703125" style="567" customWidth="1"/>
    <col min="42" max="42" width="24.28515625" style="567" customWidth="1"/>
    <col min="43" max="44" width="23.140625" style="567" customWidth="1"/>
    <col min="45" max="46" width="19.7109375" style="567" customWidth="1"/>
    <col min="47" max="47" width="35.5703125" style="567" customWidth="1"/>
    <col min="48" max="50" width="34.7109375" style="567" customWidth="1"/>
    <col min="51" max="51" width="29" style="567" customWidth="1"/>
    <col min="52" max="52" width="23.28515625" style="567" customWidth="1"/>
    <col min="53" max="53" width="68.42578125" style="567" customWidth="1"/>
    <col min="54" max="54" width="31.42578125" style="567" customWidth="1"/>
    <col min="55" max="55" width="30.5703125" style="567" customWidth="1"/>
    <col min="56" max="56" width="53" style="567" customWidth="1"/>
    <col min="57" max="59" width="0" style="567" hidden="1" customWidth="1"/>
    <col min="60" max="61" width="11.42578125" style="567" hidden="1" customWidth="1"/>
    <col min="62" max="63" width="0" style="567" hidden="1" customWidth="1"/>
    <col min="64" max="16384" width="11.42578125" style="567"/>
  </cols>
  <sheetData>
    <row r="1" spans="1:82" ht="15" thickBot="1" x14ac:dyDescent="0.25"/>
    <row r="2" spans="1:82" ht="27.75" customHeight="1" x14ac:dyDescent="0.2">
      <c r="D2" s="570" t="s">
        <v>37</v>
      </c>
      <c r="E2" s="571"/>
      <c r="F2" s="571"/>
      <c r="G2" s="571"/>
      <c r="H2" s="572"/>
      <c r="I2" s="573" t="s">
        <v>38</v>
      </c>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185" t="s">
        <v>8</v>
      </c>
    </row>
    <row r="3" spans="1:82" ht="27.75" customHeight="1" x14ac:dyDescent="0.2">
      <c r="D3" s="574"/>
      <c r="E3" s="575"/>
      <c r="F3" s="575"/>
      <c r="G3" s="575"/>
      <c r="H3" s="576"/>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186" t="s">
        <v>39</v>
      </c>
    </row>
    <row r="4" spans="1:82" ht="27.75" customHeight="1" x14ac:dyDescent="0.2">
      <c r="D4" s="574"/>
      <c r="E4" s="575"/>
      <c r="F4" s="575"/>
      <c r="G4" s="575"/>
      <c r="H4" s="576"/>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3"/>
      <c r="AV4" s="573"/>
      <c r="AW4" s="573"/>
      <c r="AX4" s="573"/>
      <c r="AY4" s="573"/>
      <c r="AZ4" s="573"/>
      <c r="BA4" s="573"/>
      <c r="BB4" s="573"/>
      <c r="BC4" s="573"/>
      <c r="BD4" s="186" t="s">
        <v>4</v>
      </c>
    </row>
    <row r="5" spans="1:82" ht="27.75" customHeight="1" thickBot="1" x14ac:dyDescent="0.25">
      <c r="D5" s="577"/>
      <c r="E5" s="578"/>
      <c r="F5" s="578"/>
      <c r="G5" s="578"/>
      <c r="H5" s="579"/>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573"/>
      <c r="BA5" s="573"/>
      <c r="BB5" s="573"/>
      <c r="BC5" s="573"/>
      <c r="BD5" s="186" t="s">
        <v>40</v>
      </c>
    </row>
    <row r="6" spans="1:82" ht="13.9" customHeight="1" x14ac:dyDescent="0.25">
      <c r="D6" s="580"/>
      <c r="E6" s="581"/>
      <c r="F6" s="581"/>
      <c r="G6" s="581"/>
      <c r="H6" s="581"/>
      <c r="I6" s="582"/>
      <c r="J6" s="582"/>
      <c r="K6" s="582"/>
      <c r="L6" s="582"/>
      <c r="M6" s="582"/>
      <c r="N6" s="582"/>
      <c r="O6" s="582"/>
      <c r="P6" s="582"/>
      <c r="Q6" s="582"/>
      <c r="R6" s="582"/>
      <c r="S6" s="582"/>
      <c r="T6" s="582"/>
      <c r="U6" s="582"/>
      <c r="V6" s="582"/>
      <c r="W6" s="582"/>
      <c r="X6" s="582"/>
      <c r="Y6" s="582"/>
      <c r="Z6" s="582"/>
      <c r="AA6" s="582"/>
      <c r="AB6" s="582"/>
      <c r="AC6" s="582"/>
      <c r="AD6" s="582"/>
      <c r="AE6" s="582"/>
      <c r="AF6" s="582"/>
      <c r="AG6" s="582"/>
      <c r="AH6" s="582"/>
      <c r="AI6" s="582"/>
      <c r="AJ6" s="582"/>
      <c r="AK6" s="582"/>
      <c r="AL6" s="582"/>
      <c r="AM6" s="582"/>
      <c r="AN6" s="582"/>
      <c r="AO6" s="582"/>
      <c r="AP6" s="582"/>
      <c r="AQ6" s="582"/>
      <c r="AR6" s="582"/>
      <c r="AS6" s="582"/>
      <c r="AT6" s="582"/>
      <c r="AU6" s="582"/>
      <c r="AV6" s="582"/>
      <c r="AW6" s="582"/>
      <c r="AX6" s="582"/>
      <c r="AY6" s="582"/>
      <c r="AZ6" s="582"/>
      <c r="BA6" s="582"/>
      <c r="BB6" s="582"/>
      <c r="BC6" s="582"/>
      <c r="BD6" s="110"/>
    </row>
    <row r="7" spans="1:82" ht="26.25" customHeight="1" x14ac:dyDescent="0.2">
      <c r="D7" s="583" t="s">
        <v>41</v>
      </c>
      <c r="E7" s="584"/>
      <c r="F7" s="584"/>
      <c r="G7" s="585"/>
      <c r="H7" s="211" t="s">
        <v>42</v>
      </c>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586"/>
      <c r="BF7" s="586"/>
      <c r="BG7" s="586"/>
      <c r="BH7" s="586"/>
      <c r="BI7" s="586"/>
      <c r="BJ7" s="586"/>
      <c r="BK7" s="586"/>
      <c r="BL7" s="586"/>
      <c r="BM7" s="586"/>
      <c r="BN7" s="586"/>
      <c r="BO7" s="586"/>
      <c r="BP7" s="586"/>
      <c r="BQ7" s="586"/>
      <c r="BR7" s="586"/>
      <c r="BS7" s="586"/>
      <c r="BT7" s="586"/>
      <c r="BU7" s="586"/>
      <c r="BV7" s="586"/>
      <c r="BW7" s="586"/>
      <c r="BX7" s="586"/>
      <c r="BY7" s="586"/>
      <c r="BZ7" s="586"/>
      <c r="CA7" s="586"/>
      <c r="CB7" s="586"/>
      <c r="CC7" s="586"/>
      <c r="CD7" s="586"/>
    </row>
    <row r="8" spans="1:82" ht="30" customHeight="1" x14ac:dyDescent="0.2">
      <c r="D8" s="583" t="s">
        <v>43</v>
      </c>
      <c r="E8" s="584"/>
      <c r="F8" s="584"/>
      <c r="G8" s="585"/>
      <c r="H8" s="211" t="s">
        <v>44</v>
      </c>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586"/>
      <c r="BF8" s="586"/>
      <c r="BG8" s="586"/>
      <c r="BH8" s="586"/>
      <c r="BI8" s="586"/>
      <c r="BJ8" s="586"/>
      <c r="BK8" s="586"/>
      <c r="BL8" s="586"/>
      <c r="BM8" s="586"/>
      <c r="BN8" s="586"/>
      <c r="BO8" s="586"/>
      <c r="BP8" s="586"/>
      <c r="BQ8" s="586"/>
      <c r="BR8" s="586"/>
      <c r="BS8" s="586"/>
      <c r="BT8" s="586"/>
      <c r="BU8" s="586"/>
      <c r="BV8" s="586"/>
      <c r="BW8" s="586"/>
      <c r="BX8" s="586"/>
      <c r="BY8" s="586"/>
      <c r="BZ8" s="586"/>
      <c r="CA8" s="586"/>
      <c r="CB8" s="586"/>
      <c r="CC8" s="586"/>
      <c r="CD8" s="586"/>
    </row>
    <row r="9" spans="1:82" ht="24" customHeight="1" x14ac:dyDescent="0.2">
      <c r="D9" s="583" t="s">
        <v>45</v>
      </c>
      <c r="E9" s="584"/>
      <c r="F9" s="584"/>
      <c r="G9" s="585"/>
      <c r="H9" s="211" t="s">
        <v>46</v>
      </c>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586"/>
      <c r="BF9" s="586"/>
      <c r="BG9" s="586"/>
      <c r="BH9" s="586"/>
      <c r="BI9" s="586"/>
      <c r="BJ9" s="586"/>
      <c r="BK9" s="586"/>
      <c r="BL9" s="586"/>
      <c r="BM9" s="586"/>
      <c r="BN9" s="586"/>
      <c r="BO9" s="586"/>
      <c r="BP9" s="586"/>
      <c r="BQ9" s="586"/>
      <c r="BR9" s="586"/>
      <c r="BS9" s="586"/>
      <c r="BT9" s="586"/>
      <c r="BU9" s="586"/>
      <c r="BV9" s="586"/>
      <c r="BW9" s="586"/>
      <c r="BX9" s="586"/>
      <c r="BY9" s="586"/>
      <c r="BZ9" s="586"/>
      <c r="CA9" s="586"/>
      <c r="CB9" s="586"/>
      <c r="CC9" s="586"/>
      <c r="CD9" s="586"/>
    </row>
    <row r="10" spans="1:82" s="586" customFormat="1" ht="24" customHeight="1" x14ac:dyDescent="0.2">
      <c r="D10" s="587"/>
      <c r="E10" s="588"/>
      <c r="F10" s="589"/>
      <c r="G10" s="589"/>
      <c r="H10" s="587"/>
      <c r="I10" s="590"/>
      <c r="J10" s="590"/>
      <c r="K10" s="590"/>
      <c r="L10" s="590"/>
      <c r="M10" s="590"/>
      <c r="N10" s="590"/>
      <c r="O10" s="590"/>
      <c r="P10" s="590"/>
      <c r="Q10" s="590"/>
      <c r="R10" s="590"/>
      <c r="S10" s="590"/>
      <c r="T10" s="590"/>
      <c r="U10" s="590"/>
      <c r="V10" s="590"/>
      <c r="W10" s="590"/>
      <c r="X10" s="590"/>
      <c r="Y10" s="590"/>
      <c r="Z10" s="590"/>
      <c r="AA10" s="590"/>
      <c r="AB10" s="590"/>
      <c r="AC10" s="590"/>
      <c r="AD10" s="590"/>
      <c r="AE10" s="590"/>
      <c r="AF10" s="590"/>
      <c r="AG10" s="590"/>
      <c r="AH10" s="590"/>
      <c r="AI10" s="590"/>
      <c r="AJ10" s="590"/>
      <c r="AK10" s="590"/>
      <c r="AL10" s="590"/>
      <c r="AM10" s="590"/>
      <c r="AN10" s="590"/>
      <c r="AO10" s="590"/>
      <c r="AP10" s="590"/>
      <c r="AQ10" s="590"/>
      <c r="AR10" s="590"/>
      <c r="AS10" s="590"/>
      <c r="AT10" s="591"/>
      <c r="AU10" s="591"/>
      <c r="AV10" s="591"/>
      <c r="AW10" s="591"/>
      <c r="AX10" s="591"/>
      <c r="AY10" s="591"/>
      <c r="AZ10" s="592"/>
      <c r="BA10" s="592"/>
      <c r="BB10" s="592"/>
      <c r="BC10" s="592"/>
      <c r="BD10" s="592"/>
    </row>
    <row r="11" spans="1:82" s="586" customFormat="1" ht="25.5" customHeight="1" x14ac:dyDescent="0.25">
      <c r="A11" s="593" t="s">
        <v>9</v>
      </c>
      <c r="B11" s="593"/>
      <c r="C11" s="594"/>
      <c r="D11" s="595" t="s">
        <v>47</v>
      </c>
      <c r="E11" s="596"/>
      <c r="F11" s="596"/>
      <c r="G11" s="596"/>
      <c r="H11" s="596"/>
      <c r="I11" s="596"/>
      <c r="J11" s="596"/>
      <c r="K11" s="596"/>
      <c r="L11" s="596"/>
      <c r="M11" s="596"/>
      <c r="N11" s="596"/>
      <c r="O11" s="596"/>
      <c r="P11" s="596"/>
      <c r="Q11" s="596"/>
      <c r="R11" s="596"/>
      <c r="S11" s="596"/>
      <c r="T11" s="596"/>
      <c r="U11" s="596"/>
      <c r="V11" s="596"/>
      <c r="W11" s="596"/>
      <c r="X11" s="596"/>
      <c r="Y11" s="596"/>
      <c r="Z11" s="596"/>
      <c r="AA11" s="596"/>
      <c r="AB11" s="596"/>
      <c r="AC11" s="596"/>
      <c r="AD11" s="596"/>
      <c r="AE11" s="596"/>
      <c r="AF11" s="596"/>
      <c r="AG11" s="596"/>
      <c r="AH11" s="596"/>
      <c r="AI11" s="596"/>
      <c r="AJ11" s="596"/>
      <c r="AK11" s="596"/>
      <c r="AL11" s="596"/>
      <c r="AM11" s="596"/>
      <c r="AN11" s="596"/>
      <c r="AO11" s="596"/>
      <c r="AP11" s="596"/>
      <c r="AQ11" s="596"/>
      <c r="AR11" s="596"/>
      <c r="AS11" s="597"/>
      <c r="AT11" s="598"/>
      <c r="AU11" s="598"/>
      <c r="AV11" s="598"/>
      <c r="AW11" s="598"/>
      <c r="AX11" s="598"/>
      <c r="AY11" s="598"/>
      <c r="AZ11" s="599" t="s">
        <v>48</v>
      </c>
      <c r="BA11" s="600"/>
      <c r="BB11" s="600"/>
      <c r="BC11" s="601" t="s">
        <v>49</v>
      </c>
      <c r="BD11" s="602"/>
    </row>
    <row r="12" spans="1:82" ht="27" customHeight="1" x14ac:dyDescent="0.2">
      <c r="D12" s="603" t="s">
        <v>50</v>
      </c>
      <c r="E12" s="603"/>
      <c r="F12" s="603"/>
      <c r="G12" s="603"/>
      <c r="H12" s="603"/>
      <c r="I12" s="604"/>
      <c r="J12" s="604"/>
      <c r="K12" s="604"/>
      <c r="L12" s="604"/>
      <c r="M12" s="604"/>
      <c r="N12" s="604"/>
      <c r="O12" s="604"/>
      <c r="P12" s="604" t="s">
        <v>51</v>
      </c>
      <c r="Q12" s="604"/>
      <c r="R12" s="604"/>
      <c r="S12" s="604"/>
      <c r="T12" s="604"/>
      <c r="U12" s="604"/>
      <c r="V12" s="604" t="s">
        <v>52</v>
      </c>
      <c r="W12" s="604"/>
      <c r="X12" s="604"/>
      <c r="Y12" s="604"/>
      <c r="Z12" s="604"/>
      <c r="AA12" s="604"/>
      <c r="AB12" s="604"/>
      <c r="AC12" s="604"/>
      <c r="AD12" s="604"/>
      <c r="AE12" s="604"/>
      <c r="AF12" s="605" t="s">
        <v>53</v>
      </c>
      <c r="AG12" s="604" t="s">
        <v>54</v>
      </c>
      <c r="AH12" s="604"/>
      <c r="AI12" s="604"/>
      <c r="AJ12" s="604"/>
      <c r="AK12" s="604"/>
      <c r="AL12" s="604"/>
      <c r="AM12" s="604"/>
      <c r="AN12" s="606"/>
      <c r="AO12" s="595" t="s">
        <v>55</v>
      </c>
      <c r="AP12" s="596"/>
      <c r="AQ12" s="596"/>
      <c r="AR12" s="596"/>
      <c r="AS12" s="596"/>
      <c r="AT12" s="598"/>
      <c r="AU12" s="598"/>
      <c r="AV12" s="598"/>
      <c r="AW12" s="598"/>
      <c r="AX12" s="598"/>
      <c r="AY12" s="598"/>
      <c r="AZ12" s="599"/>
      <c r="BA12" s="600"/>
      <c r="BB12" s="600"/>
      <c r="BC12" s="607"/>
      <c r="BD12" s="608"/>
      <c r="BE12" s="586"/>
      <c r="BF12" s="586"/>
      <c r="BG12" s="586"/>
      <c r="BH12" s="586"/>
      <c r="BI12" s="586"/>
      <c r="BJ12" s="586"/>
      <c r="BK12" s="586"/>
      <c r="BL12" s="586"/>
      <c r="BM12" s="586"/>
      <c r="BN12" s="586"/>
      <c r="BO12" s="586"/>
      <c r="BP12" s="586"/>
      <c r="BQ12" s="586"/>
      <c r="BR12" s="586"/>
      <c r="BS12" s="586"/>
      <c r="BT12" s="586"/>
      <c r="BU12" s="586"/>
      <c r="BV12" s="586"/>
      <c r="BW12" s="586"/>
      <c r="BX12" s="586"/>
      <c r="BY12" s="586"/>
      <c r="BZ12" s="586"/>
      <c r="CA12" s="586"/>
      <c r="CB12" s="586"/>
      <c r="CC12" s="586"/>
      <c r="CD12" s="586"/>
    </row>
    <row r="13" spans="1:82" ht="45.75" customHeight="1" x14ac:dyDescent="0.2">
      <c r="D13" s="609" t="s">
        <v>56</v>
      </c>
      <c r="E13" s="610" t="s">
        <v>57</v>
      </c>
      <c r="F13" s="611" t="s">
        <v>58</v>
      </c>
      <c r="G13" s="612" t="s">
        <v>59</v>
      </c>
      <c r="H13" s="603" t="s">
        <v>60</v>
      </c>
      <c r="I13" s="610" t="s">
        <v>61</v>
      </c>
      <c r="J13" s="610" t="s">
        <v>62</v>
      </c>
      <c r="K13" s="610" t="s">
        <v>63</v>
      </c>
      <c r="L13" s="612" t="s">
        <v>64</v>
      </c>
      <c r="M13" s="613" t="s">
        <v>65</v>
      </c>
      <c r="N13" s="614"/>
      <c r="O13" s="610" t="s">
        <v>66</v>
      </c>
      <c r="P13" s="610" t="s">
        <v>67</v>
      </c>
      <c r="Q13" s="603" t="s">
        <v>68</v>
      </c>
      <c r="R13" s="610" t="s">
        <v>69</v>
      </c>
      <c r="S13" s="610" t="s">
        <v>70</v>
      </c>
      <c r="T13" s="603" t="s">
        <v>68</v>
      </c>
      <c r="U13" s="610" t="s">
        <v>71</v>
      </c>
      <c r="V13" s="615" t="s">
        <v>72</v>
      </c>
      <c r="W13" s="610" t="s">
        <v>73</v>
      </c>
      <c r="X13" s="610" t="s">
        <v>74</v>
      </c>
      <c r="Y13" s="610" t="s">
        <v>75</v>
      </c>
      <c r="Z13" s="610" t="s">
        <v>76</v>
      </c>
      <c r="AA13" s="610"/>
      <c r="AB13" s="610"/>
      <c r="AC13" s="610"/>
      <c r="AD13" s="610"/>
      <c r="AE13" s="610"/>
      <c r="AF13" s="616"/>
      <c r="AG13" s="615" t="s">
        <v>77</v>
      </c>
      <c r="AH13" s="615" t="s">
        <v>78</v>
      </c>
      <c r="AI13" s="615" t="s">
        <v>68</v>
      </c>
      <c r="AJ13" s="615" t="s">
        <v>79</v>
      </c>
      <c r="AK13" s="615" t="s">
        <v>68</v>
      </c>
      <c r="AL13" s="615" t="s">
        <v>80</v>
      </c>
      <c r="AM13" s="615" t="s">
        <v>81</v>
      </c>
      <c r="AN13" s="615" t="s">
        <v>82</v>
      </c>
      <c r="AO13" s="610" t="s">
        <v>83</v>
      </c>
      <c r="AP13" s="610" t="s">
        <v>84</v>
      </c>
      <c r="AQ13" s="610" t="s">
        <v>85</v>
      </c>
      <c r="AR13" s="612" t="s">
        <v>86</v>
      </c>
      <c r="AS13" s="209" t="s">
        <v>87</v>
      </c>
      <c r="AT13" s="209" t="s">
        <v>88</v>
      </c>
      <c r="AU13" s="209" t="s">
        <v>89</v>
      </c>
      <c r="AV13" s="209" t="s">
        <v>90</v>
      </c>
      <c r="AW13" s="209" t="s">
        <v>91</v>
      </c>
      <c r="AX13" s="209" t="s">
        <v>92</v>
      </c>
      <c r="AY13" s="209" t="s">
        <v>93</v>
      </c>
      <c r="AZ13" s="610" t="s">
        <v>94</v>
      </c>
      <c r="BA13" s="610" t="s">
        <v>95</v>
      </c>
      <c r="BB13" s="610" t="s">
        <v>96</v>
      </c>
      <c r="BC13" s="209" t="s">
        <v>94</v>
      </c>
      <c r="BD13" s="209" t="s">
        <v>97</v>
      </c>
      <c r="BE13" s="586"/>
      <c r="BF13" s="586"/>
      <c r="BG13" s="586"/>
      <c r="BH13" s="586"/>
      <c r="BI13" s="586"/>
      <c r="BJ13" s="586"/>
      <c r="BK13" s="586"/>
      <c r="BL13" s="586"/>
      <c r="BM13" s="586"/>
      <c r="BN13" s="586"/>
      <c r="BO13" s="586"/>
      <c r="BP13" s="586"/>
      <c r="BQ13" s="586"/>
      <c r="BR13" s="586"/>
      <c r="BS13" s="586"/>
      <c r="BT13" s="586"/>
      <c r="BU13" s="586"/>
      <c r="BV13" s="586"/>
      <c r="BW13" s="586"/>
      <c r="BX13" s="586"/>
      <c r="BY13" s="586"/>
      <c r="BZ13" s="586"/>
      <c r="CA13" s="586"/>
      <c r="CB13" s="586"/>
      <c r="CC13" s="586"/>
      <c r="CD13" s="586"/>
    </row>
    <row r="14" spans="1:82" s="622" customFormat="1" ht="106.5" customHeight="1" x14ac:dyDescent="0.25">
      <c r="A14" s="617"/>
      <c r="B14" s="617"/>
      <c r="C14" s="617"/>
      <c r="D14" s="609"/>
      <c r="E14" s="610"/>
      <c r="F14" s="604"/>
      <c r="G14" s="618"/>
      <c r="H14" s="603"/>
      <c r="I14" s="610"/>
      <c r="J14" s="610"/>
      <c r="K14" s="603"/>
      <c r="L14" s="618"/>
      <c r="M14" s="619" t="s">
        <v>98</v>
      </c>
      <c r="N14" s="619" t="s">
        <v>99</v>
      </c>
      <c r="O14" s="610"/>
      <c r="P14" s="610"/>
      <c r="Q14" s="603"/>
      <c r="R14" s="610"/>
      <c r="S14" s="603"/>
      <c r="T14" s="603"/>
      <c r="U14" s="610"/>
      <c r="V14" s="615"/>
      <c r="W14" s="610"/>
      <c r="X14" s="610"/>
      <c r="Y14" s="610"/>
      <c r="Z14" s="620" t="s">
        <v>100</v>
      </c>
      <c r="AA14" s="620" t="s">
        <v>101</v>
      </c>
      <c r="AB14" s="620" t="s">
        <v>102</v>
      </c>
      <c r="AC14" s="620" t="s">
        <v>53</v>
      </c>
      <c r="AD14" s="620" t="s">
        <v>103</v>
      </c>
      <c r="AE14" s="620" t="s">
        <v>104</v>
      </c>
      <c r="AF14" s="621"/>
      <c r="AG14" s="615"/>
      <c r="AH14" s="615"/>
      <c r="AI14" s="615"/>
      <c r="AJ14" s="615"/>
      <c r="AK14" s="615"/>
      <c r="AL14" s="615"/>
      <c r="AM14" s="615"/>
      <c r="AN14" s="615"/>
      <c r="AO14" s="610"/>
      <c r="AP14" s="610"/>
      <c r="AQ14" s="610"/>
      <c r="AR14" s="618"/>
      <c r="AS14" s="210"/>
      <c r="AT14" s="210"/>
      <c r="AU14" s="210"/>
      <c r="AV14" s="210"/>
      <c r="AW14" s="210"/>
      <c r="AX14" s="210"/>
      <c r="AY14" s="210"/>
      <c r="AZ14" s="612"/>
      <c r="BA14" s="612"/>
      <c r="BB14" s="612"/>
      <c r="BC14" s="210"/>
      <c r="BD14" s="210"/>
      <c r="BE14" s="617"/>
      <c r="BF14" s="617"/>
      <c r="BG14" s="617"/>
      <c r="BH14" s="617"/>
      <c r="BI14" s="617"/>
      <c r="BJ14" s="617"/>
      <c r="BK14" s="617"/>
      <c r="BL14" s="617"/>
      <c r="BM14" s="617"/>
      <c r="BN14" s="617"/>
      <c r="BO14" s="617"/>
      <c r="BP14" s="617"/>
      <c r="BQ14" s="617"/>
      <c r="BR14" s="617"/>
      <c r="BS14" s="617"/>
      <c r="BT14" s="617"/>
      <c r="BU14" s="617"/>
      <c r="BV14" s="617"/>
      <c r="BW14" s="617"/>
      <c r="BX14" s="617"/>
      <c r="BY14" s="617"/>
      <c r="BZ14" s="617"/>
      <c r="CA14" s="617"/>
      <c r="CB14" s="617"/>
      <c r="CC14" s="617"/>
      <c r="CD14" s="617"/>
    </row>
    <row r="15" spans="1:82" s="164" customFormat="1" ht="126" customHeight="1" x14ac:dyDescent="0.25">
      <c r="D15" s="201">
        <v>1</v>
      </c>
      <c r="E15" s="203" t="s">
        <v>148</v>
      </c>
      <c r="F15" s="203" t="s">
        <v>178</v>
      </c>
      <c r="G15" s="203"/>
      <c r="H15" s="203" t="s">
        <v>193</v>
      </c>
      <c r="I15" s="217" t="s">
        <v>427</v>
      </c>
      <c r="J15" s="215" t="s">
        <v>426</v>
      </c>
      <c r="K15" s="229" t="s">
        <v>437</v>
      </c>
      <c r="L15" s="199" t="s">
        <v>200</v>
      </c>
      <c r="M15" s="199" t="s">
        <v>190</v>
      </c>
      <c r="N15" s="199" t="s">
        <v>109</v>
      </c>
      <c r="O15" s="199">
        <v>365</v>
      </c>
      <c r="P15" s="205" t="str">
        <f>IF(O15&lt;=0,"",IF(O15&lt;=2,"Muy Baja",IF(O15&lt;=24,"Baja",IF(O15&lt;=500,"Media",IF(O15&lt;=5000,"Alta","Muy Alta")))))</f>
        <v>Media</v>
      </c>
      <c r="Q15" s="222">
        <f>IF(P15="","",IF(P15="Muy Baja",0.2,IF(P15="Baja",0.4,IF(P15="Media",0.6,IF(P15="Alta",0.8,IF(P15="Muy Alta",1,))))))</f>
        <v>0.6</v>
      </c>
      <c r="R15" s="213" t="s">
        <v>125</v>
      </c>
      <c r="S15" s="205" t="str">
        <f>IFERROR(VLOOKUP(R15,Criterios[],2,FALSE),"")</f>
        <v>Moderado</v>
      </c>
      <c r="T15" s="222">
        <f t="shared" ref="T15" si="0">IF(S15="","",IF(S15="Leve",0.2,IF(S15="Menor",0.4,IF(S15="Moderado",0.6,IF(S15="Mayor",0.8,IF(S15="Catastrófico",1,))))))</f>
        <v>0.6</v>
      </c>
      <c r="U15" s="205"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165">
        <v>1</v>
      </c>
      <c r="W15" s="166" t="s">
        <v>428</v>
      </c>
      <c r="X15" s="167" t="s">
        <v>429</v>
      </c>
      <c r="Y15" s="168" t="str">
        <f>IF(OR(Z15="Preventivo",Z15="Detectivo"),"Probabilidad",IF(Z15="Correctivo","Impacto",""))</f>
        <v>Probabilidad</v>
      </c>
      <c r="Z15" s="169" t="s">
        <v>156</v>
      </c>
      <c r="AA15" s="169" t="s">
        <v>170</v>
      </c>
      <c r="AB15" s="170" t="str">
        <f t="shared" ref="AB15:AB33" si="1">IF(AND(Z15="Preventivo",AA15="Automático"),"50%",IF(AND(Z15="Preventivo",AA15="Manual"),"40%",IF(AND(Z15="Detectivo",AA15="Automático"),"40%",IF(AND(Z15="Detectivo",AA15="Manual"),"30%",IF(AND(Z15="Correctivo",AA15="Automático"),"35%",IF(AND(Z15="Correctivo",AA15="Manual"),"25%",""))))))</f>
        <v>40%</v>
      </c>
      <c r="AC15" s="169" t="s">
        <v>158</v>
      </c>
      <c r="AD15" s="169" t="s">
        <v>159</v>
      </c>
      <c r="AE15" s="169" t="s">
        <v>417</v>
      </c>
      <c r="AF15" s="187" t="s">
        <v>432</v>
      </c>
      <c r="AG15" s="171">
        <f>IFERROR(IF(Y15="Probabilidad",(Q15-(+ Q15*AB15)),IF(Y15="Impacto",Q15,"")),"")</f>
        <v>0.36</v>
      </c>
      <c r="AH15" s="172" t="str">
        <f>IFERROR(IF(AG15="","",IF(AG15&lt;=0.2,"Muy Baja",IF(AG15&lt;=0.4,"Baja",IF(AG15&lt;=0.6,"Media",IF(AG15&lt;=0.8,"Alta","Muy Alta"))))),"")</f>
        <v>Baja</v>
      </c>
      <c r="AI15" s="170">
        <f>+AG15</f>
        <v>0.36</v>
      </c>
      <c r="AJ15" s="172" t="str">
        <f>IFERROR(IF(AK15="","",IF(AK15&lt;=0.2,"Leve",IF(AK15&lt;=0.4,"Menor",IF(AK15&lt;=0.6,"Moderado",IF(AK15&lt;=0.8,"Mayor","Catastrófico"))))),"")</f>
        <v>Moderado</v>
      </c>
      <c r="AK15" s="170">
        <f>IFERROR(IF(Y15="Impacto",(T15-(+T15*AB15)),IF(Y15="Probabilidad",T15,"")),"")</f>
        <v>0.6</v>
      </c>
      <c r="AL15" s="17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07" t="s">
        <v>107</v>
      </c>
      <c r="AN15" s="165">
        <v>1</v>
      </c>
      <c r="AO15" s="217" t="s">
        <v>434</v>
      </c>
      <c r="AP15" s="217" t="s">
        <v>435</v>
      </c>
      <c r="AQ15" s="217" t="s">
        <v>436</v>
      </c>
      <c r="AR15" s="194">
        <v>46371</v>
      </c>
      <c r="AS15" s="194">
        <v>46271</v>
      </c>
      <c r="AT15" s="191" t="s">
        <v>15</v>
      </c>
      <c r="AU15" s="191"/>
      <c r="AV15" s="191"/>
      <c r="AW15" s="191"/>
      <c r="AX15" s="191"/>
      <c r="AY15" s="191"/>
      <c r="AZ15" s="244"/>
      <c r="BA15" s="190"/>
      <c r="BB15" s="623"/>
      <c r="BC15" s="247"/>
      <c r="BD15" s="189"/>
      <c r="BE15" s="624"/>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row>
    <row r="16" spans="1:82" s="164" customFormat="1" ht="123.75" customHeight="1" thickBot="1" x14ac:dyDescent="0.3">
      <c r="D16" s="202"/>
      <c r="E16" s="204"/>
      <c r="F16" s="204"/>
      <c r="G16" s="204"/>
      <c r="H16" s="204"/>
      <c r="I16" s="219"/>
      <c r="J16" s="216"/>
      <c r="K16" s="230"/>
      <c r="L16" s="200"/>
      <c r="M16" s="200"/>
      <c r="N16" s="200"/>
      <c r="O16" s="200"/>
      <c r="P16" s="206"/>
      <c r="Q16" s="223"/>
      <c r="R16" s="214"/>
      <c r="S16" s="206"/>
      <c r="T16" s="223"/>
      <c r="U16" s="206"/>
      <c r="V16" s="174">
        <v>2</v>
      </c>
      <c r="W16" s="166" t="s">
        <v>430</v>
      </c>
      <c r="X16" s="167" t="s">
        <v>431</v>
      </c>
      <c r="Y16" s="168" t="str">
        <f t="shared" ref="Y16:Y33" si="2">IF(OR(Z16="Preventivo",Z16="Detectivo"),"Probabilidad",IF(Z16="Correctivo","Impacto",""))</f>
        <v>Probabilidad</v>
      </c>
      <c r="Z16" s="169" t="s">
        <v>156</v>
      </c>
      <c r="AA16" s="169" t="s">
        <v>170</v>
      </c>
      <c r="AB16" s="170" t="str">
        <f t="shared" si="1"/>
        <v>40%</v>
      </c>
      <c r="AC16" s="169" t="s">
        <v>158</v>
      </c>
      <c r="AD16" s="169" t="s">
        <v>159</v>
      </c>
      <c r="AE16" s="169" t="s">
        <v>417</v>
      </c>
      <c r="AF16" s="187" t="s">
        <v>433</v>
      </c>
      <c r="AG16" s="193">
        <f>IFERROR(IF(Y16="Probabilidad",(Q15-(+ Q16*AB16)),IF(Y16="Impacto",Q16,"")),"")</f>
        <v>0.6</v>
      </c>
      <c r="AH16" s="172" t="str">
        <f t="shared" ref="AH16:AH33" si="3">IFERROR(IF(AG16="","",IF(AG16&lt;=0.2,"Muy Baja",IF(AG16&lt;=0.4,"Baja",IF(AG16&lt;=0.6,"Media",IF(AG16&lt;=0.8,"Alta","Muy Alta"))))),"")</f>
        <v>Media</v>
      </c>
      <c r="AI16" s="170">
        <f t="shared" ref="AI16:AI33" si="4">+AG16</f>
        <v>0.6</v>
      </c>
      <c r="AJ16" s="172" t="str">
        <f t="shared" ref="AJ16:AJ33" si="5">IFERROR(IF(AK16="","",IF(AK16&lt;=0.2,"Leve",IF(AK16&lt;=0.4,"Menor",IF(AK16&lt;=0.6,"Moderado",IF(AK16&lt;=0.8,"Mayor","Catastrófico"))))),"")</f>
        <v>Moderado</v>
      </c>
      <c r="AK16" s="170">
        <f>IFERROR(IF(Y16="Impacto",(T16-(+T16*AB16)),IF(Y16="Probabilidad",T15,"")),"")</f>
        <v>0.6</v>
      </c>
      <c r="AL16" s="172" t="str">
        <f t="shared" ref="AL16:AL33"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Moderado</v>
      </c>
      <c r="AM16" s="208"/>
      <c r="AN16" s="174">
        <v>2</v>
      </c>
      <c r="AO16" s="219"/>
      <c r="AP16" s="219"/>
      <c r="AQ16" s="219"/>
      <c r="AR16" s="195"/>
      <c r="AS16" s="195"/>
      <c r="AT16" s="191"/>
      <c r="AU16" s="191"/>
      <c r="AV16" s="191"/>
      <c r="AW16" s="191"/>
      <c r="AX16" s="191"/>
      <c r="AY16" s="191"/>
      <c r="AZ16" s="245"/>
      <c r="BA16" s="190"/>
      <c r="BB16" s="625"/>
      <c r="BC16" s="248"/>
      <c r="BD16" s="189"/>
      <c r="BE16" s="626"/>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row>
    <row r="17" spans="4:82" s="164" customFormat="1" ht="62.25" customHeight="1" x14ac:dyDescent="0.25">
      <c r="D17" s="201">
        <v>2</v>
      </c>
      <c r="E17" s="203" t="s">
        <v>148</v>
      </c>
      <c r="F17" s="203" t="s">
        <v>178</v>
      </c>
      <c r="G17" s="203"/>
      <c r="H17" s="203" t="s">
        <v>180</v>
      </c>
      <c r="I17" s="217" t="s">
        <v>438</v>
      </c>
      <c r="J17" s="217" t="s">
        <v>425</v>
      </c>
      <c r="K17" s="232" t="s">
        <v>445</v>
      </c>
      <c r="L17" s="199" t="s">
        <v>181</v>
      </c>
      <c r="M17" s="199" t="s">
        <v>190</v>
      </c>
      <c r="N17" s="199" t="s">
        <v>169</v>
      </c>
      <c r="O17" s="199">
        <v>365</v>
      </c>
      <c r="P17" s="205" t="str">
        <f>IF(O17&lt;=0,"",IF(O17&lt;=2,"Muy Baja",IF(O17&lt;=24,"Baja",IF(O17&lt;=500,"Media",IF(O17&lt;=5000,"Alta","Muy Alta")))))</f>
        <v>Media</v>
      </c>
      <c r="Q17" s="222">
        <f t="shared" ref="Q17" si="7">IF(P17="","",IF(P17="Muy Baja",0.2,IF(P17="Baja",0.4,IF(P17="Media",0.6,IF(P17="Alta",0.8,IF(P17="Muy Alta",1,))))))</f>
        <v>0.6</v>
      </c>
      <c r="R17" s="213" t="s">
        <v>127</v>
      </c>
      <c r="S17" s="205" t="str">
        <f>IFERROR(VLOOKUP(R17,Criterios[],2,FALSE),"")</f>
        <v>Mayor</v>
      </c>
      <c r="T17" s="222">
        <f t="shared" ref="T17" si="8">IF(S17="","",IF(S17="Leve",0.2,IF(S17="Menor",0.4,IF(S17="Moderado",0.6,IF(S17="Mayor",0.8,IF(S17="Catastrófico",1,))))))</f>
        <v>0.8</v>
      </c>
      <c r="U17" s="205"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Alto</v>
      </c>
      <c r="V17" s="165">
        <v>1</v>
      </c>
      <c r="W17" s="166" t="s">
        <v>439</v>
      </c>
      <c r="X17" s="167" t="s">
        <v>422</v>
      </c>
      <c r="Y17" s="168" t="str">
        <f>IF(OR(Z17="Preventivo",Z17="Detectivo"),"Probabilidad",IF(Z17="Correctivo","Impacto",""))</f>
        <v>Probabilidad</v>
      </c>
      <c r="Z17" s="169" t="s">
        <v>156</v>
      </c>
      <c r="AA17" s="169" t="s">
        <v>157</v>
      </c>
      <c r="AB17" s="170" t="str">
        <f t="shared" si="1"/>
        <v>50%</v>
      </c>
      <c r="AC17" s="169" t="s">
        <v>158</v>
      </c>
      <c r="AD17" s="169" t="s">
        <v>159</v>
      </c>
      <c r="AE17" s="169" t="s">
        <v>417</v>
      </c>
      <c r="AF17" s="187" t="s">
        <v>423</v>
      </c>
      <c r="AG17" s="193">
        <f>IFERROR(IF(Y17="Probabilidad",(Q17-(+ Q17*AB17)),IF(Y17="Impacto",Q17,"")),"")</f>
        <v>0.3</v>
      </c>
      <c r="AH17" s="192" t="str">
        <f t="shared" si="3"/>
        <v>Baja</v>
      </c>
      <c r="AI17" s="170">
        <f t="shared" si="4"/>
        <v>0.3</v>
      </c>
      <c r="AJ17" s="192" t="str">
        <f t="shared" si="5"/>
        <v>Mayor</v>
      </c>
      <c r="AK17" s="170">
        <f>IFERROR(IF(Y17="Impacto",(T118-(+T17*AB17)),IF(Y17="Probabilidad",T17,"")),"")</f>
        <v>0.8</v>
      </c>
      <c r="AL17" s="192" t="str">
        <f t="shared" si="6"/>
        <v>Alto</v>
      </c>
      <c r="AM17" s="207" t="s">
        <v>107</v>
      </c>
      <c r="AN17" s="165">
        <v>1</v>
      </c>
      <c r="AO17" s="217" t="s">
        <v>443</v>
      </c>
      <c r="AP17" s="217" t="s">
        <v>435</v>
      </c>
      <c r="AQ17" s="242" t="s">
        <v>444</v>
      </c>
      <c r="AR17" s="194">
        <v>46371</v>
      </c>
      <c r="AS17" s="194">
        <v>46271</v>
      </c>
      <c r="AT17" s="191"/>
      <c r="AU17" s="191"/>
      <c r="AV17" s="191"/>
      <c r="AW17" s="191"/>
      <c r="AX17" s="191"/>
      <c r="AY17" s="191"/>
      <c r="AZ17" s="245"/>
      <c r="BA17" s="190"/>
      <c r="BB17" s="625"/>
      <c r="BC17" s="248"/>
      <c r="BD17" s="189"/>
      <c r="BE17" s="173"/>
      <c r="BF17" s="626"/>
      <c r="BG17" s="173"/>
      <c r="BH17" s="173"/>
      <c r="BI17" s="173"/>
      <c r="BJ17" s="173"/>
      <c r="BK17" s="173"/>
      <c r="BL17" s="173"/>
      <c r="BM17" s="173"/>
      <c r="BN17" s="173"/>
      <c r="BO17" s="173"/>
      <c r="BP17" s="173"/>
      <c r="BQ17" s="173"/>
      <c r="BR17" s="173"/>
      <c r="BS17" s="173"/>
      <c r="BT17" s="173"/>
      <c r="BU17" s="173"/>
      <c r="BV17" s="173"/>
      <c r="BW17" s="173"/>
      <c r="BX17" s="173"/>
      <c r="BY17" s="173"/>
      <c r="BZ17" s="173"/>
      <c r="CA17" s="173"/>
      <c r="CB17" s="173"/>
      <c r="CC17" s="173"/>
      <c r="CD17" s="173"/>
    </row>
    <row r="18" spans="4:82" s="164" customFormat="1" ht="93.95" customHeight="1" thickBot="1" x14ac:dyDescent="0.3">
      <c r="D18" s="202"/>
      <c r="E18" s="204"/>
      <c r="F18" s="204"/>
      <c r="G18" s="204"/>
      <c r="H18" s="204"/>
      <c r="I18" s="219"/>
      <c r="J18" s="219"/>
      <c r="K18" s="233"/>
      <c r="L18" s="200"/>
      <c r="M18" s="200"/>
      <c r="N18" s="200"/>
      <c r="O18" s="200"/>
      <c r="P18" s="206"/>
      <c r="Q18" s="223"/>
      <c r="R18" s="214"/>
      <c r="S18" s="206"/>
      <c r="T18" s="223"/>
      <c r="U18" s="206"/>
      <c r="V18" s="174">
        <v>2</v>
      </c>
      <c r="W18" s="166" t="s">
        <v>440</v>
      </c>
      <c r="X18" s="167" t="s">
        <v>441</v>
      </c>
      <c r="Y18" s="168" t="str">
        <f t="shared" si="2"/>
        <v>Probabilidad</v>
      </c>
      <c r="Z18" s="169" t="s">
        <v>156</v>
      </c>
      <c r="AA18" s="169" t="s">
        <v>157</v>
      </c>
      <c r="AB18" s="170" t="str">
        <f t="shared" si="1"/>
        <v>50%</v>
      </c>
      <c r="AC18" s="169" t="s">
        <v>158</v>
      </c>
      <c r="AD18" s="169" t="s">
        <v>159</v>
      </c>
      <c r="AE18" s="169" t="s">
        <v>417</v>
      </c>
      <c r="AF18" s="187" t="s">
        <v>442</v>
      </c>
      <c r="AG18" s="193">
        <f>IFERROR(IF(Y18="Probabilidad",(Q17-(+ Q18*AB18)),IF(Y18="Impacto",Q18,"")),"")</f>
        <v>0.6</v>
      </c>
      <c r="AH18" s="192" t="str">
        <f t="shared" si="3"/>
        <v>Media</v>
      </c>
      <c r="AI18" s="170">
        <f t="shared" si="4"/>
        <v>0.6</v>
      </c>
      <c r="AJ18" s="192" t="str">
        <f t="shared" si="5"/>
        <v>Mayor</v>
      </c>
      <c r="AK18" s="170">
        <f>IFERROR(IF(Y18="Impacto",(T18-(+T18*AB18)),IF(Y18="Probabilidad",T17,"")),"")</f>
        <v>0.8</v>
      </c>
      <c r="AL18" s="192" t="str">
        <f t="shared" si="6"/>
        <v>Alto</v>
      </c>
      <c r="AM18" s="208"/>
      <c r="AN18" s="174">
        <v>2</v>
      </c>
      <c r="AO18" s="219"/>
      <c r="AP18" s="219"/>
      <c r="AQ18" s="243"/>
      <c r="AR18" s="195"/>
      <c r="AS18" s="195"/>
      <c r="AT18" s="191"/>
      <c r="AU18" s="191"/>
      <c r="AV18" s="191"/>
      <c r="AW18" s="191"/>
      <c r="AX18" s="191"/>
      <c r="AY18" s="191"/>
      <c r="AZ18" s="245"/>
      <c r="BA18" s="190"/>
      <c r="BB18" s="625"/>
      <c r="BC18" s="248"/>
      <c r="BD18" s="189"/>
      <c r="BE18" s="173"/>
      <c r="BF18" s="626"/>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row>
    <row r="19" spans="4:82" s="164" customFormat="1" ht="186.95" customHeight="1" x14ac:dyDescent="0.25">
      <c r="D19" s="201">
        <v>3</v>
      </c>
      <c r="E19" s="203" t="s">
        <v>148</v>
      </c>
      <c r="F19" s="203" t="s">
        <v>150</v>
      </c>
      <c r="G19" s="203"/>
      <c r="H19" s="203" t="s">
        <v>166</v>
      </c>
      <c r="I19" s="215" t="s">
        <v>447</v>
      </c>
      <c r="J19" s="215" t="s">
        <v>448</v>
      </c>
      <c r="K19" s="232" t="s">
        <v>446</v>
      </c>
      <c r="L19" s="199" t="s">
        <v>167</v>
      </c>
      <c r="M19" s="199" t="s">
        <v>190</v>
      </c>
      <c r="N19" s="199" t="s">
        <v>183</v>
      </c>
      <c r="O19" s="199">
        <v>365</v>
      </c>
      <c r="P19" s="205" t="str">
        <f>IF(O19&lt;=0,"",IF(O19&lt;=2,"Muy Baja",IF(O19&lt;=24,"Baja",IF(O19&lt;=500,"Media",IF(O19&lt;=5000,"Alta","Muy Alta")))))</f>
        <v>Media</v>
      </c>
      <c r="Q19" s="222">
        <f t="shared" ref="Q19" si="9">IF(P19="","",IF(P19="Muy Baja",0.2,IF(P19="Baja",0.4,IF(P19="Media",0.6,IF(P19="Alta",0.8,IF(P19="Muy Alta",1,))))))</f>
        <v>0.6</v>
      </c>
      <c r="R19" s="213" t="s">
        <v>123</v>
      </c>
      <c r="S19" s="205" t="str">
        <f>IFERROR(VLOOKUP(R19,Criterios[],2,FALSE),"")</f>
        <v>Menor</v>
      </c>
      <c r="T19" s="222">
        <f t="shared" ref="T19" si="10">IF(S19="","",IF(S19="Leve",0.2,IF(S19="Menor",0.4,IF(S19="Moderado",0.6,IF(S19="Mayor",0.8,IF(S19="Catastrófico",1,))))))</f>
        <v>0.4</v>
      </c>
      <c r="U19" s="205"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165">
        <v>1</v>
      </c>
      <c r="W19" s="166" t="s">
        <v>449</v>
      </c>
      <c r="X19" s="167" t="s">
        <v>450</v>
      </c>
      <c r="Y19" s="168" t="str">
        <f t="shared" si="2"/>
        <v>Probabilidad</v>
      </c>
      <c r="Z19" s="169" t="s">
        <v>156</v>
      </c>
      <c r="AA19" s="169" t="s">
        <v>170</v>
      </c>
      <c r="AB19" s="170" t="str">
        <f t="shared" si="1"/>
        <v>40%</v>
      </c>
      <c r="AC19" s="169" t="s">
        <v>158</v>
      </c>
      <c r="AD19" s="169" t="s">
        <v>172</v>
      </c>
      <c r="AE19" s="169" t="s">
        <v>417</v>
      </c>
      <c r="AF19" s="187" t="s">
        <v>451</v>
      </c>
      <c r="AG19" s="193">
        <f>IFERROR(IF(Y19="Probabilidad",(Q19-(+ Q19*AB19)),IF(Y19="Impacto",Q19,"")),"")</f>
        <v>0.36</v>
      </c>
      <c r="AH19" s="172" t="str">
        <f t="shared" si="3"/>
        <v>Baja</v>
      </c>
      <c r="AI19" s="170">
        <f t="shared" si="4"/>
        <v>0.36</v>
      </c>
      <c r="AJ19" s="172" t="str">
        <f t="shared" si="5"/>
        <v>Menor</v>
      </c>
      <c r="AK19" s="170">
        <f>IFERROR(IF(Y19="Impacto",(T19-(+T19*AB19)),IF(Y19="Probabilidad",T19,"")),"")</f>
        <v>0.4</v>
      </c>
      <c r="AL19" s="172" t="str">
        <f t="shared" si="6"/>
        <v>Moderado</v>
      </c>
      <c r="AM19" s="207" t="s">
        <v>107</v>
      </c>
      <c r="AN19" s="165">
        <v>1</v>
      </c>
      <c r="AO19" s="217" t="s">
        <v>452</v>
      </c>
      <c r="AP19" s="217" t="s">
        <v>435</v>
      </c>
      <c r="AQ19" s="194" t="s">
        <v>453</v>
      </c>
      <c r="AR19" s="194">
        <v>46371</v>
      </c>
      <c r="AS19" s="194">
        <v>46271</v>
      </c>
      <c r="AT19" s="191"/>
      <c r="AU19" s="191"/>
      <c r="AV19" s="191"/>
      <c r="AW19" s="191"/>
      <c r="AX19" s="191"/>
      <c r="AY19" s="191"/>
      <c r="AZ19" s="245"/>
      <c r="BA19" s="190"/>
      <c r="BB19" s="625"/>
      <c r="BC19" s="248"/>
      <c r="BD19" s="189"/>
      <c r="BE19" s="173"/>
      <c r="BF19" s="626"/>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row>
    <row r="20" spans="4:82" s="164" customFormat="1" ht="108.75" customHeight="1" thickBot="1" x14ac:dyDescent="0.3">
      <c r="D20" s="202"/>
      <c r="E20" s="204"/>
      <c r="F20" s="204"/>
      <c r="G20" s="204"/>
      <c r="H20" s="204"/>
      <c r="I20" s="216" t="s">
        <v>108</v>
      </c>
      <c r="J20" s="216"/>
      <c r="K20" s="233"/>
      <c r="L20" s="200"/>
      <c r="M20" s="200" t="s">
        <v>109</v>
      </c>
      <c r="N20" s="200" t="s">
        <v>109</v>
      </c>
      <c r="O20" s="200"/>
      <c r="P20" s="206"/>
      <c r="Q20" s="223"/>
      <c r="R20" s="214"/>
      <c r="S20" s="206"/>
      <c r="T20" s="223"/>
      <c r="U20" s="206"/>
      <c r="V20" s="174">
        <v>2</v>
      </c>
      <c r="W20" s="166"/>
      <c r="X20" s="167"/>
      <c r="Y20" s="168"/>
      <c r="Z20" s="169"/>
      <c r="AA20" s="169"/>
      <c r="AB20" s="170" t="str">
        <f t="shared" si="1"/>
        <v/>
      </c>
      <c r="AC20" s="169"/>
      <c r="AD20" s="169"/>
      <c r="AE20" s="169"/>
      <c r="AF20" s="187"/>
      <c r="AG20" s="193" t="str">
        <f t="shared" ref="AG20:AG23" si="11">IFERROR(IF(Y20="Probabilidad",(Q20-(+ Q20*AB20)),IF(Y20="Impacto",Q20,"")),"")</f>
        <v/>
      </c>
      <c r="AH20" s="172" t="str">
        <f t="shared" si="3"/>
        <v/>
      </c>
      <c r="AI20" s="170" t="str">
        <f t="shared" si="4"/>
        <v/>
      </c>
      <c r="AJ20" s="172" t="str">
        <f t="shared" si="5"/>
        <v/>
      </c>
      <c r="AK20" s="170" t="str">
        <f t="shared" ref="AK20:AK33" si="12">IFERROR(IF(Y20="Impacto",(T19-(+T19*AB20)),IF(Y20="Probabilidad",T19,"")),"")</f>
        <v/>
      </c>
      <c r="AL20" s="172" t="str">
        <f t="shared" si="6"/>
        <v/>
      </c>
      <c r="AM20" s="208"/>
      <c r="AN20" s="174">
        <v>2</v>
      </c>
      <c r="AO20" s="219"/>
      <c r="AP20" s="219"/>
      <c r="AQ20" s="195"/>
      <c r="AR20" s="195"/>
      <c r="AS20" s="195"/>
      <c r="AT20" s="191"/>
      <c r="AU20" s="191"/>
      <c r="AV20" s="191"/>
      <c r="AW20" s="191"/>
      <c r="AX20" s="191"/>
      <c r="AY20" s="191"/>
      <c r="AZ20" s="245"/>
      <c r="BA20" s="190"/>
      <c r="BB20" s="625"/>
      <c r="BC20" s="248"/>
      <c r="BD20" s="189"/>
      <c r="BE20" s="626"/>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row>
    <row r="21" spans="4:82" s="164" customFormat="1" ht="120.6" customHeight="1" x14ac:dyDescent="0.25">
      <c r="D21" s="201">
        <v>4</v>
      </c>
      <c r="E21" s="203" t="s">
        <v>148</v>
      </c>
      <c r="F21" s="203" t="s">
        <v>178</v>
      </c>
      <c r="G21" s="203"/>
      <c r="H21" s="203" t="s">
        <v>166</v>
      </c>
      <c r="I21" s="217" t="s">
        <v>424</v>
      </c>
      <c r="J21" s="217" t="s">
        <v>454</v>
      </c>
      <c r="K21" s="234" t="s">
        <v>455</v>
      </c>
      <c r="L21" s="199" t="s">
        <v>200</v>
      </c>
      <c r="M21" s="199" t="s">
        <v>190</v>
      </c>
      <c r="N21" s="199" t="s">
        <v>183</v>
      </c>
      <c r="O21" s="199">
        <v>365</v>
      </c>
      <c r="P21" s="205" t="str">
        <f>IF(O21&lt;=0,"",IF(O21&lt;=2,"Muy Baja",IF(O21&lt;=24,"Baja",IF(O21&lt;=500,"Media",IF(O21&lt;=5000,"Alta","Muy Alta")))))</f>
        <v>Media</v>
      </c>
      <c r="Q21" s="222">
        <f t="shared" ref="Q21" si="13">IF(P21="","",IF(P21="Muy Baja",0.2,IF(P21="Baja",0.4,IF(P21="Media",0.6,IF(P21="Alta",0.8,IF(P21="Muy Alta",1,))))))</f>
        <v>0.6</v>
      </c>
      <c r="R21" s="213" t="s">
        <v>127</v>
      </c>
      <c r="S21" s="205" t="str">
        <f>IFERROR(VLOOKUP(R21,Criterios[],2,FALSE),"")</f>
        <v>Mayor</v>
      </c>
      <c r="T21" s="222">
        <f t="shared" ref="T21" si="14">IF(S21="","",IF(S21="Leve",0.2,IF(S21="Menor",0.4,IF(S21="Moderado",0.6,IF(S21="Mayor",0.8,IF(S21="Catastrófico",1,))))))</f>
        <v>0.8</v>
      </c>
      <c r="U21" s="205"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Alto</v>
      </c>
      <c r="V21" s="165">
        <v>1</v>
      </c>
      <c r="W21" s="166" t="s">
        <v>456</v>
      </c>
      <c r="X21" s="167" t="s">
        <v>457</v>
      </c>
      <c r="Y21" s="168" t="str">
        <f t="shared" si="2"/>
        <v>Probabilidad</v>
      </c>
      <c r="Z21" s="169" t="s">
        <v>156</v>
      </c>
      <c r="AA21" s="169" t="s">
        <v>170</v>
      </c>
      <c r="AB21" s="170" t="str">
        <f t="shared" si="1"/>
        <v>40%</v>
      </c>
      <c r="AC21" s="169" t="s">
        <v>158</v>
      </c>
      <c r="AD21" s="169" t="s">
        <v>172</v>
      </c>
      <c r="AE21" s="169" t="s">
        <v>417</v>
      </c>
      <c r="AF21" s="187" t="s">
        <v>460</v>
      </c>
      <c r="AG21" s="193">
        <f t="shared" si="11"/>
        <v>0.36</v>
      </c>
      <c r="AH21" s="172" t="str">
        <f t="shared" si="3"/>
        <v>Baja</v>
      </c>
      <c r="AI21" s="170">
        <f t="shared" si="4"/>
        <v>0.36</v>
      </c>
      <c r="AJ21" s="172" t="str">
        <f t="shared" si="5"/>
        <v>Mayor</v>
      </c>
      <c r="AK21" s="170">
        <f>IFERROR(IF(Y21="Impacto",(T21-(+T21*AB21)),IF(Y21="Probabilidad",T21,"")),"")</f>
        <v>0.8</v>
      </c>
      <c r="AL21" s="172" t="str">
        <f t="shared" si="6"/>
        <v>Alto</v>
      </c>
      <c r="AM21" s="207" t="s">
        <v>107</v>
      </c>
      <c r="AN21" s="165">
        <v>1</v>
      </c>
      <c r="AO21" s="217" t="s">
        <v>461</v>
      </c>
      <c r="AP21" s="242" t="s">
        <v>462</v>
      </c>
      <c r="AQ21" s="194" t="s">
        <v>463</v>
      </c>
      <c r="AR21" s="194">
        <v>46371</v>
      </c>
      <c r="AS21" s="194">
        <v>46271</v>
      </c>
      <c r="AT21" s="191"/>
      <c r="AU21" s="191"/>
      <c r="AV21" s="191"/>
      <c r="AW21" s="191"/>
      <c r="AX21" s="191"/>
      <c r="AY21" s="191"/>
      <c r="AZ21" s="245"/>
      <c r="BA21" s="627"/>
      <c r="BB21" s="627"/>
      <c r="BC21" s="248"/>
      <c r="BD21" s="189"/>
      <c r="BE21" s="173"/>
      <c r="BF21" s="173"/>
      <c r="BG21" s="173"/>
      <c r="BH21" s="173"/>
      <c r="BI21" s="173"/>
      <c r="BJ21" s="173"/>
      <c r="BK21" s="173"/>
      <c r="BL21" s="173"/>
      <c r="BM21" s="173"/>
      <c r="BN21" s="173"/>
      <c r="BO21" s="173"/>
      <c r="BP21" s="173"/>
      <c r="BQ21" s="173"/>
      <c r="BR21" s="173"/>
      <c r="BS21" s="173"/>
      <c r="BT21" s="173"/>
      <c r="BU21" s="173"/>
      <c r="BV21" s="173"/>
      <c r="BW21" s="173"/>
      <c r="BX21" s="173"/>
      <c r="BY21" s="173"/>
      <c r="BZ21" s="173"/>
      <c r="CA21" s="173"/>
      <c r="CB21" s="173"/>
      <c r="CC21" s="173"/>
      <c r="CD21" s="173"/>
    </row>
    <row r="22" spans="4:82" s="164" customFormat="1" ht="99.6" customHeight="1" x14ac:dyDescent="0.25">
      <c r="D22" s="628"/>
      <c r="E22" s="231"/>
      <c r="F22" s="231"/>
      <c r="G22" s="231"/>
      <c r="H22" s="231"/>
      <c r="I22" s="218"/>
      <c r="J22" s="218"/>
      <c r="K22" s="235"/>
      <c r="L22" s="220"/>
      <c r="M22" s="220"/>
      <c r="N22" s="220"/>
      <c r="O22" s="220"/>
      <c r="P22" s="240"/>
      <c r="Q22" s="224"/>
      <c r="R22" s="221"/>
      <c r="S22" s="240"/>
      <c r="T22" s="224"/>
      <c r="U22" s="240"/>
      <c r="V22" s="165">
        <v>2</v>
      </c>
      <c r="W22" s="166" t="s">
        <v>458</v>
      </c>
      <c r="X22" s="167" t="s">
        <v>459</v>
      </c>
      <c r="Y22" s="168" t="str">
        <f t="shared" si="2"/>
        <v>Probabilidad</v>
      </c>
      <c r="Z22" s="169" t="s">
        <v>156</v>
      </c>
      <c r="AA22" s="169" t="s">
        <v>170</v>
      </c>
      <c r="AB22" s="170" t="str">
        <f t="shared" si="1"/>
        <v>40%</v>
      </c>
      <c r="AC22" s="169" t="s">
        <v>158</v>
      </c>
      <c r="AD22" s="169" t="s">
        <v>172</v>
      </c>
      <c r="AE22" s="169" t="s">
        <v>417</v>
      </c>
      <c r="AF22" s="187" t="s">
        <v>460</v>
      </c>
      <c r="AG22" s="193">
        <f t="shared" si="11"/>
        <v>0</v>
      </c>
      <c r="AH22" s="172" t="str">
        <f t="shared" si="3"/>
        <v>Muy Baja</v>
      </c>
      <c r="AI22" s="170">
        <f t="shared" si="4"/>
        <v>0</v>
      </c>
      <c r="AJ22" s="172" t="str">
        <f t="shared" si="5"/>
        <v/>
      </c>
      <c r="AK22" s="170"/>
      <c r="AL22" s="172"/>
      <c r="AM22" s="241"/>
      <c r="AN22" s="165"/>
      <c r="AO22" s="218"/>
      <c r="AP22" s="250"/>
      <c r="AQ22" s="196"/>
      <c r="AR22" s="196"/>
      <c r="AS22" s="196"/>
      <c r="AT22" s="191"/>
      <c r="AU22" s="191"/>
      <c r="AV22" s="191"/>
      <c r="AW22" s="191"/>
      <c r="AX22" s="191"/>
      <c r="AY22" s="191"/>
      <c r="AZ22" s="245"/>
      <c r="BA22" s="627"/>
      <c r="BB22" s="627"/>
      <c r="BC22" s="248"/>
      <c r="BD22" s="189"/>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row>
    <row r="23" spans="4:82" s="164" customFormat="1" ht="73.5" customHeight="1" x14ac:dyDescent="0.25">
      <c r="D23" s="202"/>
      <c r="E23" s="204"/>
      <c r="F23" s="204"/>
      <c r="G23" s="204"/>
      <c r="H23" s="204"/>
      <c r="I23" s="219"/>
      <c r="J23" s="219"/>
      <c r="K23" s="230"/>
      <c r="L23" s="200"/>
      <c r="M23" s="200"/>
      <c r="N23" s="200"/>
      <c r="O23" s="200"/>
      <c r="P23" s="206"/>
      <c r="Q23" s="223"/>
      <c r="R23" s="214"/>
      <c r="S23" s="206"/>
      <c r="T23" s="223"/>
      <c r="U23" s="206"/>
      <c r="V23" s="174">
        <v>3</v>
      </c>
      <c r="W23" s="166"/>
      <c r="X23" s="167"/>
      <c r="Y23" s="168" t="str">
        <f t="shared" si="2"/>
        <v/>
      </c>
      <c r="Z23" s="169"/>
      <c r="AA23" s="169"/>
      <c r="AB23" s="170" t="str">
        <f t="shared" si="1"/>
        <v/>
      </c>
      <c r="AC23" s="169"/>
      <c r="AD23" s="169"/>
      <c r="AE23" s="169"/>
      <c r="AF23" s="187"/>
      <c r="AG23" s="193" t="str">
        <f t="shared" si="11"/>
        <v/>
      </c>
      <c r="AH23" s="172" t="str">
        <f t="shared" si="3"/>
        <v/>
      </c>
      <c r="AI23" s="170" t="str">
        <f t="shared" si="4"/>
        <v/>
      </c>
      <c r="AJ23" s="172" t="str">
        <f t="shared" si="5"/>
        <v/>
      </c>
      <c r="AK23" s="170" t="str">
        <f>IFERROR(IF(Y23="Impacto",(T21-(+T21*AB23)),IF(Y23="Probabilidad",T21,"")),"")</f>
        <v/>
      </c>
      <c r="AL23" s="172" t="str">
        <f t="shared" si="6"/>
        <v/>
      </c>
      <c r="AM23" s="208"/>
      <c r="AN23" s="174">
        <v>2</v>
      </c>
      <c r="AO23" s="219"/>
      <c r="AP23" s="243"/>
      <c r="AQ23" s="195"/>
      <c r="AR23" s="195"/>
      <c r="AS23" s="195"/>
      <c r="AT23" s="191"/>
      <c r="AU23" s="191"/>
      <c r="AV23" s="191"/>
      <c r="AW23" s="191"/>
      <c r="AX23" s="191"/>
      <c r="AY23" s="191"/>
      <c r="AZ23" s="245"/>
      <c r="BA23" s="627"/>
      <c r="BB23" s="627"/>
      <c r="BC23" s="248"/>
      <c r="BD23" s="189"/>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row>
    <row r="24" spans="4:82" s="164" customFormat="1" ht="117.95" customHeight="1" x14ac:dyDescent="0.25">
      <c r="D24" s="203">
        <v>5</v>
      </c>
      <c r="E24" s="203" t="s">
        <v>148</v>
      </c>
      <c r="F24" s="203" t="s">
        <v>178</v>
      </c>
      <c r="G24" s="203"/>
      <c r="H24" s="203" t="s">
        <v>180</v>
      </c>
      <c r="I24" s="217" t="s">
        <v>464</v>
      </c>
      <c r="J24" s="217" t="s">
        <v>465</v>
      </c>
      <c r="K24" s="229" t="s">
        <v>469</v>
      </c>
      <c r="L24" s="199" t="s">
        <v>470</v>
      </c>
      <c r="M24" s="199" t="s">
        <v>340</v>
      </c>
      <c r="N24" s="199" t="s">
        <v>183</v>
      </c>
      <c r="O24" s="199">
        <v>21000</v>
      </c>
      <c r="P24" s="205" t="str">
        <f t="shared" ref="P24:P32" si="15">IF(O24&lt;=0,"",IF(O24&lt;=2,"Muy Baja",IF(O24&lt;=24,"Baja",IF(O24&lt;=500,"Media",IF(O24&lt;=5000,"Alta","Muy Alta")))))</f>
        <v>Muy Alta</v>
      </c>
      <c r="Q24" s="222">
        <f t="shared" ref="Q24" si="16">IF(P24="","",IF(P24="Muy Baja",0.2,IF(P24="Baja",0.4,IF(P24="Media",0.6,IF(P24="Alta",0.8,IF(P24="Muy Alta",1,))))))</f>
        <v>1</v>
      </c>
      <c r="R24" s="213" t="s">
        <v>133</v>
      </c>
      <c r="S24" s="205" t="str">
        <f>IFERROR(VLOOKUP(R24,Criterios[],2,FALSE),"")</f>
        <v>Moderado</v>
      </c>
      <c r="T24" s="222">
        <f t="shared" ref="T24" si="17">IF(S24="","",IF(S24="Leve",0.2,IF(S24="Menor",0.4,IF(S24="Moderado",0.6,IF(S24="Mayor",0.8,IF(S24="Catastrófico",1,))))))</f>
        <v>0.6</v>
      </c>
      <c r="U24" s="205" t="str">
        <f>IF(OR(AND(P24="Muy Baja",S24="Leve"),AND(P24="Muy Baja",S24="Menor"),AND(P24="Baja",S24="Leve")),"Bajo",IF(OR(AND(P24="Muy baja",S24="Moderado"),AND(P24="Baja",S24="Menor"),AND(P24="Baja",S24="Moderado"),AND(P24="Media",S24="Leve"),AND(P24="Media",S24="Menor"),AND(P24="Media",S24="Moderado"),AND(P24="Alta",S24="Leve"),AND(P24="Alta",S24="Menor")),"Moderado",IF(OR(AND(P24="Muy Baja",S24="Mayor"),AND(P24="Baja",S24="Mayor"),AND(P24="Media",S24="Mayor"),AND(P24="Alta",S24="Moderado"),AND(P24="Alta",S24="Mayor"),AND(P24="Muy Alta",S24="Leve"),AND(P24="Muy Alta",S24="Menor"),AND(P24="Muy Alta",S24="Moderado"),AND(P24="Muy Alta",S24="Mayor")),"Alto",IF(OR(AND(P24="Muy Baja",S24="Catastrófico"),AND(P24="Baja",S24="Catastrófico"),AND(P24="Media",S24="Catastrófico"),AND(P24="Alta",S24="Catastrófico"),AND(P24="Muy Alta",S24="Catastrófico")),"Extremo",""))))</f>
        <v>Alto</v>
      </c>
      <c r="V24" s="165">
        <v>1</v>
      </c>
      <c r="W24" s="166" t="s">
        <v>471</v>
      </c>
      <c r="X24" s="167" t="s">
        <v>472</v>
      </c>
      <c r="Y24" s="168" t="str">
        <f t="shared" si="2"/>
        <v>Probabilidad</v>
      </c>
      <c r="Z24" s="169" t="s">
        <v>106</v>
      </c>
      <c r="AA24" s="169" t="s">
        <v>170</v>
      </c>
      <c r="AB24" s="170" t="str">
        <f t="shared" si="1"/>
        <v>30%</v>
      </c>
      <c r="AC24" s="169" t="s">
        <v>158</v>
      </c>
      <c r="AD24" s="169" t="s">
        <v>159</v>
      </c>
      <c r="AE24" s="169" t="s">
        <v>417</v>
      </c>
      <c r="AF24" s="187" t="s">
        <v>473</v>
      </c>
      <c r="AG24" s="171">
        <f>IFERROR(IF(Y24="Probabilidad",(Q24-(+ Q24*AB24)),IF(Y24="Impacto",Q24,"")),"")</f>
        <v>0.7</v>
      </c>
      <c r="AH24" s="172" t="str">
        <f t="shared" si="3"/>
        <v>Alta</v>
      </c>
      <c r="AI24" s="170">
        <f t="shared" si="4"/>
        <v>0.7</v>
      </c>
      <c r="AJ24" s="172" t="str">
        <f t="shared" si="5"/>
        <v>Moderado</v>
      </c>
      <c r="AK24" s="170">
        <f>IFERROR(IF(Y24="Impacto",(T24-(+T24*AB24)),IF(Y24="Probabilidad",T24,"")),"")</f>
        <v>0.6</v>
      </c>
      <c r="AL24" s="172" t="str">
        <f t="shared" si="6"/>
        <v>Alto</v>
      </c>
      <c r="AM24" s="207" t="s">
        <v>107</v>
      </c>
      <c r="AN24" s="165">
        <v>1</v>
      </c>
      <c r="AO24" s="217" t="s">
        <v>490</v>
      </c>
      <c r="AP24" s="242" t="s">
        <v>491</v>
      </c>
      <c r="AQ24" s="242" t="s">
        <v>492</v>
      </c>
      <c r="AR24" s="194">
        <v>46371</v>
      </c>
      <c r="AS24" s="194">
        <v>46271</v>
      </c>
      <c r="AT24" s="191"/>
      <c r="AU24" s="191"/>
      <c r="AV24" s="191"/>
      <c r="AW24" s="191"/>
      <c r="AX24" s="191"/>
      <c r="AY24" s="191"/>
      <c r="AZ24" s="245"/>
      <c r="BA24" s="627"/>
      <c r="BB24" s="627"/>
      <c r="BC24" s="248"/>
      <c r="BD24" s="189"/>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row>
    <row r="25" spans="4:82" s="164" customFormat="1" ht="148.5" customHeight="1" x14ac:dyDescent="0.25">
      <c r="D25" s="231"/>
      <c r="E25" s="231"/>
      <c r="F25" s="231"/>
      <c r="G25" s="231"/>
      <c r="H25" s="231"/>
      <c r="I25" s="218"/>
      <c r="J25" s="218"/>
      <c r="K25" s="235"/>
      <c r="L25" s="220"/>
      <c r="M25" s="220"/>
      <c r="N25" s="220"/>
      <c r="O25" s="220"/>
      <c r="P25" s="240"/>
      <c r="Q25" s="224"/>
      <c r="R25" s="221"/>
      <c r="S25" s="240"/>
      <c r="T25" s="224"/>
      <c r="U25" s="240"/>
      <c r="V25" s="165">
        <v>2</v>
      </c>
      <c r="W25" s="166" t="s">
        <v>474</v>
      </c>
      <c r="X25" s="167" t="s">
        <v>475</v>
      </c>
      <c r="Y25" s="168" t="str">
        <f t="shared" si="2"/>
        <v>Probabilidad</v>
      </c>
      <c r="Z25" s="169" t="s">
        <v>106</v>
      </c>
      <c r="AA25" s="169" t="s">
        <v>170</v>
      </c>
      <c r="AB25" s="170" t="str">
        <f t="shared" si="1"/>
        <v>30%</v>
      </c>
      <c r="AC25" s="169" t="s">
        <v>158</v>
      </c>
      <c r="AD25" s="169" t="s">
        <v>159</v>
      </c>
      <c r="AE25" s="169" t="s">
        <v>417</v>
      </c>
      <c r="AF25" s="187"/>
      <c r="AG25" s="171"/>
      <c r="AH25" s="172"/>
      <c r="AI25" s="170"/>
      <c r="AJ25" s="172"/>
      <c r="AK25" s="170"/>
      <c r="AL25" s="172"/>
      <c r="AM25" s="241"/>
      <c r="AN25" s="165"/>
      <c r="AO25" s="218"/>
      <c r="AP25" s="250"/>
      <c r="AQ25" s="250"/>
      <c r="AR25" s="196"/>
      <c r="AS25" s="196"/>
      <c r="AT25" s="191"/>
      <c r="AU25" s="191"/>
      <c r="AV25" s="191"/>
      <c r="AW25" s="191"/>
      <c r="AX25" s="191"/>
      <c r="AY25" s="191"/>
      <c r="AZ25" s="245"/>
      <c r="BA25" s="627"/>
      <c r="BB25" s="627"/>
      <c r="BC25" s="248"/>
      <c r="BD25" s="189"/>
      <c r="BE25" s="173"/>
      <c r="BF25" s="173"/>
      <c r="BG25" s="173"/>
      <c r="BH25" s="173"/>
      <c r="BI25" s="173"/>
      <c r="BJ25" s="173"/>
      <c r="BK25" s="173"/>
      <c r="BL25" s="173"/>
      <c r="BM25" s="173"/>
      <c r="BN25" s="173"/>
      <c r="BO25" s="173"/>
      <c r="BP25" s="173"/>
      <c r="BQ25" s="173"/>
      <c r="BR25" s="173"/>
      <c r="BS25" s="173"/>
      <c r="BT25" s="173"/>
      <c r="BU25" s="173"/>
      <c r="BV25" s="173"/>
      <c r="BW25" s="173"/>
      <c r="BX25" s="173"/>
      <c r="BY25" s="173"/>
      <c r="BZ25" s="173"/>
      <c r="CA25" s="173"/>
      <c r="CB25" s="173"/>
      <c r="CC25" s="173"/>
      <c r="CD25" s="173"/>
    </row>
    <row r="26" spans="4:82" s="164" customFormat="1" ht="63" customHeight="1" x14ac:dyDescent="0.25">
      <c r="D26" s="201">
        <v>6</v>
      </c>
      <c r="E26" s="203" t="s">
        <v>176</v>
      </c>
      <c r="F26" s="203" t="s">
        <v>164</v>
      </c>
      <c r="G26" s="203" t="s">
        <v>151</v>
      </c>
      <c r="H26" s="203" t="s">
        <v>193</v>
      </c>
      <c r="I26" s="217" t="s">
        <v>476</v>
      </c>
      <c r="J26" s="217" t="s">
        <v>477</v>
      </c>
      <c r="K26" s="229" t="s">
        <v>478</v>
      </c>
      <c r="L26" s="199" t="s">
        <v>470</v>
      </c>
      <c r="M26" s="199" t="s">
        <v>340</v>
      </c>
      <c r="N26" s="199" t="s">
        <v>183</v>
      </c>
      <c r="O26" s="199">
        <v>6</v>
      </c>
      <c r="P26" s="205" t="str">
        <f t="shared" si="15"/>
        <v>Baja</v>
      </c>
      <c r="Q26" s="222">
        <f t="shared" ref="Q26" si="18">IF(P26="","",IF(P26="Muy Baja",0.2,IF(P26="Baja",0.4,IF(P26="Media",0.6,IF(P26="Alta",0.8,IF(P26="Muy Alta",1,))))))</f>
        <v>0.4</v>
      </c>
      <c r="R26" s="213" t="s">
        <v>135</v>
      </c>
      <c r="S26" s="205" t="str">
        <f>IFERROR(VLOOKUP(R26,Criterios[],2,FALSE),"")</f>
        <v>Catastrófico</v>
      </c>
      <c r="T26" s="222">
        <f t="shared" ref="T26" si="19">IF(S26="","",IF(S26="Leve",0.2,IF(S26="Menor",0.4,IF(S26="Moderado",0.6,IF(S26="Mayor",0.8,IF(S26="Catastrófico",1,))))))</f>
        <v>1</v>
      </c>
      <c r="U26" s="205" t="str">
        <f>IF(OR(AND(P26="Muy Baja",S26="Leve"),AND(P26="Muy Baja",S26="Menor"),AND(P26="Baja",S26="Leve")),"Bajo",IF(OR(AND(P26="Muy baja",S26="Moderado"),AND(P26="Baja",S26="Menor"),AND(P26="Baja",S26="Moderado"),AND(P26="Media",S26="Leve"),AND(P26="Media",S26="Menor"),AND(P26="Media",S26="Moderado"),AND(P26="Alta",S26="Leve"),AND(P26="Alta",S26="Menor")),"Moderado",IF(OR(AND(P26="Muy Baja",S26="Mayor"),AND(P26="Baja",S26="Mayor"),AND(P26="Media",S26="Mayor"),AND(P26="Alta",S26="Moderado"),AND(P26="Alta",S26="Mayor"),AND(P26="Muy Alta",S26="Leve"),AND(P26="Muy Alta",S26="Menor"),AND(P26="Muy Alta",S26="Moderado"),AND(P26="Muy Alta",S26="Mayor")),"Alto",IF(OR(AND(P26="Muy Baja",S26="Catastrófico"),AND(P26="Baja",S26="Catastrófico"),AND(P26="Media",S26="Catastrófico"),AND(P26="Alta",S26="Catastrófico"),AND(P26="Muy Alta",S26="Catastrófico")),"Extremo",""))))</f>
        <v>Extremo</v>
      </c>
      <c r="V26" s="165">
        <v>1</v>
      </c>
      <c r="W26" s="166" t="s">
        <v>479</v>
      </c>
      <c r="X26" s="167" t="s">
        <v>466</v>
      </c>
      <c r="Y26" s="168" t="str">
        <f t="shared" si="2"/>
        <v>Probabilidad</v>
      </c>
      <c r="Z26" s="169" t="s">
        <v>106</v>
      </c>
      <c r="AA26" s="169" t="s">
        <v>157</v>
      </c>
      <c r="AB26" s="170" t="str">
        <f t="shared" si="1"/>
        <v>40%</v>
      </c>
      <c r="AC26" s="169" t="s">
        <v>158</v>
      </c>
      <c r="AD26" s="169" t="s">
        <v>159</v>
      </c>
      <c r="AE26" s="169" t="s">
        <v>417</v>
      </c>
      <c r="AF26" s="187" t="s">
        <v>460</v>
      </c>
      <c r="AG26" s="171">
        <f>IFERROR(IF(Y26="Probabilidad",(Q26-(+Q26*AB26)),IF(Y26="Impacto",Q26,"")),"")</f>
        <v>0.24</v>
      </c>
      <c r="AH26" s="172" t="str">
        <f t="shared" si="3"/>
        <v>Baja</v>
      </c>
      <c r="AI26" s="170">
        <f t="shared" si="4"/>
        <v>0.24</v>
      </c>
      <c r="AJ26" s="172" t="str">
        <f t="shared" si="5"/>
        <v>Catastrófico</v>
      </c>
      <c r="AK26" s="170">
        <f>IFERROR(IF(Y26="Impacto",(T26-(+T26*AB26)),IF(Y26="Probabilidad",T26,"")),"")</f>
        <v>1</v>
      </c>
      <c r="AL26" s="172" t="str">
        <f t="shared" si="6"/>
        <v>Extremo</v>
      </c>
      <c r="AM26" s="207" t="s">
        <v>107</v>
      </c>
      <c r="AN26" s="165">
        <v>1</v>
      </c>
      <c r="AO26" s="217" t="s">
        <v>480</v>
      </c>
      <c r="AP26" s="242" t="s">
        <v>435</v>
      </c>
      <c r="AQ26" s="194" t="s">
        <v>481</v>
      </c>
      <c r="AR26" s="194">
        <v>46371</v>
      </c>
      <c r="AS26" s="194">
        <v>46271</v>
      </c>
      <c r="AT26" s="191"/>
      <c r="AU26" s="191"/>
      <c r="AV26" s="191"/>
      <c r="AW26" s="191"/>
      <c r="AX26" s="191"/>
      <c r="AY26" s="191"/>
      <c r="AZ26" s="245"/>
      <c r="BA26" s="627"/>
      <c r="BB26" s="627"/>
      <c r="BC26" s="248"/>
      <c r="BD26" s="189"/>
      <c r="BE26" s="173"/>
      <c r="BF26" s="173"/>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row>
    <row r="27" spans="4:82" s="164" customFormat="1" ht="98.25" customHeight="1" x14ac:dyDescent="0.25">
      <c r="D27" s="202"/>
      <c r="E27" s="204"/>
      <c r="F27" s="204"/>
      <c r="G27" s="204"/>
      <c r="H27" s="204"/>
      <c r="I27" s="219"/>
      <c r="J27" s="219"/>
      <c r="K27" s="230"/>
      <c r="L27" s="200"/>
      <c r="M27" s="200"/>
      <c r="N27" s="200"/>
      <c r="O27" s="200"/>
      <c r="P27" s="206"/>
      <c r="Q27" s="223"/>
      <c r="R27" s="214"/>
      <c r="S27" s="206"/>
      <c r="T27" s="223"/>
      <c r="U27" s="206"/>
      <c r="V27" s="174">
        <v>2</v>
      </c>
      <c r="W27" s="166"/>
      <c r="X27" s="167"/>
      <c r="Y27" s="168" t="str">
        <f t="shared" si="2"/>
        <v/>
      </c>
      <c r="Z27" s="169"/>
      <c r="AA27" s="169"/>
      <c r="AB27" s="170" t="str">
        <f t="shared" si="1"/>
        <v/>
      </c>
      <c r="AC27" s="169"/>
      <c r="AD27" s="169"/>
      <c r="AE27" s="169"/>
      <c r="AF27" s="187"/>
      <c r="AG27" s="171" t="str">
        <f>IFERROR(IF(Y27="Probabilidad",(Q26-(+Q27*AB27)),IF(Y27="Impacto",Q27,"")),"")</f>
        <v/>
      </c>
      <c r="AH27" s="172" t="str">
        <f t="shared" si="3"/>
        <v/>
      </c>
      <c r="AI27" s="170" t="str">
        <f t="shared" si="4"/>
        <v/>
      </c>
      <c r="AJ27" s="172" t="str">
        <f t="shared" si="5"/>
        <v/>
      </c>
      <c r="AK27" s="170" t="str">
        <f t="shared" si="12"/>
        <v/>
      </c>
      <c r="AL27" s="172" t="str">
        <f t="shared" si="6"/>
        <v/>
      </c>
      <c r="AM27" s="208"/>
      <c r="AN27" s="174">
        <v>2</v>
      </c>
      <c r="AO27" s="219"/>
      <c r="AP27" s="243"/>
      <c r="AQ27" s="195"/>
      <c r="AR27" s="196"/>
      <c r="AS27" s="196"/>
      <c r="AT27" s="191"/>
      <c r="AU27" s="191"/>
      <c r="AV27" s="191"/>
      <c r="AW27" s="191"/>
      <c r="AX27" s="191"/>
      <c r="AY27" s="191"/>
      <c r="AZ27" s="245"/>
      <c r="BA27" s="627"/>
      <c r="BB27" s="627"/>
      <c r="BC27" s="248"/>
      <c r="BD27" s="189"/>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173"/>
      <c r="CC27" s="173"/>
      <c r="CD27" s="173"/>
    </row>
    <row r="28" spans="4:82" s="164" customFormat="1" ht="112.5" customHeight="1" x14ac:dyDescent="0.25">
      <c r="D28" s="201">
        <v>7</v>
      </c>
      <c r="E28" s="203" t="s">
        <v>105</v>
      </c>
      <c r="F28" s="203" t="s">
        <v>164</v>
      </c>
      <c r="G28" s="203"/>
      <c r="H28" s="203" t="s">
        <v>193</v>
      </c>
      <c r="I28" s="217" t="s">
        <v>467</v>
      </c>
      <c r="J28" s="217" t="s">
        <v>468</v>
      </c>
      <c r="K28" s="229" t="s">
        <v>482</v>
      </c>
      <c r="L28" s="199" t="s">
        <v>470</v>
      </c>
      <c r="M28" s="199" t="s">
        <v>342</v>
      </c>
      <c r="N28" s="199" t="s">
        <v>169</v>
      </c>
      <c r="O28" s="199">
        <v>365</v>
      </c>
      <c r="P28" s="205" t="str">
        <f t="shared" si="15"/>
        <v>Media</v>
      </c>
      <c r="Q28" s="222">
        <f t="shared" ref="Q28" si="20">IF(P28="","",IF(P28="Muy Baja",0.2,IF(P28="Baja",0.4,IF(P28="Media",0.6,IF(P28="Alta",0.8,IF(P28="Muy Alta",1,))))))</f>
        <v>0.6</v>
      </c>
      <c r="R28" s="213" t="s">
        <v>135</v>
      </c>
      <c r="S28" s="205" t="str">
        <f>IFERROR(VLOOKUP(R28,Criterios[],2,FALSE),"")</f>
        <v>Catastrófico</v>
      </c>
      <c r="T28" s="222">
        <f t="shared" ref="T28" si="21">IF(S28="","",IF(S28="Leve",0.2,IF(S28="Menor",0.4,IF(S28="Moderado",0.6,IF(S28="Mayor",0.8,IF(S28="Catastrófico",1,))))))</f>
        <v>1</v>
      </c>
      <c r="U28" s="205" t="str">
        <f>IF(OR(AND(P28="Muy Baja",S28="Leve"),AND(P28="Muy Baja",S28="Menor"),AND(P28="Baja",S28="Leve")),"Bajo",IF(OR(AND(P28="Muy baja",S28="Moderado"),AND(P28="Baja",S28="Menor"),AND(P28="Baja",S28="Moderado"),AND(P28="Media",S28="Leve"),AND(P28="Media",S28="Menor"),AND(P28="Media",S28="Moderado"),AND(P28="Alta",S28="Leve"),AND(P28="Alta",S28="Menor")),"Moderado",IF(OR(AND(P28="Muy Baja",S28="Mayor"),AND(P28="Baja",S28="Mayor"),AND(P28="Media",S28="Mayor"),AND(P28="Alta",S28="Moderado"),AND(P28="Alta",S28="Mayor"),AND(P28="Muy Alta",S28="Leve"),AND(P28="Muy Alta",S28="Menor"),AND(P28="Muy Alta",S28="Moderado"),AND(P28="Muy Alta",S28="Mayor")),"Alto",IF(OR(AND(P28="Muy Baja",S28="Catastrófico"),AND(P28="Baja",S28="Catastrófico"),AND(P28="Media",S28="Catastrófico"),AND(P28="Alta",S28="Catastrófico"),AND(P28="Muy Alta",S28="Catastrófico")),"Extremo",""))))</f>
        <v>Extremo</v>
      </c>
      <c r="V28" s="165">
        <v>1</v>
      </c>
      <c r="W28" s="166" t="s">
        <v>483</v>
      </c>
      <c r="X28" s="167" t="s">
        <v>484</v>
      </c>
      <c r="Y28" s="168" t="str">
        <f t="shared" si="2"/>
        <v>Probabilidad</v>
      </c>
      <c r="Z28" s="169" t="s">
        <v>156</v>
      </c>
      <c r="AA28" s="169" t="s">
        <v>170</v>
      </c>
      <c r="AB28" s="170" t="str">
        <f t="shared" si="1"/>
        <v>40%</v>
      </c>
      <c r="AC28" s="169" t="s">
        <v>158</v>
      </c>
      <c r="AD28" s="169" t="s">
        <v>159</v>
      </c>
      <c r="AE28" s="169" t="s">
        <v>417</v>
      </c>
      <c r="AF28" s="187" t="s">
        <v>485</v>
      </c>
      <c r="AG28" s="171">
        <f>IFERROR(IF(Y28="Probabilidad",(Q28-(+Q28*AB28)),IF(Y28="Impacto",Q28,"")),"")</f>
        <v>0.36</v>
      </c>
      <c r="AH28" s="172" t="str">
        <f t="shared" si="3"/>
        <v>Baja</v>
      </c>
      <c r="AI28" s="170">
        <f t="shared" si="4"/>
        <v>0.36</v>
      </c>
      <c r="AJ28" s="172" t="str">
        <f t="shared" si="5"/>
        <v>Catastrófico</v>
      </c>
      <c r="AK28" s="170">
        <f>IFERROR(IF(Y28="Impacto",(T28-(+T28*AB28)),IF(Y28="Probabilidad",T28,"")),"")</f>
        <v>1</v>
      </c>
      <c r="AL28" s="172" t="str">
        <f t="shared" si="6"/>
        <v>Extremo</v>
      </c>
      <c r="AM28" s="207" t="s">
        <v>107</v>
      </c>
      <c r="AN28" s="165">
        <v>1</v>
      </c>
      <c r="AO28" s="217" t="s">
        <v>486</v>
      </c>
      <c r="AP28" s="242" t="s">
        <v>435</v>
      </c>
      <c r="AQ28" s="194" t="s">
        <v>487</v>
      </c>
      <c r="AR28" s="194">
        <v>46371</v>
      </c>
      <c r="AS28" s="194">
        <v>46271</v>
      </c>
      <c r="AT28" s="191"/>
      <c r="AU28" s="191"/>
      <c r="AV28" s="191"/>
      <c r="AW28" s="191"/>
      <c r="AX28" s="191"/>
      <c r="AY28" s="191"/>
      <c r="AZ28" s="245"/>
      <c r="BA28" s="627"/>
      <c r="BB28" s="627"/>
      <c r="BC28" s="248"/>
      <c r="BD28" s="189"/>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row>
    <row r="29" spans="4:82" s="164" customFormat="1" ht="112.5" customHeight="1" thickBot="1" x14ac:dyDescent="0.3">
      <c r="D29" s="202"/>
      <c r="E29" s="204"/>
      <c r="F29" s="204"/>
      <c r="G29" s="204"/>
      <c r="H29" s="204"/>
      <c r="I29" s="219"/>
      <c r="J29" s="219"/>
      <c r="K29" s="230"/>
      <c r="L29" s="200"/>
      <c r="M29" s="200"/>
      <c r="N29" s="200"/>
      <c r="O29" s="200"/>
      <c r="P29" s="206"/>
      <c r="Q29" s="223"/>
      <c r="R29" s="214"/>
      <c r="S29" s="206"/>
      <c r="T29" s="223"/>
      <c r="U29" s="206"/>
      <c r="V29" s="174">
        <v>2</v>
      </c>
      <c r="W29" s="166"/>
      <c r="X29" s="167"/>
      <c r="Y29" s="168" t="str">
        <f t="shared" si="2"/>
        <v/>
      </c>
      <c r="Z29" s="169"/>
      <c r="AA29" s="169"/>
      <c r="AB29" s="170" t="str">
        <f t="shared" si="1"/>
        <v/>
      </c>
      <c r="AC29" s="169"/>
      <c r="AD29" s="169"/>
      <c r="AE29" s="169"/>
      <c r="AF29" s="187"/>
      <c r="AG29" s="171" t="str">
        <f>IFERROR(IF(Y29="Probabilidad",(Q28-(+Q29*AB29)),IF(Y29="Impacto",Q29,"")),"")</f>
        <v/>
      </c>
      <c r="AH29" s="172" t="str">
        <f t="shared" si="3"/>
        <v/>
      </c>
      <c r="AI29" s="170" t="str">
        <f t="shared" si="4"/>
        <v/>
      </c>
      <c r="AJ29" s="172" t="str">
        <f t="shared" si="5"/>
        <v/>
      </c>
      <c r="AK29" s="170" t="str">
        <f t="shared" si="12"/>
        <v/>
      </c>
      <c r="AL29" s="172" t="str">
        <f t="shared" si="6"/>
        <v/>
      </c>
      <c r="AM29" s="208"/>
      <c r="AN29" s="174">
        <v>2</v>
      </c>
      <c r="AO29" s="219"/>
      <c r="AP29" s="243"/>
      <c r="AQ29" s="195"/>
      <c r="AR29" s="196"/>
      <c r="AS29" s="196"/>
      <c r="AT29" s="191"/>
      <c r="AU29" s="191"/>
      <c r="AV29" s="191"/>
      <c r="AW29" s="191"/>
      <c r="AX29" s="191"/>
      <c r="AY29" s="191"/>
      <c r="AZ29" s="245"/>
      <c r="BA29" s="627"/>
      <c r="BB29" s="627"/>
      <c r="BC29" s="248"/>
      <c r="BD29" s="189"/>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3"/>
      <c r="CC29" s="173"/>
      <c r="CD29" s="173"/>
    </row>
    <row r="30" spans="4:82" s="164" customFormat="1" ht="39.75" customHeight="1" x14ac:dyDescent="0.25">
      <c r="D30" s="201">
        <v>8</v>
      </c>
      <c r="E30" s="203"/>
      <c r="F30" s="203"/>
      <c r="G30" s="203"/>
      <c r="H30" s="203"/>
      <c r="I30" s="217"/>
      <c r="J30" s="217"/>
      <c r="K30" s="236"/>
      <c r="L30" s="199"/>
      <c r="M30" s="199"/>
      <c r="N30" s="199"/>
      <c r="O30" s="199"/>
      <c r="P30" s="205" t="str">
        <f t="shared" si="15"/>
        <v/>
      </c>
      <c r="Q30" s="222" t="str">
        <f t="shared" ref="Q30" si="22">IF(P30="","",IF(P30="Muy Baja",0.2,IF(P30="Baja",0.4,IF(P30="Media",0.6,IF(P30="Alta",0.8,IF(P30="Muy Alta",1,))))))</f>
        <v/>
      </c>
      <c r="R30" s="213"/>
      <c r="S30" s="205" t="str">
        <f>IFERROR(VLOOKUP(R30,Criterios[],2,FALSE),"")</f>
        <v/>
      </c>
      <c r="T30" s="222" t="str">
        <f t="shared" ref="T30" si="23">IF(S30="","",IF(S30="Leve",0.2,IF(S30="Menor",0.4,IF(S30="Moderado",0.6,IF(S30="Mayor",0.8,IF(S30="Catastrófico",1,))))))</f>
        <v/>
      </c>
      <c r="U30" s="205" t="str">
        <f>IF(OR(AND(P30="Muy Baja",S30="Leve"),AND(P30="Muy Baja",S30="Menor"),AND(P30="Baja",S30="Leve")),"Bajo",IF(OR(AND(P30="Muy baja",S30="Moderado"),AND(P30="Baja",S30="Menor"),AND(P30="Baja",S30="Moderado"),AND(P30="Media",S30="Leve"),AND(P30="Media",S30="Menor"),AND(P30="Media",S30="Moderado"),AND(P30="Alta",S30="Leve"),AND(P30="Alta",S30="Menor")),"Moderado",IF(OR(AND(P30="Muy Baja",S30="Mayor"),AND(P30="Baja",S30="Mayor"),AND(P30="Media",S30="Mayor"),AND(P30="Alta",S30="Moderado"),AND(P30="Alta",S30="Mayor"),AND(P30="Muy Alta",S30="Leve"),AND(P30="Muy Alta",S30="Menor"),AND(P30="Muy Alta",S30="Moderado"),AND(P30="Muy Alta",S30="Mayor")),"Alto",IF(OR(AND(P30="Muy Baja",S30="Catastrófico"),AND(P30="Baja",S30="Catastrófico"),AND(P30="Media",S30="Catastrófico"),AND(P30="Alta",S30="Catastrófico"),AND(P30="Muy Alta",S30="Catastrófico")),"Extremo",""))))</f>
        <v/>
      </c>
      <c r="V30" s="165">
        <v>1</v>
      </c>
      <c r="W30" s="166"/>
      <c r="X30" s="167"/>
      <c r="Y30" s="168" t="str">
        <f t="shared" si="2"/>
        <v/>
      </c>
      <c r="Z30" s="169"/>
      <c r="AA30" s="169"/>
      <c r="AB30" s="170" t="str">
        <f t="shared" si="1"/>
        <v/>
      </c>
      <c r="AC30" s="169"/>
      <c r="AD30" s="169"/>
      <c r="AE30" s="169"/>
      <c r="AF30" s="187"/>
      <c r="AG30" s="171" t="str">
        <f>IFERROR(IF(Y30="Probabilidad",(Q30-(+Q30*AB30)),IF(Y30="Impacto",Q30,"")),"")</f>
        <v/>
      </c>
      <c r="AH30" s="172" t="str">
        <f t="shared" si="3"/>
        <v/>
      </c>
      <c r="AI30" s="170" t="str">
        <f t="shared" si="4"/>
        <v/>
      </c>
      <c r="AJ30" s="172" t="str">
        <f t="shared" si="5"/>
        <v/>
      </c>
      <c r="AK30" s="170" t="str">
        <f>IFERROR(IF(Y30="Impacto",(T30-(+T30*AB30)),IF(Y30="Probabilidad",T30,"")),"")</f>
        <v/>
      </c>
      <c r="AL30" s="172" t="str">
        <f t="shared" si="6"/>
        <v/>
      </c>
      <c r="AM30" s="207" t="s">
        <v>107</v>
      </c>
      <c r="AN30" s="165">
        <v>1</v>
      </c>
      <c r="AO30" s="217"/>
      <c r="AP30" s="242"/>
      <c r="AQ30" s="194"/>
      <c r="AR30" s="194"/>
      <c r="AS30" s="194"/>
      <c r="AT30" s="191"/>
      <c r="AU30" s="191"/>
      <c r="AV30" s="191"/>
      <c r="AW30" s="191"/>
      <c r="AX30" s="191"/>
      <c r="AY30" s="191"/>
      <c r="AZ30" s="245"/>
      <c r="BA30" s="627"/>
      <c r="BB30" s="627"/>
      <c r="BC30" s="248"/>
      <c r="BD30" s="189"/>
      <c r="BE30" s="173"/>
      <c r="BF30" s="173"/>
      <c r="BG30" s="173"/>
      <c r="BH30" s="173"/>
      <c r="BI30" s="173"/>
      <c r="BJ30" s="173"/>
      <c r="BK30" s="173"/>
      <c r="BL30" s="173"/>
      <c r="BM30" s="173"/>
      <c r="BN30" s="173"/>
      <c r="BO30" s="173"/>
      <c r="BP30" s="173"/>
      <c r="BQ30" s="173"/>
      <c r="BR30" s="173"/>
      <c r="BS30" s="173"/>
      <c r="BT30" s="173"/>
      <c r="BU30" s="173"/>
      <c r="BV30" s="173"/>
      <c r="BW30" s="173"/>
      <c r="BX30" s="173"/>
      <c r="BY30" s="173"/>
      <c r="BZ30" s="173"/>
      <c r="CA30" s="173"/>
      <c r="CB30" s="173"/>
      <c r="CC30" s="173"/>
      <c r="CD30" s="173"/>
    </row>
    <row r="31" spans="4:82" s="164" customFormat="1" ht="39.75" customHeight="1" thickBot="1" x14ac:dyDescent="0.3">
      <c r="D31" s="202"/>
      <c r="E31" s="204"/>
      <c r="F31" s="204"/>
      <c r="G31" s="204"/>
      <c r="H31" s="204"/>
      <c r="I31" s="219"/>
      <c r="J31" s="219"/>
      <c r="K31" s="237"/>
      <c r="L31" s="200"/>
      <c r="M31" s="200"/>
      <c r="N31" s="200"/>
      <c r="O31" s="200"/>
      <c r="P31" s="206"/>
      <c r="Q31" s="223"/>
      <c r="R31" s="214"/>
      <c r="S31" s="206"/>
      <c r="T31" s="223"/>
      <c r="U31" s="206"/>
      <c r="V31" s="174">
        <v>2</v>
      </c>
      <c r="W31" s="166"/>
      <c r="X31" s="167"/>
      <c r="Y31" s="168" t="str">
        <f t="shared" si="2"/>
        <v/>
      </c>
      <c r="Z31" s="169"/>
      <c r="AA31" s="169"/>
      <c r="AB31" s="170" t="str">
        <f t="shared" si="1"/>
        <v/>
      </c>
      <c r="AC31" s="169"/>
      <c r="AD31" s="169"/>
      <c r="AE31" s="169"/>
      <c r="AF31" s="187"/>
      <c r="AG31" s="171" t="str">
        <f>IFERROR(IF(Y31="Probabilidad",(Q30-(+Q31*AB31)),IF(Y31="Impacto",Q31,"")),"")</f>
        <v/>
      </c>
      <c r="AH31" s="172" t="str">
        <f t="shared" si="3"/>
        <v/>
      </c>
      <c r="AI31" s="170" t="str">
        <f t="shared" si="4"/>
        <v/>
      </c>
      <c r="AJ31" s="172" t="str">
        <f t="shared" si="5"/>
        <v/>
      </c>
      <c r="AK31" s="170" t="str">
        <f t="shared" si="12"/>
        <v/>
      </c>
      <c r="AL31" s="172" t="str">
        <f t="shared" si="6"/>
        <v/>
      </c>
      <c r="AM31" s="208"/>
      <c r="AN31" s="174">
        <v>2</v>
      </c>
      <c r="AO31" s="219"/>
      <c r="AP31" s="243"/>
      <c r="AQ31" s="195"/>
      <c r="AR31" s="195"/>
      <c r="AS31" s="195"/>
      <c r="AT31" s="191"/>
      <c r="AU31" s="191"/>
      <c r="AV31" s="191"/>
      <c r="AW31" s="191"/>
      <c r="AX31" s="191"/>
      <c r="AY31" s="191"/>
      <c r="AZ31" s="245"/>
      <c r="BA31" s="627"/>
      <c r="BB31" s="627"/>
      <c r="BC31" s="248"/>
      <c r="BD31" s="189"/>
      <c r="BE31" s="173"/>
      <c r="BF31" s="173"/>
      <c r="BG31" s="173"/>
      <c r="BH31" s="173"/>
      <c r="BI31" s="173"/>
      <c r="BJ31" s="173"/>
      <c r="BK31" s="173"/>
      <c r="BL31" s="173"/>
      <c r="BM31" s="173"/>
      <c r="BN31" s="173"/>
      <c r="BO31" s="173"/>
      <c r="BP31" s="173"/>
      <c r="BQ31" s="173"/>
      <c r="BR31" s="173"/>
      <c r="BS31" s="173"/>
      <c r="BT31" s="173"/>
      <c r="BU31" s="173"/>
      <c r="BV31" s="173"/>
      <c r="BW31" s="173"/>
      <c r="BX31" s="173"/>
      <c r="BY31" s="173"/>
      <c r="BZ31" s="173"/>
      <c r="CA31" s="173"/>
      <c r="CB31" s="173"/>
      <c r="CC31" s="173"/>
      <c r="CD31" s="173"/>
    </row>
    <row r="32" spans="4:82" s="164" customFormat="1" ht="39.75" customHeight="1" x14ac:dyDescent="0.25">
      <c r="D32" s="203">
        <v>9</v>
      </c>
      <c r="E32" s="203"/>
      <c r="F32" s="203"/>
      <c r="G32" s="203"/>
      <c r="H32" s="203"/>
      <c r="I32" s="217"/>
      <c r="J32" s="217"/>
      <c r="K32" s="238" t="s">
        <v>488</v>
      </c>
      <c r="L32" s="199"/>
      <c r="M32" s="199"/>
      <c r="N32" s="199"/>
      <c r="O32" s="199"/>
      <c r="P32" s="205" t="str">
        <f t="shared" si="15"/>
        <v/>
      </c>
      <c r="Q32" s="222" t="str">
        <f t="shared" ref="Q32" si="24">IF(P32="","",IF(P32="Muy Baja",0.2,IF(P32="Baja",0.4,IF(P32="Media",0.6,IF(P32="Alta",0.8,IF(P32="Muy Alta",1,))))))</f>
        <v/>
      </c>
      <c r="R32" s="213"/>
      <c r="S32" s="205" t="str">
        <f>IFERROR(VLOOKUP(R32,Criterios[],2,FALSE),"")</f>
        <v/>
      </c>
      <c r="T32" s="222" t="str">
        <f t="shared" ref="T32" si="25">IF(S32="","",IF(S32="Leve",0.2,IF(S32="Menor",0.4,IF(S32="Moderado",0.6,IF(S32="Mayor",0.8,IF(S32="Catastrófico",1,))))))</f>
        <v/>
      </c>
      <c r="U32" s="205" t="str">
        <f>IF(OR(AND(P32="Muy Baja",S32="Leve"),AND(P32="Muy Baja",S32="Menor"),AND(P32="Baja",S32="Leve")),"Bajo",IF(OR(AND(P32="Muy baja",S32="Moderado"),AND(P32="Baja",S32="Menor"),AND(P32="Baja",S32="Moderado"),AND(P32="Media",S32="Leve"),AND(P32="Media",S32="Menor"),AND(P32="Media",S32="Moderado"),AND(P32="Alta",S32="Leve"),AND(P32="Alta",S32="Menor")),"Moderado",IF(OR(AND(P32="Muy Baja",S32="Mayor"),AND(P32="Baja",S32="Mayor"),AND(P32="Media",S32="Mayor"),AND(P32="Alta",S32="Moderado"),AND(P32="Alta",S32="Mayor"),AND(P32="Muy Alta",S32="Leve"),AND(P32="Muy Alta",S32="Menor"),AND(P32="Muy Alta",S32="Moderado"),AND(P32="Muy Alta",S32="Mayor")),"Alto",IF(OR(AND(P32="Muy Baja",S32="Catastrófico"),AND(P32="Baja",S32="Catastrófico"),AND(P32="Media",S32="Catastrófico"),AND(P32="Alta",S32="Catastrófico"),AND(P32="Muy Alta",S32="Catastrófico")),"Extremo",""))))</f>
        <v/>
      </c>
      <c r="V32" s="165">
        <v>1</v>
      </c>
      <c r="W32" s="166"/>
      <c r="X32" s="167"/>
      <c r="Y32" s="168" t="str">
        <f t="shared" si="2"/>
        <v/>
      </c>
      <c r="Z32" s="169"/>
      <c r="AA32" s="169"/>
      <c r="AB32" s="170" t="str">
        <f t="shared" si="1"/>
        <v/>
      </c>
      <c r="AC32" s="169"/>
      <c r="AD32" s="169"/>
      <c r="AE32" s="169"/>
      <c r="AF32" s="187"/>
      <c r="AG32" s="171" t="str">
        <f>IFERROR(IF(Y32="Probabilidad",(Q32-(+Q32*AB32)),IF(Y32="Impacto",Q32,"")),"")</f>
        <v/>
      </c>
      <c r="AH32" s="172" t="str">
        <f t="shared" si="3"/>
        <v/>
      </c>
      <c r="AI32" s="170" t="str">
        <f t="shared" si="4"/>
        <v/>
      </c>
      <c r="AJ32" s="172" t="str">
        <f t="shared" si="5"/>
        <v/>
      </c>
      <c r="AK32" s="170" t="str">
        <f>IFERROR(IF(Y32="Impacto",(T32-(+T32*AB32)),IF(Y32="Probabilidad",T32,"")),"")</f>
        <v/>
      </c>
      <c r="AL32" s="172" t="str">
        <f t="shared" si="6"/>
        <v/>
      </c>
      <c r="AM32" s="207" t="s">
        <v>107</v>
      </c>
      <c r="AN32" s="165">
        <v>1</v>
      </c>
      <c r="AO32" s="217"/>
      <c r="AP32" s="242"/>
      <c r="AQ32" s="194"/>
      <c r="AR32" s="194"/>
      <c r="AS32" s="194"/>
      <c r="AT32" s="191"/>
      <c r="AU32" s="191"/>
      <c r="AV32" s="191"/>
      <c r="AW32" s="191"/>
      <c r="AX32" s="191"/>
      <c r="AY32" s="191"/>
      <c r="AZ32" s="245"/>
      <c r="BA32" s="627"/>
      <c r="BB32" s="627"/>
      <c r="BC32" s="248"/>
      <c r="BD32" s="189"/>
      <c r="BE32" s="173"/>
      <c r="BF32" s="173"/>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row>
    <row r="33" spans="4:82" s="164" customFormat="1" ht="39.75" customHeight="1" x14ac:dyDescent="0.25">
      <c r="D33" s="204"/>
      <c r="E33" s="204"/>
      <c r="F33" s="204"/>
      <c r="G33" s="204"/>
      <c r="H33" s="204"/>
      <c r="I33" s="219"/>
      <c r="J33" s="219"/>
      <c r="K33" s="239"/>
      <c r="L33" s="200"/>
      <c r="M33" s="200"/>
      <c r="N33" s="200"/>
      <c r="O33" s="200"/>
      <c r="P33" s="206"/>
      <c r="Q33" s="223"/>
      <c r="R33" s="214"/>
      <c r="S33" s="206"/>
      <c r="T33" s="223"/>
      <c r="U33" s="206"/>
      <c r="V33" s="174">
        <v>2</v>
      </c>
      <c r="W33" s="166"/>
      <c r="X33" s="167"/>
      <c r="Y33" s="168" t="str">
        <f t="shared" si="2"/>
        <v/>
      </c>
      <c r="Z33" s="169"/>
      <c r="AA33" s="169"/>
      <c r="AB33" s="170" t="str">
        <f t="shared" si="1"/>
        <v/>
      </c>
      <c r="AC33" s="169"/>
      <c r="AD33" s="169"/>
      <c r="AE33" s="169"/>
      <c r="AF33" s="188"/>
      <c r="AG33" s="171" t="str">
        <f>IFERROR(IF(Y33="Probabilidad",(Q32-(+Q33*AB33)),IF(Y33="Impacto",Q33,"")),"")</f>
        <v/>
      </c>
      <c r="AH33" s="172" t="str">
        <f t="shared" si="3"/>
        <v/>
      </c>
      <c r="AI33" s="170" t="str">
        <f t="shared" si="4"/>
        <v/>
      </c>
      <c r="AJ33" s="172" t="str">
        <f t="shared" si="5"/>
        <v/>
      </c>
      <c r="AK33" s="170" t="str">
        <f t="shared" si="12"/>
        <v/>
      </c>
      <c r="AL33" s="172" t="str">
        <f t="shared" si="6"/>
        <v/>
      </c>
      <c r="AM33" s="208"/>
      <c r="AN33" s="174">
        <v>2</v>
      </c>
      <c r="AO33" s="219"/>
      <c r="AP33" s="243"/>
      <c r="AQ33" s="195"/>
      <c r="AR33" s="195"/>
      <c r="AS33" s="195"/>
      <c r="AT33" s="191"/>
      <c r="AU33" s="191"/>
      <c r="AV33" s="191"/>
      <c r="AW33" s="191"/>
      <c r="AX33" s="191"/>
      <c r="AY33" s="191"/>
      <c r="AZ33" s="246"/>
      <c r="BA33" s="627"/>
      <c r="BB33" s="627"/>
      <c r="BC33" s="249"/>
      <c r="BD33" s="189"/>
      <c r="BE33" s="173"/>
      <c r="BF33" s="173"/>
      <c r="BG33" s="173"/>
      <c r="BH33" s="173"/>
      <c r="BI33" s="173"/>
      <c r="BJ33" s="173"/>
      <c r="BK33" s="173"/>
      <c r="BL33" s="173"/>
      <c r="BM33" s="173"/>
      <c r="BN33" s="173"/>
      <c r="BO33" s="173"/>
      <c r="BP33" s="173"/>
      <c r="BQ33" s="173"/>
      <c r="BR33" s="173"/>
      <c r="BS33" s="173"/>
      <c r="BT33" s="173"/>
      <c r="BU33" s="173"/>
      <c r="BV33" s="173"/>
      <c r="BW33" s="173"/>
      <c r="BX33" s="173"/>
      <c r="BY33" s="173"/>
      <c r="BZ33" s="173"/>
      <c r="CA33" s="173"/>
      <c r="CB33" s="173"/>
      <c r="CC33" s="173"/>
      <c r="CD33" s="173"/>
    </row>
    <row r="34" spans="4:82" ht="49.5" customHeight="1" x14ac:dyDescent="0.2">
      <c r="D34" s="629"/>
      <c r="E34" s="630"/>
      <c r="F34" s="630"/>
      <c r="G34" s="630"/>
      <c r="H34" s="630"/>
      <c r="I34" s="631" t="s">
        <v>493</v>
      </c>
      <c r="J34" s="631"/>
      <c r="K34" s="631"/>
      <c r="L34" s="631"/>
      <c r="M34" s="631"/>
      <c r="N34" s="631"/>
      <c r="O34" s="631"/>
      <c r="P34" s="631"/>
      <c r="Q34" s="631"/>
      <c r="R34" s="631"/>
      <c r="S34" s="631"/>
      <c r="T34" s="631"/>
      <c r="U34" s="631"/>
      <c r="V34" s="631"/>
      <c r="W34" s="631"/>
      <c r="X34" s="631"/>
      <c r="Y34" s="631"/>
      <c r="Z34" s="631"/>
      <c r="AA34" s="631"/>
      <c r="AB34" s="631"/>
      <c r="AC34" s="631"/>
      <c r="AD34" s="631"/>
      <c r="AE34" s="631"/>
      <c r="AF34" s="631"/>
      <c r="AG34" s="631"/>
      <c r="AH34" s="631"/>
      <c r="AI34" s="631"/>
      <c r="AJ34" s="631"/>
      <c r="AK34" s="631"/>
      <c r="AL34" s="631"/>
      <c r="AM34" s="631"/>
      <c r="AN34" s="631"/>
      <c r="AO34" s="631"/>
      <c r="AP34" s="631"/>
      <c r="AQ34" s="631"/>
      <c r="AR34" s="631"/>
      <c r="AS34" s="631"/>
      <c r="AT34" s="631"/>
      <c r="AU34" s="631"/>
      <c r="AV34" s="631"/>
      <c r="AW34" s="631"/>
      <c r="AX34" s="631"/>
      <c r="AY34" s="631"/>
    </row>
    <row r="36" spans="4:82" ht="15.75" x14ac:dyDescent="0.2">
      <c r="D36" s="104"/>
      <c r="E36" s="105"/>
      <c r="F36" s="105"/>
      <c r="G36" s="105"/>
      <c r="H36" s="105"/>
      <c r="I36" s="105"/>
      <c r="J36" s="105"/>
      <c r="K36" s="105"/>
      <c r="L36" s="567"/>
      <c r="M36" s="567"/>
      <c r="N36" s="567"/>
      <c r="P36" s="106"/>
      <c r="Q36" s="105"/>
      <c r="R36" s="105"/>
      <c r="S36" s="105"/>
      <c r="T36" s="105"/>
      <c r="U36" s="105"/>
      <c r="V36" s="105"/>
      <c r="W36" s="105"/>
      <c r="X36" s="105"/>
      <c r="Y36" s="107"/>
      <c r="Z36" s="107"/>
      <c r="AA36" s="105"/>
      <c r="AB36" s="105"/>
      <c r="AC36" s="105"/>
      <c r="AD36" s="105"/>
      <c r="AE36" s="105"/>
      <c r="AF36" s="105"/>
      <c r="AG36" s="105"/>
      <c r="AH36" s="105"/>
      <c r="AI36" s="105"/>
      <c r="AJ36" s="105"/>
      <c r="AK36" s="105"/>
      <c r="AL36" s="105"/>
      <c r="AM36" s="108"/>
      <c r="AN36" s="108"/>
      <c r="AO36" s="108"/>
      <c r="AP36" s="105"/>
      <c r="AQ36" s="105"/>
      <c r="AR36" s="105"/>
      <c r="AS36" s="105"/>
      <c r="AT36" s="105"/>
      <c r="AU36" s="105"/>
      <c r="AV36" s="105"/>
      <c r="AW36" s="105"/>
      <c r="AX36" s="105"/>
      <c r="AY36" s="105"/>
      <c r="AZ36" s="105"/>
      <c r="BA36" s="105"/>
    </row>
    <row r="37" spans="4:82" ht="18" x14ac:dyDescent="0.2">
      <c r="D37" s="228" t="s">
        <v>489</v>
      </c>
      <c r="E37" s="228"/>
      <c r="F37" s="228"/>
      <c r="G37" s="228"/>
      <c r="H37" s="228"/>
      <c r="I37" s="228"/>
      <c r="J37" s="228"/>
      <c r="K37" s="228"/>
      <c r="L37" s="567"/>
      <c r="M37" s="567"/>
      <c r="N37" s="567"/>
      <c r="O37" s="225"/>
      <c r="P37" s="226"/>
      <c r="Q37" s="226"/>
      <c r="R37" s="227"/>
      <c r="S37" s="105"/>
      <c r="T37" s="105"/>
      <c r="U37" s="105"/>
      <c r="V37" s="105"/>
      <c r="W37" s="105"/>
      <c r="X37" s="108"/>
      <c r="Y37" s="107"/>
      <c r="Z37" s="107"/>
      <c r="AA37" s="105"/>
      <c r="AB37" s="107"/>
      <c r="AC37" s="107"/>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H37" s="567" t="s">
        <v>110</v>
      </c>
    </row>
    <row r="38" spans="4:82" ht="15" thickBot="1" x14ac:dyDescent="0.25">
      <c r="D38" s="567"/>
      <c r="E38" s="567"/>
      <c r="F38" s="567"/>
      <c r="G38" s="567"/>
      <c r="H38" s="567"/>
      <c r="I38" s="567"/>
      <c r="J38" s="567"/>
      <c r="L38" s="567"/>
      <c r="M38" s="567"/>
      <c r="N38" s="567"/>
      <c r="P38" s="569" t="str">
        <f>+IFERROR(VLOOKUP(L38,$L$193:$P$197,3,FALSE)*VLOOKUP(O38,$O$193:$P$197,3,FALSE),"")</f>
        <v/>
      </c>
      <c r="Y38" s="569"/>
      <c r="Z38" s="632"/>
      <c r="AB38" s="632"/>
      <c r="AC38" s="632"/>
      <c r="AD38" s="633"/>
      <c r="AE38" s="633"/>
      <c r="AF38" s="633"/>
      <c r="AG38" s="633"/>
      <c r="AH38" s="633"/>
      <c r="AI38" s="634"/>
      <c r="AJ38" s="634"/>
      <c r="AK38" s="633"/>
      <c r="AL38" s="635"/>
      <c r="AQ38" s="633"/>
      <c r="AR38" s="633"/>
      <c r="AY38" s="633"/>
      <c r="AZ38" s="633"/>
      <c r="BH38" s="567" t="s">
        <v>111</v>
      </c>
    </row>
    <row r="39" spans="4:82" ht="17.649999999999999" customHeight="1" thickTop="1" thickBot="1" x14ac:dyDescent="0.25">
      <c r="D39" s="636" t="s">
        <v>112</v>
      </c>
      <c r="E39" s="636"/>
      <c r="F39" s="636"/>
      <c r="G39" s="636"/>
      <c r="H39" s="636"/>
      <c r="I39" s="636"/>
      <c r="J39" s="636"/>
      <c r="K39" s="637" t="s">
        <v>113</v>
      </c>
      <c r="L39" s="636" t="s">
        <v>114</v>
      </c>
      <c r="M39" s="636"/>
      <c r="N39" s="636"/>
      <c r="O39" s="636"/>
      <c r="P39" s="636"/>
      <c r="Q39" s="636"/>
      <c r="R39" s="636"/>
      <c r="S39" s="638" t="s">
        <v>115</v>
      </c>
      <c r="T39" s="638"/>
      <c r="U39" s="638"/>
      <c r="V39" s="636" t="s">
        <v>116</v>
      </c>
      <c r="W39" s="636"/>
      <c r="X39" s="636"/>
      <c r="Y39" s="636"/>
      <c r="Z39" s="638">
        <v>1</v>
      </c>
      <c r="AA39" s="638"/>
      <c r="AB39" s="638"/>
      <c r="AC39" s="638"/>
      <c r="AD39" s="639"/>
      <c r="AE39" s="639"/>
      <c r="AF39" s="639"/>
      <c r="AG39" s="639"/>
      <c r="AH39" s="639"/>
      <c r="AI39" s="639"/>
      <c r="AJ39" s="639"/>
      <c r="AK39" s="639"/>
      <c r="AL39" s="639"/>
      <c r="AM39" s="639"/>
      <c r="AN39" s="639"/>
      <c r="AO39" s="639"/>
      <c r="AP39" s="639"/>
      <c r="AQ39" s="639"/>
      <c r="AR39" s="639"/>
      <c r="AS39" s="639"/>
      <c r="AT39" s="639"/>
      <c r="AU39" s="639"/>
      <c r="AV39" s="639"/>
      <c r="AW39" s="639"/>
      <c r="AX39" s="639"/>
      <c r="AY39" s="639"/>
      <c r="AZ39" s="639"/>
      <c r="BA39" s="640"/>
      <c r="BH39" s="567" t="s">
        <v>117</v>
      </c>
    </row>
    <row r="40" spans="4:82" ht="13.5" customHeight="1" thickTop="1" x14ac:dyDescent="0.25">
      <c r="D40" s="641" t="s">
        <v>118</v>
      </c>
      <c r="E40" s="642"/>
      <c r="F40" s="642"/>
      <c r="G40" s="642"/>
      <c r="H40" s="642"/>
      <c r="I40" s="642"/>
      <c r="J40" s="642"/>
      <c r="K40" s="642"/>
      <c r="L40" s="642"/>
      <c r="M40" s="642"/>
      <c r="N40" s="642"/>
      <c r="O40" s="642"/>
      <c r="P40" s="642"/>
      <c r="Q40" s="642"/>
      <c r="R40" s="642"/>
      <c r="S40" s="642"/>
      <c r="T40" s="642"/>
      <c r="U40" s="642"/>
      <c r="V40" s="642"/>
      <c r="W40" s="642"/>
      <c r="X40" s="642"/>
      <c r="Y40" s="642"/>
      <c r="Z40" s="642"/>
      <c r="AA40" s="642"/>
      <c r="AB40" s="642"/>
      <c r="AC40" s="642"/>
      <c r="BH40" s="567" t="s">
        <v>119</v>
      </c>
    </row>
  </sheetData>
  <sheetProtection formatCells="0" formatColumns="0" formatRows="0" selectLockedCells="1"/>
  <protectedRanges>
    <protectedRange sqref="P1:P1048576" name="Rango1"/>
  </protectedRanges>
  <dataConsolidate/>
  <mergeCells count="292">
    <mergeCell ref="AZ15:AZ33"/>
    <mergeCell ref="BC15:BC33"/>
    <mergeCell ref="AS26:AS27"/>
    <mergeCell ref="AP28:AP29"/>
    <mergeCell ref="AQ28:AQ29"/>
    <mergeCell ref="AS28:AS29"/>
    <mergeCell ref="AP30:AP31"/>
    <mergeCell ref="AQ30:AQ31"/>
    <mergeCell ref="AS30:AS31"/>
    <mergeCell ref="AP32:AP33"/>
    <mergeCell ref="AQ32:AQ33"/>
    <mergeCell ref="AS32:AS33"/>
    <mergeCell ref="AS17:AS18"/>
    <mergeCell ref="AP19:AP20"/>
    <mergeCell ref="AQ19:AQ20"/>
    <mergeCell ref="AS19:AS20"/>
    <mergeCell ref="AP21:AP23"/>
    <mergeCell ref="AQ21:AQ23"/>
    <mergeCell ref="AS21:AS23"/>
    <mergeCell ref="AP24:AP25"/>
    <mergeCell ref="AQ24:AQ25"/>
    <mergeCell ref="AS24:AS25"/>
    <mergeCell ref="AQ15:AQ16"/>
    <mergeCell ref="AP15:AP16"/>
    <mergeCell ref="AO19:AO20"/>
    <mergeCell ref="AO21:AO23"/>
    <mergeCell ref="AO24:AO25"/>
    <mergeCell ref="AO26:AO27"/>
    <mergeCell ref="AO28:AO29"/>
    <mergeCell ref="AO30:AO31"/>
    <mergeCell ref="AO32:AO33"/>
    <mergeCell ref="AQ17:AQ18"/>
    <mergeCell ref="AP26:AP27"/>
    <mergeCell ref="AQ26:AQ27"/>
    <mergeCell ref="AO17:AO18"/>
    <mergeCell ref="AP17:AP18"/>
    <mergeCell ref="U19:U20"/>
    <mergeCell ref="U21:U23"/>
    <mergeCell ref="U24:U25"/>
    <mergeCell ref="U26:U27"/>
    <mergeCell ref="U28:U29"/>
    <mergeCell ref="U30:U31"/>
    <mergeCell ref="U32:U33"/>
    <mergeCell ref="AM17:AM18"/>
    <mergeCell ref="AM19:AM20"/>
    <mergeCell ref="AM21:AM23"/>
    <mergeCell ref="AM24:AM25"/>
    <mergeCell ref="AM26:AM27"/>
    <mergeCell ref="AM28:AM29"/>
    <mergeCell ref="AM30:AM31"/>
    <mergeCell ref="AM32:AM33"/>
    <mergeCell ref="S24:S25"/>
    <mergeCell ref="S26:S27"/>
    <mergeCell ref="S28:S29"/>
    <mergeCell ref="S30:S31"/>
    <mergeCell ref="S32:S33"/>
    <mergeCell ref="T17:T18"/>
    <mergeCell ref="T19:T20"/>
    <mergeCell ref="T21:T23"/>
    <mergeCell ref="T24:T25"/>
    <mergeCell ref="T26:T27"/>
    <mergeCell ref="T28:T29"/>
    <mergeCell ref="T30:T31"/>
    <mergeCell ref="T32:T33"/>
    <mergeCell ref="S19:S20"/>
    <mergeCell ref="S21:S23"/>
    <mergeCell ref="R24:R25"/>
    <mergeCell ref="R26:R27"/>
    <mergeCell ref="R28:R29"/>
    <mergeCell ref="R30:R31"/>
    <mergeCell ref="R32:R33"/>
    <mergeCell ref="P24:P25"/>
    <mergeCell ref="P26:P27"/>
    <mergeCell ref="P28:P29"/>
    <mergeCell ref="P30:P31"/>
    <mergeCell ref="P32:P33"/>
    <mergeCell ref="Q24:Q25"/>
    <mergeCell ref="Q26:Q27"/>
    <mergeCell ref="Q28:Q29"/>
    <mergeCell ref="Q30:Q31"/>
    <mergeCell ref="Q32:Q33"/>
    <mergeCell ref="N24:N25"/>
    <mergeCell ref="N26:N27"/>
    <mergeCell ref="N28:N29"/>
    <mergeCell ref="N30:N31"/>
    <mergeCell ref="N32:N33"/>
    <mergeCell ref="O24:O25"/>
    <mergeCell ref="O26:O27"/>
    <mergeCell ref="O28:O29"/>
    <mergeCell ref="O30:O31"/>
    <mergeCell ref="O32:O33"/>
    <mergeCell ref="L24:L25"/>
    <mergeCell ref="L26:L27"/>
    <mergeCell ref="L28:L29"/>
    <mergeCell ref="L30:L31"/>
    <mergeCell ref="L32:L33"/>
    <mergeCell ref="M17:M18"/>
    <mergeCell ref="M19:M20"/>
    <mergeCell ref="M21:M23"/>
    <mergeCell ref="M24:M25"/>
    <mergeCell ref="M26:M27"/>
    <mergeCell ref="M28:M29"/>
    <mergeCell ref="M30:M31"/>
    <mergeCell ref="M32:M33"/>
    <mergeCell ref="J30:J31"/>
    <mergeCell ref="J32:J33"/>
    <mergeCell ref="K17:K18"/>
    <mergeCell ref="K19:K20"/>
    <mergeCell ref="K21:K23"/>
    <mergeCell ref="K24:K25"/>
    <mergeCell ref="K26:K27"/>
    <mergeCell ref="K28:K29"/>
    <mergeCell ref="K30:K31"/>
    <mergeCell ref="K32:K33"/>
    <mergeCell ref="E24:E25"/>
    <mergeCell ref="D24:D25"/>
    <mergeCell ref="D26:D27"/>
    <mergeCell ref="E26:E27"/>
    <mergeCell ref="F26:F27"/>
    <mergeCell ref="G26:G27"/>
    <mergeCell ref="H26:H27"/>
    <mergeCell ref="D32:D33"/>
    <mergeCell ref="E32:E33"/>
    <mergeCell ref="D28:D29"/>
    <mergeCell ref="E28:E29"/>
    <mergeCell ref="F28:F29"/>
    <mergeCell ref="G28:G29"/>
    <mergeCell ref="H28:H29"/>
    <mergeCell ref="D30:D31"/>
    <mergeCell ref="E30:E31"/>
    <mergeCell ref="F30:F31"/>
    <mergeCell ref="G30:G31"/>
    <mergeCell ref="H30:H31"/>
    <mergeCell ref="E17:E18"/>
    <mergeCell ref="D17:D18"/>
    <mergeCell ref="F17:F18"/>
    <mergeCell ref="G17:G18"/>
    <mergeCell ref="H17:H18"/>
    <mergeCell ref="J17:J18"/>
    <mergeCell ref="L17:L18"/>
    <mergeCell ref="N17:N18"/>
    <mergeCell ref="P17:P18"/>
    <mergeCell ref="I17:I18"/>
    <mergeCell ref="O17:O18"/>
    <mergeCell ref="S15:S16"/>
    <mergeCell ref="T15:T16"/>
    <mergeCell ref="F32:F33"/>
    <mergeCell ref="G32:G33"/>
    <mergeCell ref="H32:H33"/>
    <mergeCell ref="AO13:AO14"/>
    <mergeCell ref="AG12:AM12"/>
    <mergeCell ref="Z13:AE13"/>
    <mergeCell ref="AO12:AS12"/>
    <mergeCell ref="R17:R18"/>
    <mergeCell ref="S17:S18"/>
    <mergeCell ref="U17:U18"/>
    <mergeCell ref="AN13:AN14"/>
    <mergeCell ref="G15:G16"/>
    <mergeCell ref="H15:H16"/>
    <mergeCell ref="I24:I25"/>
    <mergeCell ref="I26:I27"/>
    <mergeCell ref="I28:I29"/>
    <mergeCell ref="I30:I31"/>
    <mergeCell ref="I32:I33"/>
    <mergeCell ref="J24:J25"/>
    <mergeCell ref="J26:J27"/>
    <mergeCell ref="J28:J29"/>
    <mergeCell ref="AO15:AO16"/>
    <mergeCell ref="D39:J39"/>
    <mergeCell ref="O37:R37"/>
    <mergeCell ref="L39:R39"/>
    <mergeCell ref="S39:U39"/>
    <mergeCell ref="D37:K37"/>
    <mergeCell ref="I15:I16"/>
    <mergeCell ref="J15:J16"/>
    <mergeCell ref="K15:K16"/>
    <mergeCell ref="F15:F16"/>
    <mergeCell ref="D19:D20"/>
    <mergeCell ref="E19:E20"/>
    <mergeCell ref="F19:F20"/>
    <mergeCell ref="G19:G20"/>
    <mergeCell ref="H19:H20"/>
    <mergeCell ref="E21:E23"/>
    <mergeCell ref="F21:F23"/>
    <mergeCell ref="G21:G23"/>
    <mergeCell ref="H21:H23"/>
    <mergeCell ref="F24:F25"/>
    <mergeCell ref="D21:D23"/>
    <mergeCell ref="N15:N16"/>
    <mergeCell ref="O15:O16"/>
    <mergeCell ref="P15:P16"/>
    <mergeCell ref="Q15:Q16"/>
    <mergeCell ref="R15:R16"/>
    <mergeCell ref="I19:I20"/>
    <mergeCell ref="I21:I23"/>
    <mergeCell ref="J19:J20"/>
    <mergeCell ref="J21:J23"/>
    <mergeCell ref="L19:L20"/>
    <mergeCell ref="L21:L23"/>
    <mergeCell ref="N19:N20"/>
    <mergeCell ref="N21:N23"/>
    <mergeCell ref="P19:P20"/>
    <mergeCell ref="P21:P23"/>
    <mergeCell ref="R19:R20"/>
    <mergeCell ref="R21:R23"/>
    <mergeCell ref="Q17:Q18"/>
    <mergeCell ref="Q19:Q20"/>
    <mergeCell ref="Q21:Q23"/>
    <mergeCell ref="O19:O20"/>
    <mergeCell ref="O21:O23"/>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Z11:BB12"/>
    <mergeCell ref="BC11:BD12"/>
    <mergeCell ref="U13:U14"/>
    <mergeCell ref="AX13:AX14"/>
    <mergeCell ref="AS13:AS14"/>
    <mergeCell ref="AQ13:AQ14"/>
    <mergeCell ref="AP13:AP14"/>
    <mergeCell ref="AJ13:AJ14"/>
    <mergeCell ref="D11:AS11"/>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T11:AY12"/>
    <mergeCell ref="V39:Y39"/>
    <mergeCell ref="Z39:AC39"/>
    <mergeCell ref="I34:AY34"/>
    <mergeCell ref="D40:AC40"/>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G24:G25"/>
    <mergeCell ref="H24:H25"/>
    <mergeCell ref="U15:U16"/>
    <mergeCell ref="AM15:AM16"/>
    <mergeCell ref="AR26:AR27"/>
    <mergeCell ref="AR28:AR29"/>
    <mergeCell ref="AR30:AR31"/>
    <mergeCell ref="AR32:AR33"/>
    <mergeCell ref="AS15:AS16"/>
    <mergeCell ref="AR13:AR14"/>
    <mergeCell ref="AR15:AR16"/>
    <mergeCell ref="AR17:AR18"/>
    <mergeCell ref="AR19:AR20"/>
    <mergeCell ref="AR21:AR23"/>
    <mergeCell ref="AR24:AR25"/>
  </mergeCells>
  <conditionalFormatting sqref="P15 AH15:AH33 P17 P19 P21:P22 P24:P26 P28 P30 P32">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AJ33 S17 S19 S21:S22 S24:S26 S28 S30 S32">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AL33 U17 U19 U21:U22 U24:U26 U28 U30 U32">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36:AI38">
    <cfRule type="cellIs" dxfId="4" priority="16" operator="equal">
      <formula>#REF!</formula>
    </cfRule>
    <cfRule type="cellIs" dxfId="3" priority="17" operator="equal">
      <formula>#REF!</formula>
    </cfRule>
  </conditionalFormatting>
  <conditionalFormatting sqref="AI36:AJ38">
    <cfRule type="cellIs" dxfId="2" priority="15" stopIfTrue="1" operator="equal">
      <formula>#REF!</formula>
    </cfRule>
  </conditionalFormatting>
  <conditionalFormatting sqref="AJ36:AJ38">
    <cfRule type="cellIs" dxfId="1" priority="19" stopIfTrue="1" operator="equal">
      <formula>#REF!</formula>
    </cfRule>
    <cfRule type="cellIs" dxfId="0" priority="20" stopIfTrue="1" operator="equal">
      <formula>#REF!</formula>
    </cfRule>
  </conditionalFormatting>
  <dataValidations count="9">
    <dataValidation type="list" allowBlank="1" showInputMessage="1" showErrorMessage="1" sqref="K36" xr:uid="{1FEAC8D2-191A-41B9-A850-6DEC4CC97683}">
      <formula1>$K$193:$K$202</formula1>
    </dataValidation>
    <dataValidation type="list" allowBlank="1" showInputMessage="1" showErrorMessage="1" sqref="K38 AI38:AJ38" xr:uid="{BFD3C7C1-F8AA-4FA1-9B92-A072E482485B}">
      <formula1>#REF!</formula1>
    </dataValidation>
    <dataValidation type="list" allowBlank="1" showInputMessage="1" showErrorMessage="1" sqref="Y38" xr:uid="{72A4B879-2041-4BBC-9917-AB0E6A0A061F}">
      <formula1>$R$193:$R$194</formula1>
    </dataValidation>
    <dataValidation type="list" allowBlank="1" showInputMessage="1" showErrorMessage="1" sqref="O38" xr:uid="{D8C844D2-D05E-4302-8B7D-570463AB8D50}">
      <formula1>$O$193:$O$197</formula1>
    </dataValidation>
    <dataValidation type="list" allowBlank="1" showInputMessage="1" showErrorMessage="1" sqref="L38:N38" xr:uid="{ED5EE599-4FA0-4D39-93FA-13EECD343021}">
      <formula1>$L$193:$L$197</formula1>
    </dataValidation>
    <dataValidation type="list" allowBlank="1" showInputMessage="1" showErrorMessage="1" sqref="AB38:AH38 AY38:AZ38 AQ38:AR38 Z38" xr:uid="{BD6CF99B-8A2A-4134-9335-184C4BA46E7A}">
      <formula1>$AQ$193:$AQ$200</formula1>
    </dataValidation>
    <dataValidation type="list" allowBlank="1" showInputMessage="1" showErrorMessage="1" error="Recuerde que las acciones se generan bajo la medida de mitigar el riesgo" sqref="AY15:AY20" xr:uid="{7A1A426E-94CF-4461-BDD6-776BC998AB1C}">
      <formula1>$BH$37:$BH$40</formula1>
    </dataValidation>
    <dataValidation type="custom" allowBlank="1" showInputMessage="1" showErrorMessage="1" error="Recuerde que las acciones se generan bajo la medida de mitigar el riesgo" sqref="AP15 AP32 AP30 AP17:AQ17 AP24:AP26 AP21:AP22 AP19 AP28 AQ24:AQ25" xr:uid="{C3D7894B-BC84-416B-BDCE-FBC401D2743C}"/>
    <dataValidation type="list" allowBlank="1" showInputMessage="1" showErrorMessage="1" sqref="R15:R33" xr:uid="{72AF5173-BEF1-420E-BF03-48A798D0B2BE}">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5">
        <x14:dataValidation type="list" allowBlank="1" showInputMessage="1" showErrorMessage="1" xr:uid="{C981D2EC-9AA3-4ACA-8269-B748191A2BDB}">
          <x14:formula1>
            <xm:f>'Opciones Tratamiento'!$B$13:$B$19</xm:f>
          </x14:formula1>
          <xm:sqref>L15 L17:L33</xm:sqref>
        </x14:dataValidation>
        <x14:dataValidation type="list" allowBlank="1" showInputMessage="1" showErrorMessage="1" xr:uid="{D3766CF4-D05A-46D3-991C-B5E1C7087543}">
          <x14:formula1>
            <xm:f>'Opciones Tratamiento'!$B$2:$B$5</xm:f>
          </x14:formula1>
          <xm:sqref>AM28 AM24:AM26 AM21:AM22 AM19 AM17 AM32 AM30 AM15</xm:sqref>
        </x14:dataValidation>
        <x14:dataValidation type="list" allowBlank="1" showInputMessage="1" showErrorMessage="1" xr:uid="{F617DF2A-A5E4-4A14-865A-3C88559EE23E}">
          <x14:formula1>
            <xm:f>Listas!$B$2:$B$7</xm:f>
          </x14:formula1>
          <xm:sqref>H15 H17:H33</xm:sqref>
        </x14:dataValidation>
        <x14:dataValidation type="list" allowBlank="1" showInputMessage="1" showErrorMessage="1" xr:uid="{6D84EC8E-6947-4FF5-9C23-EE08A51D6744}">
          <x14:formula1>
            <xm:f>Listas!$C$2:$C$6</xm:f>
          </x14:formula1>
          <xm:sqref>M15 M17:M33</xm:sqref>
        </x14:dataValidation>
        <x14:dataValidation type="list" allowBlank="1" showInputMessage="1" showErrorMessage="1" xr:uid="{AFB3E824-658A-4DEC-A53D-1A4F290E3862}">
          <x14:formula1>
            <xm:f>Listas!$D$2:$D$5</xm:f>
          </x14:formula1>
          <xm:sqref>N15 N17:N33</xm:sqref>
        </x14:dataValidation>
        <x14:dataValidation type="custom" allowBlank="1" showInputMessage="1" showErrorMessage="1" error="Recuerde que las acciones se generan bajo la medida de mitigar el riesgo" xr:uid="{A33F344C-5BBA-46CF-BE98-E5B353CA2B72}">
          <x14:formula1>
            <xm:f>IF(OR(AL16='Opciones Tratamiento'!$B$2,AL16='Opciones Tratamiento'!$B$3,AL16='Opciones Tratamiento'!$B$4),ISBLANK(AL16),ISTEXT(AL16))</xm:f>
          </x14:formula1>
          <xm:sqref>AR17:AS17 AR15:AS15 AR19:AS19 AR32:AS32 AR30:AS30</xm:sqref>
        </x14:dataValidation>
        <x14:dataValidation type="custom" allowBlank="1" showInputMessage="1" showErrorMessage="1" error="Recuerde que las acciones se generan bajo la medida de mitigar el riesgo" xr:uid="{0FDFD070-762F-44F3-8808-F0957B02589C}">
          <x14:formula1>
            <xm:f>IF(OR(#REF!='Opciones Tratamiento'!$B$2,#REF!='Opciones Tratamiento'!$B$3,#REF!='Opciones Tratamiento'!$B$4),ISBLANK(#REF!),ISTEXT(#REF!))</xm:f>
          </x14:formula1>
          <xm:sqref>BC15 AU17 AV17:AX33 BD15:BD33 AU24:AU25 AR24:AS29</xm:sqref>
        </x14:dataValidation>
        <x14:dataValidation type="list" allowBlank="1" showInputMessage="1" showErrorMessage="1" xr:uid="{679C7AE1-D0DD-4E55-B089-72DB9E0C4968}">
          <x14:formula1>
            <xm:f>Formulas!$B$3:$B$6</xm:f>
          </x14:formula1>
          <xm:sqref>E15:E16</xm:sqref>
        </x14:dataValidation>
        <x14:dataValidation type="list" allowBlank="1" showInputMessage="1" showErrorMessage="1" xr:uid="{8C0AA760-688F-4D27-9731-0DE3C9C9E591}">
          <x14:formula1>
            <xm:f>Formulas!$E$3:$E$5</xm:f>
          </x14:formula1>
          <xm:sqref>G15:G16</xm:sqref>
        </x14:dataValidation>
        <x14:dataValidation type="custom" allowBlank="1" showInputMessage="1" showErrorMessage="1" error="Recuerde que las acciones se generan bajo la medida de mitigar el riesgo" xr:uid="{4932CCAA-650B-42FE-8B1A-44596F3B5949}">
          <x14:formula1>
            <xm:f>IF(OR(AM16='Opciones Tratamiento'!$B$2,AM16='Opciones Tratamiento'!$B$3,AM16='Opciones Tratamiento'!$B$4),ISBLANK(AM16),ISTEXT(AM16))</xm:f>
          </x14:formula1>
          <xm:sqref>AQ32 AQ30 AQ26 AU26 AQ19 AQ15 AU28 AU30 AU32 AU16 AU19 AQ28</xm:sqref>
        </x14:dataValidation>
        <x14:dataValidation type="custom" allowBlank="1" showInputMessage="1" showErrorMessage="1" error="Recuerde que las acciones se generan bajo la medida de mitigar el riesgo" xr:uid="{C96BD3DB-0AC2-4194-8614-394900BA1A5A}">
          <x14:formula1>
            <xm:f>IF(OR(AL23='Opciones Tratamiento'!$B$2,AL23='Opciones Tratamiento'!$B$3,AL23='Opciones Tratamiento'!$B$4),ISBLANK(AL23),ISTEXT(AL23))</xm:f>
          </x14:formula1>
          <xm:sqref>AR21:AS22</xm:sqref>
        </x14:dataValidation>
        <x14:dataValidation type="custom" allowBlank="1" showInputMessage="1" showErrorMessage="1" error="Recuerde que las acciones se generan bajo la medida de mitigar el riesgo" xr:uid="{30420FC2-5570-42C7-B511-89E6553F41F4}">
          <x14:formula1>
            <xm:f>IF(OR(AM23='Opciones Tratamiento'!$B$2,AM23='Opciones Tratamiento'!$B$3,AM23='Opciones Tratamiento'!$B$4),ISBLANK(AM23),ISTEXT(AM23))</xm:f>
          </x14:formula1>
          <xm:sqref>AQ21:AQ22 AU21:AU22</xm:sqref>
        </x14:dataValidation>
        <x14:dataValidation type="custom" allowBlank="1" showInputMessage="1" showErrorMessage="1" error="Recuerde que las acciones se generan bajo la medida de mitigar el riesgo" xr:uid="{CEA1E273-0ECB-4A96-A70C-9A61751D5F72}">
          <x14:formula1>
            <xm:f>IF(OR(AP16='Opciones Tratamiento'!$B$2,AP16='Opciones Tratamiento'!$B$3,AP16='Opciones Tratamiento'!$B$4),ISBLANK(AP16),ISTEXT(AP16))</xm:f>
          </x14:formula1>
          <xm:sqref>AU15:AX15 AU18 AU20 AU23 AU27 AU29 AU31 AU33</xm:sqref>
        </x14:dataValidation>
        <x14:dataValidation type="list" allowBlank="1" showInputMessage="1" showErrorMessage="1" xr:uid="{6376067B-8FC0-41A6-B344-667366406F88}">
          <x14:formula1>
            <xm:f>'Opciones Tratamiento'!$B$9:$B$10</xm:f>
          </x14:formula1>
          <xm:sqref>BB21:BB33</xm:sqref>
        </x14:dataValidation>
        <x14:dataValidation type="custom" allowBlank="1" showInputMessage="1" showErrorMessage="1" error="Recuerde que las acciones se generan bajo la medida de mitigar el riesgo" xr:uid="{E59C677C-99E0-4D33-9BA6-60BFD69AF39E}">
          <x14:formula1>
            <xm:f>IF(OR(AM21='Opciones Tratamiento'!$B$2,AM21='Opciones Tratamiento'!$B$3,AM21='Opciones Tratamiento'!$B$4),ISBLANK(AM21),ISTEXT(AM21))</xm:f>
          </x14:formula1>
          <xm:sqref>AY21:AY33</xm:sqref>
        </x14:dataValidation>
        <x14:dataValidation type="list" allowBlank="1" showInputMessage="1" showErrorMessage="1" xr:uid="{4EF5F966-89B4-4FC5-8EC7-481A959615B7}">
          <x14:formula1>
            <xm:f>Formulas!$B$3:$B$18</xm:f>
          </x14:formula1>
          <xm:sqref>E17:E33</xm:sqref>
        </x14:dataValidation>
        <x14:dataValidation type="list" allowBlank="1" showInputMessage="1" showErrorMessage="1" xr:uid="{96ADB391-BB70-40BE-9AAD-1255CA2C2EBD}">
          <x14:formula1>
            <xm:f>Formulas!$E$3:$E$23</xm:f>
          </x14:formula1>
          <xm:sqref>G17:G33</xm:sqref>
        </x14:dataValidation>
        <x14:dataValidation type="list" allowBlank="1" showInputMessage="1" showErrorMessage="1" xr:uid="{987C1D79-DA54-4455-A082-4269A5070B20}">
          <x14:formula1>
            <xm:f>'Tabla Valoración controles'!$D$4:$D$6</xm:f>
          </x14:formula1>
          <xm:sqref>Z15:Z33</xm:sqref>
        </x14:dataValidation>
        <x14:dataValidation type="list" allowBlank="1" showInputMessage="1" showErrorMessage="1" xr:uid="{7A1895A6-B7A2-4962-90D1-D6AC01F50595}">
          <x14:formula1>
            <xm:f>'Tabla Valoración controles'!$D$7:$D$8</xm:f>
          </x14:formula1>
          <xm:sqref>AA15:AA33</xm:sqref>
        </x14:dataValidation>
        <x14:dataValidation type="list" allowBlank="1" showInputMessage="1" showErrorMessage="1" xr:uid="{458D5A9C-B991-4C88-ACEC-A454432B4CCE}">
          <x14:formula1>
            <xm:f>'Tabla Valoración controles'!$D$9:$D$10</xm:f>
          </x14:formula1>
          <xm:sqref>AC15:AC33</xm:sqref>
        </x14:dataValidation>
        <x14:dataValidation type="list" allowBlank="1" showInputMessage="1" showErrorMessage="1" xr:uid="{042E2D00-73EB-4C2A-B238-35BA261A93CC}">
          <x14:formula1>
            <xm:f>'Tabla Valoración controles'!$D$11:$D$12</xm:f>
          </x14:formula1>
          <xm:sqref>AD15:AD33</xm:sqref>
        </x14:dataValidation>
        <x14:dataValidation type="list" allowBlank="1" showInputMessage="1" showErrorMessage="1" xr:uid="{7C864B59-B493-4EF2-882A-A2EB1F736509}">
          <x14:formula1>
            <xm:f>'Tabla Valoración controles'!$D$13:$D$14</xm:f>
          </x14:formula1>
          <xm:sqref>AE15:AE33</xm:sqref>
        </x14:dataValidation>
        <x14:dataValidation type="custom" allowBlank="1" showInputMessage="1" showErrorMessage="1" error="Recuerde que las acciones se generan bajo la medida de mitigar el riesgo" xr:uid="{488BBA22-8779-4651-80E5-58DCDAF519A4}">
          <x14:formula1>
            <xm:f>IF(OR(AQ21='Opciones Tratamiento'!$B$2,AQ21='Opciones Tratamiento'!$B$3,AQ21='Opciones Tratamiento'!$B$4),ISBLANK(AQ21),ISTEXT(AQ21))</xm:f>
          </x14:formula1>
          <xm:sqref>BA21:BA33</xm:sqref>
        </x14:dataValidation>
        <x14:dataValidation type="list" allowBlank="1" showInputMessage="1" showErrorMessage="1" xr:uid="{058B9F0E-34F5-4B26-8541-60082E3CA03A}">
          <x14:formula1>
            <xm:f>Formulas!$D$3:$D$6</xm:f>
          </x14:formula1>
          <xm:sqref>F15:F33</xm:sqref>
        </x14:dataValidation>
        <x14:dataValidation type="list" allowBlank="1" showInputMessage="1" showErrorMessage="1" error="Recuerde que las acciones se generan bajo la medida de mitigar el riesgo" xr:uid="{46670BDD-5F26-45CF-BBC1-3E1C55D22FCD}">
          <x14:formula1>
            <xm:f>Formulas!$H$3:$H$4</xm:f>
          </x14:formula1>
          <xm:sqref>AT15:AT33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42578125" defaultRowHeight="15" x14ac:dyDescent="0.25"/>
  <cols>
    <col min="1" max="1" width="129.7109375" bestFit="1" customWidth="1"/>
  </cols>
  <sheetData>
    <row r="1" spans="1:2" x14ac:dyDescent="0.25">
      <c r="A1" t="s">
        <v>120</v>
      </c>
      <c r="B1" t="s">
        <v>102</v>
      </c>
    </row>
    <row r="2" spans="1:2" x14ac:dyDescent="0.25">
      <c r="A2" t="s">
        <v>121</v>
      </c>
      <c r="B2" t="s">
        <v>122</v>
      </c>
    </row>
    <row r="3" spans="1:2" x14ac:dyDescent="0.25">
      <c r="A3" t="s">
        <v>123</v>
      </c>
      <c r="B3" t="s">
        <v>124</v>
      </c>
    </row>
    <row r="4" spans="1:2" x14ac:dyDescent="0.25">
      <c r="A4" t="s">
        <v>125</v>
      </c>
      <c r="B4" t="s">
        <v>126</v>
      </c>
    </row>
    <row r="5" spans="1:2" x14ac:dyDescent="0.25">
      <c r="A5" t="s">
        <v>127</v>
      </c>
      <c r="B5" t="s">
        <v>128</v>
      </c>
    </row>
    <row r="6" spans="1:2" x14ac:dyDescent="0.25">
      <c r="A6" t="s">
        <v>129</v>
      </c>
      <c r="B6" t="s">
        <v>130</v>
      </c>
    </row>
    <row r="7" spans="1:2" x14ac:dyDescent="0.25">
      <c r="A7" t="s">
        <v>131</v>
      </c>
      <c r="B7" t="s">
        <v>122</v>
      </c>
    </row>
    <row r="8" spans="1:2" x14ac:dyDescent="0.25">
      <c r="A8" t="s">
        <v>132</v>
      </c>
      <c r="B8" t="s">
        <v>124</v>
      </c>
    </row>
    <row r="9" spans="1:2" x14ac:dyDescent="0.25">
      <c r="A9" t="s">
        <v>133</v>
      </c>
      <c r="B9" t="s">
        <v>126</v>
      </c>
    </row>
    <row r="10" spans="1:2" x14ac:dyDescent="0.25">
      <c r="A10" t="s">
        <v>134</v>
      </c>
      <c r="B10" t="s">
        <v>128</v>
      </c>
    </row>
    <row r="11" spans="1:2" x14ac:dyDescent="0.25">
      <c r="A11" t="s">
        <v>135</v>
      </c>
      <c r="B11" t="s">
        <v>130</v>
      </c>
    </row>
    <row r="12" spans="1:2" x14ac:dyDescent="0.25">
      <c r="A12" t="s">
        <v>136</v>
      </c>
      <c r="B12" t="s">
        <v>126</v>
      </c>
    </row>
    <row r="13" spans="1:2" x14ac:dyDescent="0.25">
      <c r="A13" t="s">
        <v>137</v>
      </c>
      <c r="B13" t="s">
        <v>128</v>
      </c>
    </row>
    <row r="14" spans="1:2" x14ac:dyDescent="0.25">
      <c r="A14" t="s">
        <v>138</v>
      </c>
      <c r="B14" t="s">
        <v>130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42578125" defaultRowHeight="15" x14ac:dyDescent="0.2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5703125" customWidth="1"/>
  </cols>
  <sheetData>
    <row r="1" spans="2:18" x14ac:dyDescent="0.25">
      <c r="B1" s="297" t="s">
        <v>50</v>
      </c>
      <c r="C1" s="297"/>
      <c r="D1" s="297"/>
      <c r="E1" s="297"/>
      <c r="F1" s="297"/>
      <c r="G1" s="297"/>
      <c r="H1" s="297"/>
      <c r="I1" s="297"/>
      <c r="J1" s="297"/>
      <c r="L1" s="297" t="s">
        <v>52</v>
      </c>
      <c r="M1" s="297"/>
      <c r="N1" s="297"/>
      <c r="O1" s="297"/>
      <c r="P1" s="297"/>
      <c r="Q1" s="297"/>
      <c r="R1" s="297"/>
    </row>
    <row r="2" spans="2:18" ht="50.25" customHeight="1" x14ac:dyDescent="0.25">
      <c r="B2" s="162" t="s">
        <v>139</v>
      </c>
      <c r="C2" s="162" t="s">
        <v>140</v>
      </c>
      <c r="D2" s="161" t="s">
        <v>58</v>
      </c>
      <c r="E2" s="161" t="s">
        <v>141</v>
      </c>
      <c r="F2" s="161" t="s">
        <v>142</v>
      </c>
      <c r="G2" s="162" t="s">
        <v>143</v>
      </c>
      <c r="H2" s="162" t="s">
        <v>144</v>
      </c>
      <c r="I2" s="162" t="s">
        <v>145</v>
      </c>
      <c r="J2" s="161" t="s">
        <v>146</v>
      </c>
      <c r="L2" s="160" t="s">
        <v>100</v>
      </c>
      <c r="M2" s="160" t="s">
        <v>101</v>
      </c>
      <c r="N2" s="160" t="s">
        <v>53</v>
      </c>
      <c r="O2" s="160" t="s">
        <v>103</v>
      </c>
      <c r="P2" s="160" t="s">
        <v>104</v>
      </c>
      <c r="Q2" s="160" t="s">
        <v>81</v>
      </c>
      <c r="R2" s="163" t="s">
        <v>147</v>
      </c>
    </row>
    <row r="3" spans="2:18" ht="25.5" x14ac:dyDescent="0.25">
      <c r="B3" s="18" t="s">
        <v>148</v>
      </c>
      <c r="C3" s="18" t="s">
        <v>149</v>
      </c>
      <c r="D3" s="109" t="s">
        <v>150</v>
      </c>
      <c r="E3" s="109" t="s">
        <v>151</v>
      </c>
      <c r="F3" t="s">
        <v>152</v>
      </c>
      <c r="G3" s="109" t="s">
        <v>153</v>
      </c>
      <c r="H3" t="s">
        <v>14</v>
      </c>
      <c r="I3" t="s">
        <v>154</v>
      </c>
      <c r="J3" t="s">
        <v>155</v>
      </c>
      <c r="L3" s="2" t="s">
        <v>156</v>
      </c>
      <c r="M3" s="2" t="s">
        <v>157</v>
      </c>
      <c r="N3" s="2" t="s">
        <v>158</v>
      </c>
      <c r="O3" s="2" t="s">
        <v>159</v>
      </c>
      <c r="P3" s="2" t="s">
        <v>160</v>
      </c>
      <c r="Q3" s="2" t="s">
        <v>161</v>
      </c>
      <c r="R3" t="s">
        <v>162</v>
      </c>
    </row>
    <row r="4" spans="2:18" ht="31.5" customHeight="1" x14ac:dyDescent="0.25">
      <c r="B4" s="18" t="s">
        <v>105</v>
      </c>
      <c r="C4" s="18" t="s">
        <v>163</v>
      </c>
      <c r="D4" s="109" t="s">
        <v>164</v>
      </c>
      <c r="E4" s="109" t="s">
        <v>165</v>
      </c>
      <c r="F4" t="s">
        <v>166</v>
      </c>
      <c r="G4" s="109" t="s">
        <v>167</v>
      </c>
      <c r="H4" t="s">
        <v>15</v>
      </c>
      <c r="I4" t="s">
        <v>168</v>
      </c>
      <c r="J4" t="s">
        <v>169</v>
      </c>
      <c r="L4" s="2" t="s">
        <v>106</v>
      </c>
      <c r="M4" s="2" t="s">
        <v>170</v>
      </c>
      <c r="N4" s="2" t="s">
        <v>171</v>
      </c>
      <c r="O4" s="2" t="s">
        <v>172</v>
      </c>
      <c r="P4" s="2" t="s">
        <v>173</v>
      </c>
      <c r="Q4" s="2" t="s">
        <v>174</v>
      </c>
      <c r="R4" t="s">
        <v>175</v>
      </c>
    </row>
    <row r="5" spans="2:18" ht="26.25" customHeight="1" x14ac:dyDescent="0.25">
      <c r="B5" s="18" t="s">
        <v>176</v>
      </c>
      <c r="C5" s="18" t="s">
        <v>177</v>
      </c>
      <c r="D5" s="109" t="s">
        <v>178</v>
      </c>
      <c r="E5" s="109" t="s">
        <v>179</v>
      </c>
      <c r="F5" t="s">
        <v>180</v>
      </c>
      <c r="G5" s="109" t="s">
        <v>181</v>
      </c>
      <c r="I5" t="s">
        <v>182</v>
      </c>
      <c r="J5" t="s">
        <v>183</v>
      </c>
      <c r="L5" s="2" t="s">
        <v>184</v>
      </c>
      <c r="P5" s="2" t="s">
        <v>185</v>
      </c>
      <c r="Q5" s="2" t="s">
        <v>186</v>
      </c>
    </row>
    <row r="6" spans="2:18" ht="24.75" customHeight="1" x14ac:dyDescent="0.25">
      <c r="B6" s="18" t="s">
        <v>65</v>
      </c>
      <c r="C6" s="18" t="s">
        <v>187</v>
      </c>
      <c r="D6" s="109"/>
      <c r="F6" t="s">
        <v>188</v>
      </c>
      <c r="G6" s="109" t="s">
        <v>189</v>
      </c>
      <c r="I6" t="s">
        <v>190</v>
      </c>
      <c r="J6" t="s">
        <v>191</v>
      </c>
      <c r="Q6" s="2" t="s">
        <v>107</v>
      </c>
    </row>
    <row r="7" spans="2:18" ht="26.25" customHeight="1" x14ac:dyDescent="0.25">
      <c r="B7" s="18"/>
      <c r="C7" s="18" t="s">
        <v>192</v>
      </c>
      <c r="D7" s="109"/>
      <c r="F7" t="s">
        <v>193</v>
      </c>
      <c r="G7" s="109" t="s">
        <v>194</v>
      </c>
      <c r="I7" t="s">
        <v>195</v>
      </c>
      <c r="Q7" s="2" t="s">
        <v>196</v>
      </c>
    </row>
    <row r="8" spans="2:18" ht="30" x14ac:dyDescent="0.25">
      <c r="B8" s="18"/>
      <c r="C8" s="18"/>
      <c r="D8" s="109"/>
      <c r="F8" t="s">
        <v>197</v>
      </c>
      <c r="G8" s="109" t="s">
        <v>198</v>
      </c>
      <c r="I8" s="109" t="s">
        <v>199</v>
      </c>
    </row>
    <row r="9" spans="2:18" ht="31.5" customHeight="1" x14ac:dyDescent="0.25">
      <c r="B9" s="18"/>
      <c r="C9" s="18"/>
      <c r="D9" s="109"/>
      <c r="G9" s="109" t="s">
        <v>200</v>
      </c>
      <c r="I9" t="s">
        <v>201</v>
      </c>
    </row>
    <row r="10" spans="2:18" x14ac:dyDescent="0.25">
      <c r="B10" s="18"/>
      <c r="C10" s="18"/>
      <c r="D10" s="109"/>
      <c r="I10" t="s">
        <v>202</v>
      </c>
    </row>
    <row r="11" spans="2:18" x14ac:dyDescent="0.25">
      <c r="B11" s="18"/>
      <c r="C11" s="18"/>
      <c r="D11" s="109"/>
    </row>
    <row r="12" spans="2:18" x14ac:dyDescent="0.25">
      <c r="B12" s="18"/>
      <c r="C12" s="18"/>
      <c r="I12" t="s">
        <v>202</v>
      </c>
    </row>
    <row r="13" spans="2:18" x14ac:dyDescent="0.25">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42578125" defaultRowHeight="15" x14ac:dyDescent="0.25"/>
  <sheetData>
    <row r="2" spans="2:2" x14ac:dyDescent="0.25">
      <c r="B2" t="s">
        <v>203</v>
      </c>
    </row>
    <row r="30" spans="2:2" x14ac:dyDescent="0.25">
      <c r="B30" t="s">
        <v>204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42578125" defaultRowHeight="15" x14ac:dyDescent="0.25"/>
  <cols>
    <col min="3" max="3" width="119" customWidth="1"/>
    <col min="4" max="4" width="33.28515625" customWidth="1"/>
  </cols>
  <sheetData>
    <row r="1" spans="3:4" ht="15.75" thickBot="1" x14ac:dyDescent="0.3"/>
    <row r="2" spans="3:4" x14ac:dyDescent="0.25">
      <c r="C2" s="298" t="s">
        <v>205</v>
      </c>
      <c r="D2" s="299"/>
    </row>
    <row r="3" spans="3:4" x14ac:dyDescent="0.25">
      <c r="C3" s="300"/>
      <c r="D3" s="301"/>
    </row>
    <row r="4" spans="3:4" ht="15.75" thickBot="1" x14ac:dyDescent="0.3">
      <c r="C4" s="145" t="s">
        <v>206</v>
      </c>
      <c r="D4" s="146" t="s">
        <v>207</v>
      </c>
    </row>
    <row r="5" spans="3:4" ht="30" customHeight="1" x14ac:dyDescent="0.25">
      <c r="C5" s="147" t="s">
        <v>208</v>
      </c>
      <c r="D5" s="148">
        <v>1</v>
      </c>
    </row>
    <row r="6" spans="3:4" ht="28.5" customHeight="1" x14ac:dyDescent="0.25">
      <c r="C6" s="149" t="s">
        <v>209</v>
      </c>
      <c r="D6" s="150">
        <v>1</v>
      </c>
    </row>
    <row r="7" spans="3:4" ht="28.5" customHeight="1" x14ac:dyDescent="0.25">
      <c r="C7" s="151" t="s">
        <v>210</v>
      </c>
      <c r="D7" s="150">
        <v>1</v>
      </c>
    </row>
    <row r="8" spans="3:4" ht="28.5" customHeight="1" x14ac:dyDescent="0.25">
      <c r="C8" s="151" t="s">
        <v>211</v>
      </c>
      <c r="D8" s="150">
        <v>1</v>
      </c>
    </row>
    <row r="9" spans="3:4" ht="18.600000000000001" customHeight="1" x14ac:dyDescent="0.25">
      <c r="C9" s="151" t="s">
        <v>212</v>
      </c>
      <c r="D9" s="150">
        <v>1</v>
      </c>
    </row>
    <row r="10" spans="3:4" ht="28.5" customHeight="1" x14ac:dyDescent="0.25">
      <c r="C10" s="151" t="s">
        <v>213</v>
      </c>
      <c r="D10" s="150">
        <v>1</v>
      </c>
    </row>
    <row r="11" spans="3:4" ht="21" customHeight="1" x14ac:dyDescent="0.25">
      <c r="C11" s="149" t="s">
        <v>214</v>
      </c>
      <c r="D11" s="150">
        <v>1</v>
      </c>
    </row>
    <row r="12" spans="3:4" ht="21" customHeight="1" x14ac:dyDescent="0.25">
      <c r="C12" s="149" t="s">
        <v>215</v>
      </c>
      <c r="D12" s="150">
        <v>1</v>
      </c>
    </row>
    <row r="13" spans="3:4" ht="21.6" customHeight="1" x14ac:dyDescent="0.25">
      <c r="C13" s="149" t="s">
        <v>216</v>
      </c>
      <c r="D13" s="150">
        <v>1</v>
      </c>
    </row>
    <row r="14" spans="3:4" ht="28.5" customHeight="1" x14ac:dyDescent="0.25">
      <c r="C14" s="149" t="s">
        <v>217</v>
      </c>
      <c r="D14" s="150">
        <v>1</v>
      </c>
    </row>
    <row r="15" spans="3:4" ht="22.5" customHeight="1" x14ac:dyDescent="0.25">
      <c r="C15" s="152"/>
      <c r="D15" s="150">
        <v>1</v>
      </c>
    </row>
    <row r="16" spans="3:4" ht="28.5" customHeight="1" x14ac:dyDescent="0.25">
      <c r="C16" s="153" t="s">
        <v>218</v>
      </c>
      <c r="D16" s="154"/>
    </row>
    <row r="17" spans="3:4" ht="28.5" customHeight="1" x14ac:dyDescent="0.25">
      <c r="C17" s="147" t="s">
        <v>219</v>
      </c>
      <c r="D17" s="150">
        <v>1</v>
      </c>
    </row>
    <row r="18" spans="3:4" ht="28.5" customHeight="1" x14ac:dyDescent="0.25">
      <c r="C18" s="147" t="s">
        <v>220</v>
      </c>
      <c r="D18" s="150">
        <v>1</v>
      </c>
    </row>
    <row r="19" spans="3:4" ht="28.5" customHeight="1" x14ac:dyDescent="0.25">
      <c r="C19" s="147" t="s">
        <v>221</v>
      </c>
      <c r="D19" s="150">
        <v>1</v>
      </c>
    </row>
    <row r="20" spans="3:4" ht="28.5" customHeight="1" x14ac:dyDescent="0.25">
      <c r="C20" s="149" t="s">
        <v>222</v>
      </c>
      <c r="D20" s="150">
        <v>1</v>
      </c>
    </row>
    <row r="21" spans="3:4" ht="28.5" customHeight="1" x14ac:dyDescent="0.25">
      <c r="C21" s="147" t="s">
        <v>223</v>
      </c>
      <c r="D21" s="150">
        <v>1</v>
      </c>
    </row>
    <row r="22" spans="3:4" ht="28.5" customHeight="1" x14ac:dyDescent="0.25">
      <c r="C22" s="155" t="s">
        <v>224</v>
      </c>
      <c r="D22" s="150">
        <v>1</v>
      </c>
    </row>
    <row r="23" spans="3:4" ht="28.5" customHeight="1" x14ac:dyDescent="0.25">
      <c r="C23" s="147" t="s">
        <v>225</v>
      </c>
      <c r="D23" s="150">
        <v>1</v>
      </c>
    </row>
    <row r="24" spans="3:4" ht="28.5" customHeight="1" x14ac:dyDescent="0.25">
      <c r="C24" s="147" t="s">
        <v>226</v>
      </c>
      <c r="D24" s="150">
        <v>1</v>
      </c>
    </row>
    <row r="25" spans="3:4" ht="28.5" customHeight="1" x14ac:dyDescent="0.25">
      <c r="C25" s="152"/>
      <c r="D25" s="150">
        <v>1</v>
      </c>
    </row>
    <row r="26" spans="3:4" ht="28.5" customHeight="1" x14ac:dyDescent="0.25">
      <c r="C26" s="152"/>
      <c r="D26" s="150">
        <v>1</v>
      </c>
    </row>
    <row r="27" spans="3:4" ht="28.5" customHeight="1" x14ac:dyDescent="0.25">
      <c r="C27" s="153" t="s">
        <v>227</v>
      </c>
      <c r="D27" s="156"/>
    </row>
    <row r="28" spans="3:4" ht="28.5" customHeight="1" x14ac:dyDescent="0.25">
      <c r="C28" s="151" t="s">
        <v>228</v>
      </c>
      <c r="D28" s="150">
        <v>1</v>
      </c>
    </row>
    <row r="29" spans="3:4" ht="28.5" customHeight="1" x14ac:dyDescent="0.25">
      <c r="C29" s="151" t="s">
        <v>229</v>
      </c>
      <c r="D29" s="150">
        <v>1</v>
      </c>
    </row>
    <row r="30" spans="3:4" ht="28.5" customHeight="1" x14ac:dyDescent="0.25">
      <c r="C30" s="151" t="s">
        <v>230</v>
      </c>
      <c r="D30" s="150">
        <v>1</v>
      </c>
    </row>
    <row r="31" spans="3:4" ht="28.5" customHeight="1" x14ac:dyDescent="0.25">
      <c r="C31" s="151" t="s">
        <v>231</v>
      </c>
      <c r="D31" s="150">
        <v>1</v>
      </c>
    </row>
    <row r="32" spans="3:4" ht="28.5" customHeight="1" x14ac:dyDescent="0.25">
      <c r="C32" s="151" t="s">
        <v>232</v>
      </c>
      <c r="D32" s="150">
        <v>1</v>
      </c>
    </row>
    <row r="33" spans="3:4" ht="28.5" customHeight="1" x14ac:dyDescent="0.25">
      <c r="C33" s="157" t="s">
        <v>233</v>
      </c>
      <c r="D33" s="150">
        <v>1</v>
      </c>
    </row>
    <row r="34" spans="3:4" ht="28.5" customHeight="1" x14ac:dyDescent="0.25">
      <c r="C34" s="149" t="s">
        <v>234</v>
      </c>
      <c r="D34" s="150">
        <v>1</v>
      </c>
    </row>
    <row r="35" spans="3:4" ht="28.5" customHeight="1" x14ac:dyDescent="0.25">
      <c r="C35" s="151" t="s">
        <v>235</v>
      </c>
      <c r="D35" s="150">
        <v>1</v>
      </c>
    </row>
    <row r="36" spans="3:4" ht="28.5" customHeight="1" x14ac:dyDescent="0.25">
      <c r="C36" s="151" t="s">
        <v>236</v>
      </c>
      <c r="D36" s="150">
        <v>1</v>
      </c>
    </row>
    <row r="37" spans="3:4" ht="28.5" customHeight="1" x14ac:dyDescent="0.25">
      <c r="C37" s="151" t="s">
        <v>237</v>
      </c>
      <c r="D37" s="150">
        <v>1</v>
      </c>
    </row>
    <row r="38" spans="3:4" ht="28.5" customHeight="1" x14ac:dyDescent="0.25">
      <c r="C38" s="149" t="s">
        <v>238</v>
      </c>
      <c r="D38" s="150">
        <v>1</v>
      </c>
    </row>
    <row r="39" spans="3:4" ht="28.5" customHeight="1" x14ac:dyDescent="0.25">
      <c r="C39" s="157" t="s">
        <v>239</v>
      </c>
      <c r="D39" s="150">
        <v>1</v>
      </c>
    </row>
    <row r="40" spans="3:4" ht="28.5" customHeight="1" x14ac:dyDescent="0.25">
      <c r="C40" s="157" t="s">
        <v>240</v>
      </c>
      <c r="D40" s="150">
        <v>1</v>
      </c>
    </row>
    <row r="41" spans="3:4" ht="28.5" customHeight="1" x14ac:dyDescent="0.25">
      <c r="C41" s="157" t="s">
        <v>241</v>
      </c>
      <c r="D41" s="150">
        <v>1</v>
      </c>
    </row>
    <row r="42" spans="3:4" ht="28.5" customHeight="1" x14ac:dyDescent="0.25">
      <c r="C42" s="157" t="s">
        <v>242</v>
      </c>
      <c r="D42" s="150">
        <v>1</v>
      </c>
    </row>
    <row r="43" spans="3:4" ht="28.5" customHeight="1" x14ac:dyDescent="0.25">
      <c r="C43" s="158"/>
      <c r="D43" s="150"/>
    </row>
    <row r="44" spans="3:4" ht="28.5" customHeight="1" x14ac:dyDescent="0.25">
      <c r="C44" s="158"/>
      <c r="D44" s="150"/>
    </row>
    <row r="45" spans="3:4" ht="28.5" customHeight="1" x14ac:dyDescent="0.25">
      <c r="C45" s="153" t="s">
        <v>243</v>
      </c>
      <c r="D45" s="156"/>
    </row>
    <row r="46" spans="3:4" ht="28.5" customHeight="1" x14ac:dyDescent="0.25">
      <c r="C46" s="157" t="s">
        <v>244</v>
      </c>
      <c r="D46" s="150">
        <v>1</v>
      </c>
    </row>
    <row r="47" spans="3:4" ht="28.5" customHeight="1" x14ac:dyDescent="0.25">
      <c r="C47" s="157" t="s">
        <v>245</v>
      </c>
      <c r="D47" s="150">
        <v>1</v>
      </c>
    </row>
    <row r="48" spans="3:4" ht="28.5" customHeight="1" x14ac:dyDescent="0.25">
      <c r="C48" s="157" t="s">
        <v>246</v>
      </c>
      <c r="D48" s="150">
        <v>1</v>
      </c>
    </row>
    <row r="49" spans="3:4" ht="28.5" customHeight="1" x14ac:dyDescent="0.25">
      <c r="C49" s="157" t="s">
        <v>247</v>
      </c>
      <c r="D49" s="150">
        <v>1</v>
      </c>
    </row>
    <row r="50" spans="3:4" ht="28.5" customHeight="1" x14ac:dyDescent="0.25">
      <c r="C50" s="159" t="s">
        <v>248</v>
      </c>
      <c r="D50" s="150">
        <v>1</v>
      </c>
    </row>
    <row r="51" spans="3:4" ht="28.5" customHeight="1" x14ac:dyDescent="0.25">
      <c r="C51" s="159" t="s">
        <v>249</v>
      </c>
      <c r="D51" s="150">
        <v>1</v>
      </c>
    </row>
    <row r="52" spans="3:4" ht="28.5" customHeight="1" x14ac:dyDescent="0.25">
      <c r="C52" s="159" t="s">
        <v>250</v>
      </c>
      <c r="D52" s="150">
        <v>1</v>
      </c>
    </row>
    <row r="53" spans="3:4" ht="28.5" customHeight="1" x14ac:dyDescent="0.25">
      <c r="C53" s="147" t="s">
        <v>251</v>
      </c>
      <c r="D53" s="150">
        <v>1</v>
      </c>
    </row>
    <row r="54" spans="3:4" ht="28.5" customHeight="1" x14ac:dyDescent="0.25">
      <c r="C54" s="147" t="s">
        <v>252</v>
      </c>
      <c r="D54" s="150">
        <v>1</v>
      </c>
    </row>
    <row r="55" spans="3:4" ht="28.5" customHeight="1" x14ac:dyDescent="0.25"/>
    <row r="56" spans="3:4" ht="11.1" customHeight="1" x14ac:dyDescent="0.25"/>
    <row r="57" spans="3:4" ht="11.1" customHeight="1" x14ac:dyDescent="0.25"/>
    <row r="58" spans="3:4" ht="11.1" customHeight="1" x14ac:dyDescent="0.25"/>
    <row r="59" spans="3:4" ht="11.1" customHeight="1" x14ac:dyDescent="0.25"/>
    <row r="60" spans="3:4" ht="11.1" customHeight="1" x14ac:dyDescent="0.25"/>
    <row r="61" spans="3:4" ht="11.1" customHeight="1" x14ac:dyDescent="0.25"/>
    <row r="62" spans="3:4" ht="11.1" customHeight="1" x14ac:dyDescent="0.25"/>
    <row r="63" spans="3:4" ht="11.1" customHeight="1" x14ac:dyDescent="0.25"/>
    <row r="64" spans="3:4" ht="11.1" customHeight="1" x14ac:dyDescent="0.25"/>
    <row r="65" ht="11.1" customHeight="1" x14ac:dyDescent="0.25"/>
    <row r="66" ht="11.1" customHeight="1" x14ac:dyDescent="0.25"/>
    <row r="67" ht="11.1" customHeight="1" x14ac:dyDescent="0.25"/>
    <row r="68" ht="11.1" customHeight="1" x14ac:dyDescent="0.25"/>
    <row r="69" ht="11.1" customHeight="1" x14ac:dyDescent="0.25"/>
    <row r="70" ht="11.1" customHeight="1" x14ac:dyDescent="0.25"/>
    <row r="71" ht="11.1" customHeight="1" x14ac:dyDescent="0.25"/>
    <row r="72" ht="11.1" customHeight="1" x14ac:dyDescent="0.25"/>
    <row r="73" ht="11.1" customHeight="1" x14ac:dyDescent="0.25"/>
    <row r="74" ht="11.1" customHeight="1" x14ac:dyDescent="0.25"/>
    <row r="75" ht="11.1" customHeight="1" x14ac:dyDescent="0.25"/>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baseColWidth="10" defaultColWidth="11.42578125" defaultRowHeight="15" x14ac:dyDescent="0.25"/>
  <cols>
    <col min="1" max="1" width="5.28515625" customWidth="1"/>
    <col min="2" max="2" width="8.7109375" customWidth="1"/>
    <col min="3" max="3" width="9" customWidth="1"/>
    <col min="4" max="41" width="5.7109375" customWidth="1"/>
    <col min="43" max="48" width="5.7109375" customWidth="1"/>
  </cols>
  <sheetData>
    <row r="1" spans="1:101" ht="15.75" thickBot="1" x14ac:dyDescent="0.3"/>
    <row r="2" spans="1:101" ht="15" customHeight="1" x14ac:dyDescent="0.25">
      <c r="D2" s="362" t="s">
        <v>253</v>
      </c>
      <c r="E2" s="363"/>
      <c r="F2" s="363"/>
      <c r="G2" s="363"/>
      <c r="H2" s="363"/>
      <c r="I2" s="363"/>
      <c r="J2" s="363"/>
      <c r="K2" s="364"/>
      <c r="L2" s="353" t="s">
        <v>38</v>
      </c>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5"/>
      <c r="AP2" s="294" t="s">
        <v>254</v>
      </c>
      <c r="AQ2" s="350"/>
      <c r="AR2" s="350"/>
      <c r="AS2" s="350"/>
      <c r="AT2" s="350"/>
      <c r="AU2" s="350"/>
      <c r="AV2" s="268"/>
    </row>
    <row r="3" spans="1:101" x14ac:dyDescent="0.25">
      <c r="D3" s="365"/>
      <c r="E3" s="366"/>
      <c r="F3" s="366"/>
      <c r="G3" s="366"/>
      <c r="H3" s="366"/>
      <c r="I3" s="366"/>
      <c r="J3" s="366"/>
      <c r="K3" s="367"/>
      <c r="L3" s="356"/>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8"/>
      <c r="AP3" s="295" t="s">
        <v>3</v>
      </c>
      <c r="AQ3" s="351"/>
      <c r="AR3" s="351"/>
      <c r="AS3" s="351"/>
      <c r="AT3" s="351"/>
      <c r="AU3" s="351"/>
      <c r="AV3" s="270"/>
    </row>
    <row r="4" spans="1:101" x14ac:dyDescent="0.25">
      <c r="D4" s="365"/>
      <c r="E4" s="366"/>
      <c r="F4" s="366"/>
      <c r="G4" s="366"/>
      <c r="H4" s="366"/>
      <c r="I4" s="366"/>
      <c r="J4" s="366"/>
      <c r="K4" s="367"/>
      <c r="L4" s="356"/>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8"/>
      <c r="AP4" s="295" t="s">
        <v>4</v>
      </c>
      <c r="AQ4" s="351" t="s">
        <v>255</v>
      </c>
      <c r="AR4" s="351"/>
      <c r="AS4" s="351"/>
      <c r="AT4" s="351"/>
      <c r="AU4" s="351"/>
      <c r="AV4" s="270"/>
    </row>
    <row r="5" spans="1:101" ht="15.75" thickBot="1" x14ac:dyDescent="0.3">
      <c r="D5" s="368"/>
      <c r="E5" s="369"/>
      <c r="F5" s="369"/>
      <c r="G5" s="369"/>
      <c r="H5" s="369"/>
      <c r="I5" s="369"/>
      <c r="J5" s="369"/>
      <c r="K5" s="370"/>
      <c r="L5" s="359"/>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1"/>
      <c r="AP5" s="296" t="s">
        <v>5</v>
      </c>
      <c r="AQ5" s="352" t="s">
        <v>5</v>
      </c>
      <c r="AR5" s="352"/>
      <c r="AS5" s="352"/>
      <c r="AT5" s="352"/>
      <c r="AU5" s="352"/>
      <c r="AV5" s="272"/>
    </row>
    <row r="7" spans="1:101" ht="18" customHeight="1" x14ac:dyDescent="0.25">
      <c r="C7" s="68"/>
      <c r="D7" s="302" t="s">
        <v>256</v>
      </c>
      <c r="E7" s="302"/>
      <c r="F7" s="302"/>
      <c r="G7" s="302"/>
      <c r="H7" s="302"/>
      <c r="I7" s="302"/>
      <c r="J7" s="302"/>
      <c r="K7" s="302"/>
      <c r="L7" s="409" t="s">
        <v>58</v>
      </c>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x14ac:dyDescent="0.25">
      <c r="A8" s="197" t="s">
        <v>9</v>
      </c>
      <c r="B8" s="197"/>
      <c r="C8" s="198"/>
      <c r="D8" s="302"/>
      <c r="E8" s="302"/>
      <c r="F8" s="302"/>
      <c r="G8" s="302"/>
      <c r="H8" s="302"/>
      <c r="I8" s="302"/>
      <c r="J8" s="302"/>
      <c r="K8" s="302"/>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c r="AN8" s="409"/>
      <c r="AO8" s="409"/>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x14ac:dyDescent="0.25">
      <c r="C9" s="68"/>
      <c r="D9" s="302"/>
      <c r="E9" s="302"/>
      <c r="F9" s="302"/>
      <c r="G9" s="302"/>
      <c r="H9" s="302"/>
      <c r="I9" s="302"/>
      <c r="J9" s="302"/>
      <c r="K9" s="302"/>
      <c r="L9" s="409"/>
      <c r="M9" s="409"/>
      <c r="N9" s="409"/>
      <c r="O9" s="409"/>
      <c r="P9" s="409"/>
      <c r="Q9" s="409"/>
      <c r="R9" s="409"/>
      <c r="S9" s="409"/>
      <c r="T9" s="409"/>
      <c r="U9" s="409"/>
      <c r="V9" s="409"/>
      <c r="W9" s="409"/>
      <c r="X9" s="409"/>
      <c r="Y9" s="409"/>
      <c r="Z9" s="409"/>
      <c r="AA9" s="409"/>
      <c r="AB9" s="409"/>
      <c r="AC9" s="409"/>
      <c r="AD9" s="409"/>
      <c r="AE9" s="409"/>
      <c r="AF9" s="409"/>
      <c r="AG9" s="409"/>
      <c r="AH9" s="409"/>
      <c r="AI9" s="409"/>
      <c r="AJ9" s="409"/>
      <c r="AK9" s="409"/>
      <c r="AL9" s="409"/>
      <c r="AM9" s="409"/>
      <c r="AN9" s="409"/>
      <c r="AO9" s="409"/>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75" thickBot="1" x14ac:dyDescent="0.3">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x14ac:dyDescent="0.25">
      <c r="C11" s="68"/>
      <c r="D11" s="371" t="s">
        <v>257</v>
      </c>
      <c r="E11" s="371"/>
      <c r="F11" s="372"/>
      <c r="G11" s="339" t="s">
        <v>258</v>
      </c>
      <c r="H11" s="341"/>
      <c r="I11" s="341"/>
      <c r="J11" s="341"/>
      <c r="K11" s="341"/>
      <c r="L11" s="336"/>
      <c r="M11" s="337"/>
      <c r="N11" s="337" t="str">
        <f>IF(AND('Mapa final'!$K$15="Muy Alta",'Mapa final'!$O$15="Leve"),CONCATENATE("R",'Mapa final'!$A$16),"")</f>
        <v/>
      </c>
      <c r="O11" s="337"/>
      <c r="P11" s="337" t="str">
        <f>IF(AND('Mapa final'!$K$17="Muy Alta",'Mapa final'!$O$17="Leve"),CONCATENATE("R",'Mapa final'!$A$17),"")</f>
        <v/>
      </c>
      <c r="Q11" s="338"/>
      <c r="R11" s="336"/>
      <c r="S11" s="337"/>
      <c r="T11" s="337" t="str">
        <f>IF(AND('Mapa final'!$P$15="Muy Alta",'Mapa final'!$S$15="Menor"),CONCATENATE("R",'Mapa final'!$A$16),"")</f>
        <v/>
      </c>
      <c r="U11" s="337"/>
      <c r="V11" s="337" t="str">
        <f>IF(AND('Mapa final'!$P$17="Muy Alta",'Mapa final'!$S$17="Menor"),CONCATENATE("R",'Mapa final'!$A$17),"")</f>
        <v/>
      </c>
      <c r="W11" s="337"/>
      <c r="X11" s="336"/>
      <c r="Y11" s="337"/>
      <c r="Z11" s="337" t="str">
        <f>IF(AND('Mapa final'!P$15="Muy Alta",'Mapa final'!$S$15="Moderado"),CONCATENATE("R",'Mapa final'!$A$16),"")</f>
        <v/>
      </c>
      <c r="AA11" s="337"/>
      <c r="AB11" s="337" t="str">
        <f>IF(AND('Mapa final'!$P$17="Muy Alta",'Mapa final'!$S$17="Moderado"),CONCATENATE("R",'Mapa final'!$A$17),"")</f>
        <v/>
      </c>
      <c r="AC11" s="337"/>
      <c r="AD11" s="336"/>
      <c r="AE11" s="337"/>
      <c r="AF11" s="337" t="str">
        <f>IF(AND('Mapa final'!$P$15="Muy Alta",'Mapa final'!$S$15="Mayor"),CONCATENATE("R",'Mapa final'!$A$16),"")</f>
        <v/>
      </c>
      <c r="AG11" s="337"/>
      <c r="AH11" s="337" t="str">
        <f>IF(AND('Mapa final'!$P$17="Muy Alta",'Mapa final'!$S$17="Mayor"),CONCATENATE("R",'Mapa final'!$A$17),"")</f>
        <v/>
      </c>
      <c r="AI11" s="337"/>
      <c r="AJ11" s="327"/>
      <c r="AK11" s="328"/>
      <c r="AL11" s="328" t="str">
        <f>IF(AND('Mapa final'!$P$15="Muy Alta",'Mapa final'!$S$15="Catastrófico"),CONCATENATE("R",'Mapa final'!$A$16),"")</f>
        <v/>
      </c>
      <c r="AM11" s="328"/>
      <c r="AN11" s="328" t="str">
        <f>IF(AND('Mapa final'!$P$17="Muy Alta",'Mapa final'!$S$17="Catastrófico"),CONCATENATE("R",'Mapa final'!$A$17),"")</f>
        <v/>
      </c>
      <c r="AO11" s="329"/>
      <c r="AQ11" s="373" t="s">
        <v>259</v>
      </c>
      <c r="AR11" s="374"/>
      <c r="AS11" s="374"/>
      <c r="AT11" s="374"/>
      <c r="AU11" s="374"/>
      <c r="AV11" s="375"/>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x14ac:dyDescent="0.25">
      <c r="C12" s="68"/>
      <c r="D12" s="371"/>
      <c r="E12" s="371"/>
      <c r="F12" s="372"/>
      <c r="G12" s="343"/>
      <c r="H12" s="344"/>
      <c r="I12" s="344"/>
      <c r="J12" s="344"/>
      <c r="K12" s="344"/>
      <c r="L12" s="330"/>
      <c r="M12" s="331"/>
      <c r="N12" s="331"/>
      <c r="O12" s="331"/>
      <c r="P12" s="331"/>
      <c r="Q12" s="332"/>
      <c r="R12" s="330"/>
      <c r="S12" s="331"/>
      <c r="T12" s="331"/>
      <c r="U12" s="331"/>
      <c r="V12" s="331"/>
      <c r="W12" s="331"/>
      <c r="X12" s="330"/>
      <c r="Y12" s="331"/>
      <c r="Z12" s="331"/>
      <c r="AA12" s="331"/>
      <c r="AB12" s="331"/>
      <c r="AC12" s="331"/>
      <c r="AD12" s="330"/>
      <c r="AE12" s="331"/>
      <c r="AF12" s="331"/>
      <c r="AG12" s="331"/>
      <c r="AH12" s="331"/>
      <c r="AI12" s="331"/>
      <c r="AJ12" s="321"/>
      <c r="AK12" s="322"/>
      <c r="AL12" s="322"/>
      <c r="AM12" s="322"/>
      <c r="AN12" s="322"/>
      <c r="AO12" s="323"/>
      <c r="AP12" s="68"/>
      <c r="AQ12" s="376"/>
      <c r="AR12" s="377"/>
      <c r="AS12" s="377"/>
      <c r="AT12" s="377"/>
      <c r="AU12" s="377"/>
      <c r="AV12" s="37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x14ac:dyDescent="0.25">
      <c r="C13" s="68"/>
      <c r="D13" s="371"/>
      <c r="E13" s="371"/>
      <c r="F13" s="372"/>
      <c r="G13" s="343"/>
      <c r="H13" s="344"/>
      <c r="I13" s="344"/>
      <c r="J13" s="344"/>
      <c r="K13" s="344"/>
      <c r="L13" s="330" t="str">
        <f>IF(AND('Mapa final'!$P$20="Muy Alta",'Mapa final'!$S$20="Leve"),CONCATENATE("R",'Mapa final'!$A$20),"")</f>
        <v/>
      </c>
      <c r="M13" s="331"/>
      <c r="N13" s="331" t="str">
        <f>IF(AND('Mapa final'!$K$21="Muy Alta",'Mapa final'!$O$21="Leve"),CONCATENATE("R",'Mapa final'!$A$21),"")</f>
        <v/>
      </c>
      <c r="O13" s="331"/>
      <c r="P13" s="331" t="str">
        <f>IF(AND('Mapa final'!$K$23="Muy Alta",'Mapa final'!$O$23="Leve"),CONCATENATE("R",'Mapa final'!$A$23),"")</f>
        <v/>
      </c>
      <c r="Q13" s="332"/>
      <c r="R13" s="330" t="str">
        <f>IF(AND('Mapa final'!$P$20="Muy Alta",'Mapa final'!$S$20="Menor"),CONCATENATE("R",'Mapa final'!$A$20),"")</f>
        <v/>
      </c>
      <c r="S13" s="331"/>
      <c r="T13" s="331" t="str">
        <f>IF(AND('Mapa final'!$P$21="Muy Alta",'Mapa final'!$S$21="Menor"),CONCATENATE("R",'Mapa final'!$A$21),"")</f>
        <v/>
      </c>
      <c r="U13" s="331"/>
      <c r="V13" s="331" t="str">
        <f>IF(AND('Mapa final'!$P$23="Muy Alta",'Mapa final'!$S$23="Menor"),CONCATENATE("R",'Mapa final'!$A$23),"")</f>
        <v/>
      </c>
      <c r="W13" s="331"/>
      <c r="X13" s="330" t="str">
        <f>IF(AND('Mapa final'!$P$20="Muy Alta",'Mapa final'!$S$20="Moderado"),CONCATENATE("R",'Mapa final'!$A$20),"")</f>
        <v/>
      </c>
      <c r="Y13" s="331"/>
      <c r="Z13" s="331" t="str">
        <f>IF(AND('Mapa final'!$P$21="Muy Alta",'Mapa final'!$S$21="Moderado"),CONCATENATE("R",'Mapa final'!$A$21),"")</f>
        <v/>
      </c>
      <c r="AA13" s="331"/>
      <c r="AB13" s="331" t="str">
        <f>IF(AND('Mapa final'!$P$23="Muy Alta",'Mapa final'!$S$23="Moderado"),CONCATENATE("R",'Mapa final'!$A$23),"")</f>
        <v/>
      </c>
      <c r="AC13" s="331"/>
      <c r="AD13" s="330" t="str">
        <f>IF(AND('Mapa final'!$P$20="Muy Alta",'Mapa final'!$S$20="Mayor"),CONCATENATE("R",'Mapa final'!$A$20),"")</f>
        <v/>
      </c>
      <c r="AE13" s="331"/>
      <c r="AF13" s="331" t="str">
        <f>IF(AND('Mapa final'!$P$21="Muy Alta",'Mapa final'!$S$21="Mayor"),CONCATENATE("R",'Mapa final'!$A$21),"")</f>
        <v/>
      </c>
      <c r="AG13" s="331"/>
      <c r="AH13" s="331" t="str">
        <f>IF(AND('Mapa final'!$P$23="Muy Alta",'Mapa final'!$S$23="Mayor"),CONCATENATE("R",'Mapa final'!$A$23),"")</f>
        <v/>
      </c>
      <c r="AI13" s="331"/>
      <c r="AJ13" s="321" t="str">
        <f>IF(AND('Mapa final'!$P$20="Muy Alta",'Mapa final'!$S$20="Catastrófico"),CONCATENATE("R",'Mapa final'!$A$20),"")</f>
        <v/>
      </c>
      <c r="AK13" s="322"/>
      <c r="AL13" s="322" t="str">
        <f>IF(AND('Mapa final'!$P$21="Muy Alta",'Mapa final'!$S$21="Catastrófico"),CONCATENATE("R",'Mapa final'!$A$21),"")</f>
        <v/>
      </c>
      <c r="AM13" s="322"/>
      <c r="AN13" s="322" t="str">
        <f>IF(AND('Mapa final'!$P$23="Muy Alta",'Mapa final'!$K$23="Catastrófico"),CONCATENATE("R",'Mapa final'!$A$23),"")</f>
        <v/>
      </c>
      <c r="AO13" s="323"/>
      <c r="AP13" s="68"/>
      <c r="AQ13" s="376"/>
      <c r="AR13" s="377"/>
      <c r="AS13" s="377"/>
      <c r="AT13" s="377"/>
      <c r="AU13" s="377"/>
      <c r="AV13" s="37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x14ac:dyDescent="0.25">
      <c r="C14" s="68"/>
      <c r="D14" s="371"/>
      <c r="E14" s="371"/>
      <c r="F14" s="372"/>
      <c r="G14" s="343"/>
      <c r="H14" s="344"/>
      <c r="I14" s="344"/>
      <c r="J14" s="344"/>
      <c r="K14" s="344"/>
      <c r="L14" s="330"/>
      <c r="M14" s="331"/>
      <c r="N14" s="331"/>
      <c r="O14" s="331"/>
      <c r="P14" s="331"/>
      <c r="Q14" s="332"/>
      <c r="R14" s="330"/>
      <c r="S14" s="331"/>
      <c r="T14" s="331"/>
      <c r="U14" s="331"/>
      <c r="V14" s="331"/>
      <c r="W14" s="331"/>
      <c r="X14" s="330"/>
      <c r="Y14" s="331"/>
      <c r="Z14" s="331"/>
      <c r="AA14" s="331"/>
      <c r="AB14" s="331"/>
      <c r="AC14" s="331"/>
      <c r="AD14" s="330"/>
      <c r="AE14" s="331"/>
      <c r="AF14" s="331"/>
      <c r="AG14" s="331"/>
      <c r="AH14" s="331"/>
      <c r="AI14" s="331"/>
      <c r="AJ14" s="321"/>
      <c r="AK14" s="322"/>
      <c r="AL14" s="322"/>
      <c r="AM14" s="322"/>
      <c r="AN14" s="322"/>
      <c r="AO14" s="323"/>
      <c r="AP14" s="68"/>
      <c r="AQ14" s="376"/>
      <c r="AR14" s="377"/>
      <c r="AS14" s="377"/>
      <c r="AT14" s="377"/>
      <c r="AU14" s="377"/>
      <c r="AV14" s="37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x14ac:dyDescent="0.25">
      <c r="C15" s="68"/>
      <c r="D15" s="371"/>
      <c r="E15" s="371"/>
      <c r="F15" s="372"/>
      <c r="G15" s="343"/>
      <c r="H15" s="344"/>
      <c r="I15" s="344"/>
      <c r="J15" s="344"/>
      <c r="K15" s="344"/>
      <c r="L15" s="330" t="str">
        <f>IF(AND('Mapa final'!$P$24="Muy Alta",'Mapa final'!$S$24="Leve"),CONCATENATE("R",'Mapa final'!$A$24),"")</f>
        <v/>
      </c>
      <c r="M15" s="331"/>
      <c r="N15" s="331" t="e">
        <f>IF(AND('Mapa final'!#REF!="Muy Alta",'Mapa final'!#REF!="Leve"),CONCATENATE("R",'Mapa final'!#REF!),"")</f>
        <v>#REF!</v>
      </c>
      <c r="O15" s="331"/>
      <c r="P15" s="331" t="str">
        <f>IF(AND('Mapa final'!$K$34="Muy Alta",'Mapa final'!$O$34="Leve"),CONCATENATE("R",'Mapa final'!$A$34),"")</f>
        <v/>
      </c>
      <c r="Q15" s="332"/>
      <c r="R15" s="330" t="str">
        <f>IF(AND('Mapa final'!$P$24="Muy Alta",'Mapa final'!$S$24="Menor"),CONCATENATE("R",'Mapa final'!$A$24),"")</f>
        <v/>
      </c>
      <c r="S15" s="331"/>
      <c r="T15" s="331" t="e">
        <f>IF(AND('Mapa final'!#REF!="Muy Alta",'Mapa final'!#REF!="Menor"),CONCATENATE("R",'Mapa final'!#REF!),"")</f>
        <v>#REF!</v>
      </c>
      <c r="U15" s="331"/>
      <c r="V15" s="331" t="str">
        <f>IF(AND('Mapa final'!$P$34="Muy Alta",'Mapa final'!$S$34="Menor"),CONCATENATE("R",'Mapa final'!$A$34),"")</f>
        <v/>
      </c>
      <c r="W15" s="331"/>
      <c r="X15" s="330" t="str">
        <f>IF(AND('Mapa final'!$P$24="Muy Alta",'Mapa final'!$S$24="Moderado"),CONCATENATE("R",'Mapa final'!$A$24),"")</f>
        <v>R</v>
      </c>
      <c r="Y15" s="331"/>
      <c r="Z15" s="331" t="e">
        <f>IF(AND('Mapa final'!#REF!="Muy Alta",'Mapa final'!#REF!="Moderado"),CONCATENATE("R",'Mapa final'!#REF!),"")</f>
        <v>#REF!</v>
      </c>
      <c r="AA15" s="331"/>
      <c r="AB15" s="331" t="str">
        <f>IF(AND('Mapa final'!$P$34="Muy Alta",'Mapa final'!$S$34="Moderado"),CONCATENATE("R",'Mapa final'!$A$34),"")</f>
        <v/>
      </c>
      <c r="AC15" s="331"/>
      <c r="AD15" s="330" t="str">
        <f>IF(AND('Mapa final'!$P$24="Muy Alta",'Mapa final'!$S$24="Mayor"),CONCATENATE("R",'Mapa final'!$A$24),"")</f>
        <v/>
      </c>
      <c r="AE15" s="331"/>
      <c r="AF15" s="331" t="e">
        <f>IF(AND('Mapa final'!#REF!="Muy Alta",'Mapa final'!#REF!="Mayor"),CONCATENATE("R",'Mapa final'!#REF!),"")</f>
        <v>#REF!</v>
      </c>
      <c r="AG15" s="331"/>
      <c r="AH15" s="331" t="str">
        <f>IF(AND('Mapa final'!$P$34="Muy Alta",'Mapa final'!$S$34="Mayor"),CONCATENATE("R",'Mapa final'!$A$34),"")</f>
        <v/>
      </c>
      <c r="AI15" s="331"/>
      <c r="AJ15" s="321" t="str">
        <f>IF(AND('Mapa final'!$P$24="Muy Alta",'Mapa final'!$S$24="Catastrófico"),CONCATENATE("R",'Mapa final'!$A$24),"")</f>
        <v/>
      </c>
      <c r="AK15" s="322"/>
      <c r="AL15" s="322" t="e">
        <f>IF(AND('Mapa final'!#REF!="Muy Alta",'Mapa final'!#REF!="Catastrófico"),CONCATENATE("R",'Mapa final'!#REF!),"")</f>
        <v>#REF!</v>
      </c>
      <c r="AM15" s="322"/>
      <c r="AN15" s="322" t="str">
        <f>IF(AND('Mapa final'!$P$34="Muy Alta",'Mapa final'!$S$34="Catastrófico"),CONCATENATE("R",'Mapa final'!$A$34),"")</f>
        <v/>
      </c>
      <c r="AO15" s="323"/>
      <c r="AP15" s="68"/>
      <c r="AQ15" s="376"/>
      <c r="AR15" s="377"/>
      <c r="AS15" s="377"/>
      <c r="AT15" s="377"/>
      <c r="AU15" s="377"/>
      <c r="AV15" s="37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x14ac:dyDescent="0.25">
      <c r="C16" s="68"/>
      <c r="D16" s="371"/>
      <c r="E16" s="371"/>
      <c r="F16" s="372"/>
      <c r="G16" s="343"/>
      <c r="H16" s="344"/>
      <c r="I16" s="344"/>
      <c r="J16" s="344"/>
      <c r="K16" s="344"/>
      <c r="L16" s="330"/>
      <c r="M16" s="331"/>
      <c r="N16" s="331"/>
      <c r="O16" s="331"/>
      <c r="P16" s="331"/>
      <c r="Q16" s="332"/>
      <c r="R16" s="330"/>
      <c r="S16" s="331"/>
      <c r="T16" s="331"/>
      <c r="U16" s="331"/>
      <c r="V16" s="331"/>
      <c r="W16" s="331"/>
      <c r="X16" s="330"/>
      <c r="Y16" s="331"/>
      <c r="Z16" s="331"/>
      <c r="AA16" s="331"/>
      <c r="AB16" s="331"/>
      <c r="AC16" s="331"/>
      <c r="AD16" s="330"/>
      <c r="AE16" s="331"/>
      <c r="AF16" s="331"/>
      <c r="AG16" s="331"/>
      <c r="AH16" s="331"/>
      <c r="AI16" s="331"/>
      <c r="AJ16" s="321"/>
      <c r="AK16" s="322"/>
      <c r="AL16" s="322"/>
      <c r="AM16" s="322"/>
      <c r="AN16" s="322"/>
      <c r="AO16" s="323"/>
      <c r="AP16" s="68"/>
      <c r="AQ16" s="376"/>
      <c r="AR16" s="377"/>
      <c r="AS16" s="377"/>
      <c r="AT16" s="377"/>
      <c r="AU16" s="377"/>
      <c r="AV16" s="37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x14ac:dyDescent="0.25">
      <c r="C17" s="68"/>
      <c r="D17" s="371"/>
      <c r="E17" s="371"/>
      <c r="F17" s="372"/>
      <c r="G17" s="343"/>
      <c r="H17" s="344"/>
      <c r="I17" s="344"/>
      <c r="J17" s="344"/>
      <c r="K17" s="344"/>
      <c r="L17" s="330" t="str">
        <f>IF(AND('Mapa final'!$P$35="Muy Alta",'Mapa final'!$S$35="Leve"),CONCATENATE("R",'Mapa final'!$A$35),"")</f>
        <v/>
      </c>
      <c r="M17" s="331"/>
      <c r="N17" s="331" t="str">
        <f>IF(AND('Mapa final'!$K$36="Muy Alta",'Mapa final'!$O$36="Leve"),CONCATENATE("R",'Mapa final'!$A$36),"")</f>
        <v/>
      </c>
      <c r="O17" s="331"/>
      <c r="P17" s="331" t="str">
        <f>IF(AND('Mapa final'!$K$37="Muy Alta",'Mapa final'!$O$37="Leve"),CONCATENATE("R",'Mapa final'!$A$37),"")</f>
        <v/>
      </c>
      <c r="Q17" s="332"/>
      <c r="R17" s="330" t="str">
        <f>IF(AND('Mapa final'!$P$35="Muy Alta",'Mapa final'!$S$35="Menor"),CONCATENATE("R",'Mapa final'!$A$35),"")</f>
        <v/>
      </c>
      <c r="S17" s="331"/>
      <c r="T17" s="331" t="str">
        <f>IF(AND('Mapa final'!$P$36="Muy Alta",'Mapa final'!$S$36="Menor"),CONCATENATE("R",'Mapa final'!$A$36),"")</f>
        <v/>
      </c>
      <c r="U17" s="331"/>
      <c r="V17" s="331" t="str">
        <f>IF(AND('Mapa final'!$P$37="Muy Alta",'Mapa final'!$S$37="Menor"),CONCATENATE("R",'Mapa final'!$A$37),"")</f>
        <v/>
      </c>
      <c r="W17" s="331"/>
      <c r="X17" s="330" t="str">
        <f>IF(AND('Mapa final'!$P$35="Muy Alta",'Mapa final'!$S$35="Moderado"),CONCATENATE("R",'Mapa final'!$A$35),"")</f>
        <v/>
      </c>
      <c r="Y17" s="331"/>
      <c r="Z17" s="331" t="str">
        <f>IF(AND('Mapa final'!$P$36="Muy Alta",'Mapa final'!$S$36="Moderado"),CONCATENATE("R",'Mapa final'!$A$36),"")</f>
        <v/>
      </c>
      <c r="AA17" s="331"/>
      <c r="AB17" s="331" t="str">
        <f>IF(AND('Mapa final'!$P$37="Muy Alta",'Mapa final'!$S$37="Moderado"),CONCATENATE("R",'Mapa final'!$A$37),"")</f>
        <v/>
      </c>
      <c r="AC17" s="331"/>
      <c r="AD17" s="330" t="str">
        <f>IF(AND('Mapa final'!$P$35="Muy Alta",'Mapa final'!$S$35="Mayor"),CONCATENATE("R",'Mapa final'!$A$35),"")</f>
        <v/>
      </c>
      <c r="AE17" s="331"/>
      <c r="AF17" s="331" t="str">
        <f>IF(AND('Mapa final'!$P$36="Muy Alta",'Mapa final'!$S$36="Mayor"),CONCATENATE("R",'Mapa final'!$A$36),"")</f>
        <v/>
      </c>
      <c r="AG17" s="331"/>
      <c r="AH17" s="331" t="str">
        <f>IF(AND('Mapa final'!$P$37="Muy Alta",'Mapa final'!$S$37="Mayor"),CONCATENATE("R",'Mapa final'!$A$37),"")</f>
        <v/>
      </c>
      <c r="AI17" s="331"/>
      <c r="AJ17" s="321" t="str">
        <f>IF(AND('Mapa final'!$P$35="Muy Alta",'Mapa final'!$S$35="Catastrófico"),CONCATENATE("R",'Mapa final'!$A$35),"")</f>
        <v/>
      </c>
      <c r="AK17" s="322"/>
      <c r="AL17" s="322" t="str">
        <f>IF(AND('Mapa final'!$P$36="Muy Alta",'Mapa final'!$S$36="Catastrófico"),CONCATENATE("R",'Mapa final'!$A$36),"")</f>
        <v/>
      </c>
      <c r="AM17" s="322"/>
      <c r="AN17" s="322" t="str">
        <f>IF(AND('Mapa final'!$P$37="Muy Alta",'Mapa final'!$S$37="Catastrófico"),CONCATENATE("R",'Mapa final'!$A$37),"")</f>
        <v/>
      </c>
      <c r="AO17" s="323"/>
      <c r="AP17" s="68"/>
      <c r="AQ17" s="376"/>
      <c r="AR17" s="377"/>
      <c r="AS17" s="377"/>
      <c r="AT17" s="377"/>
      <c r="AU17" s="377"/>
      <c r="AV17" s="37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x14ac:dyDescent="0.3">
      <c r="C18" s="68"/>
      <c r="D18" s="371"/>
      <c r="E18" s="371"/>
      <c r="F18" s="372"/>
      <c r="G18" s="346"/>
      <c r="H18" s="347"/>
      <c r="I18" s="347"/>
      <c r="J18" s="347"/>
      <c r="K18" s="347"/>
      <c r="L18" s="333"/>
      <c r="M18" s="334"/>
      <c r="N18" s="334"/>
      <c r="O18" s="334"/>
      <c r="P18" s="334"/>
      <c r="Q18" s="335"/>
      <c r="R18" s="333"/>
      <c r="S18" s="334"/>
      <c r="T18" s="334"/>
      <c r="U18" s="334"/>
      <c r="V18" s="334"/>
      <c r="W18" s="334"/>
      <c r="X18" s="330"/>
      <c r="Y18" s="331"/>
      <c r="Z18" s="331"/>
      <c r="AA18" s="331"/>
      <c r="AB18" s="331"/>
      <c r="AC18" s="331"/>
      <c r="AD18" s="330"/>
      <c r="AE18" s="331"/>
      <c r="AF18" s="331"/>
      <c r="AG18" s="331"/>
      <c r="AH18" s="331"/>
      <c r="AI18" s="331"/>
      <c r="AJ18" s="321"/>
      <c r="AK18" s="322"/>
      <c r="AL18" s="322"/>
      <c r="AM18" s="322"/>
      <c r="AN18" s="322"/>
      <c r="AO18" s="323"/>
      <c r="AP18" s="68"/>
      <c r="AQ18" s="379"/>
      <c r="AR18" s="380"/>
      <c r="AS18" s="380"/>
      <c r="AT18" s="380"/>
      <c r="AU18" s="380"/>
      <c r="AV18" s="381"/>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x14ac:dyDescent="0.25">
      <c r="C19" s="68"/>
      <c r="D19" s="371"/>
      <c r="E19" s="371"/>
      <c r="F19" s="372"/>
      <c r="G19" s="339" t="s">
        <v>260</v>
      </c>
      <c r="H19" s="341"/>
      <c r="I19" s="341"/>
      <c r="J19" s="341"/>
      <c r="K19" s="341"/>
      <c r="L19" s="318"/>
      <c r="M19" s="319"/>
      <c r="N19" s="319" t="str">
        <f>IF(AND('Mapa final'!$K$15="Alta",'Mapa final'!$O$15="Leve"),CONCATENATE("R",'Mapa final'!$A$16),"")</f>
        <v/>
      </c>
      <c r="O19" s="319"/>
      <c r="P19" s="319" t="str">
        <f>IF(AND('Mapa final'!$K$17="Alta",'Mapa final'!$O$17="Leve"),CONCATENATE("R",'Mapa final'!$A$17),"")</f>
        <v/>
      </c>
      <c r="Q19" s="320"/>
      <c r="R19" s="318"/>
      <c r="S19" s="319"/>
      <c r="T19" s="313" t="str">
        <f>IF(AND('Mapa final'!$P$15="Alta",'Mapa final'!$S$15="Menor"),CONCATENATE("R",'Mapa final'!$A$16),"")</f>
        <v/>
      </c>
      <c r="U19" s="313"/>
      <c r="V19" s="313" t="str">
        <f>IF(AND('Mapa final'!$P$17="Alta",'Mapa final'!$S$17="Menor"),CONCATENATE("R",'Mapa final'!$A$17),"")</f>
        <v/>
      </c>
      <c r="W19" s="313"/>
      <c r="X19" s="336"/>
      <c r="Y19" s="337"/>
      <c r="Z19" s="337" t="str">
        <f>IF(AND('Mapa final'!P$15="Alta",'Mapa final'!$S$15="Moderado"),CONCATENATE("R",'Mapa final'!$A$16),"")</f>
        <v/>
      </c>
      <c r="AA19" s="337"/>
      <c r="AB19" s="337" t="str">
        <f>IF(AND('Mapa final'!$P$17="Alta",'Mapa final'!$S$17="Moderado"),CONCATENATE("R",'Mapa final'!$A$17),"")</f>
        <v/>
      </c>
      <c r="AC19" s="337"/>
      <c r="AD19" s="336"/>
      <c r="AE19" s="337"/>
      <c r="AF19" s="337" t="str">
        <f>IF(AND('Mapa final'!$P$15="Alta",'Mapa final'!$S$15="Mayor"),CONCATENATE("R",'Mapa final'!$A$16),"")</f>
        <v/>
      </c>
      <c r="AG19" s="337"/>
      <c r="AH19" s="337" t="str">
        <f>IF(AND('Mapa final'!$P$17="Alta",'Mapa final'!$S$17="Mayor"),CONCATENATE("R",'Mapa final'!$A$17),"")</f>
        <v/>
      </c>
      <c r="AI19" s="337"/>
      <c r="AJ19" s="327"/>
      <c r="AK19" s="328"/>
      <c r="AL19" s="328" t="str">
        <f>IF(AND('Mapa final'!$P$15="Alta",'Mapa final'!$S$15="Catastrófico"),CONCATENATE("R",'Mapa final'!$A$16),"")</f>
        <v/>
      </c>
      <c r="AM19" s="328"/>
      <c r="AN19" s="328" t="str">
        <f>IF(AND('Mapa final'!$P$17="Alta",'Mapa final'!$S$17="Catastrófico"),CONCATENATE("R",'Mapa final'!$A$17),"")</f>
        <v/>
      </c>
      <c r="AO19" s="329"/>
      <c r="AP19" s="68"/>
      <c r="AQ19" s="382" t="s">
        <v>261</v>
      </c>
      <c r="AR19" s="383"/>
      <c r="AS19" s="383"/>
      <c r="AT19" s="383"/>
      <c r="AU19" s="383"/>
      <c r="AV19" s="384"/>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x14ac:dyDescent="0.25">
      <c r="C20" s="68"/>
      <c r="D20" s="371"/>
      <c r="E20" s="371"/>
      <c r="F20" s="372"/>
      <c r="G20" s="343"/>
      <c r="H20" s="344"/>
      <c r="I20" s="344"/>
      <c r="J20" s="344"/>
      <c r="K20" s="344"/>
      <c r="L20" s="312"/>
      <c r="M20" s="313"/>
      <c r="N20" s="313"/>
      <c r="O20" s="313"/>
      <c r="P20" s="313"/>
      <c r="Q20" s="314"/>
      <c r="R20" s="312"/>
      <c r="S20" s="313"/>
      <c r="T20" s="313"/>
      <c r="U20" s="313"/>
      <c r="V20" s="313"/>
      <c r="W20" s="313"/>
      <c r="X20" s="330"/>
      <c r="Y20" s="331"/>
      <c r="Z20" s="331"/>
      <c r="AA20" s="331"/>
      <c r="AB20" s="331"/>
      <c r="AC20" s="331"/>
      <c r="AD20" s="330"/>
      <c r="AE20" s="331"/>
      <c r="AF20" s="331"/>
      <c r="AG20" s="331"/>
      <c r="AH20" s="331"/>
      <c r="AI20" s="331"/>
      <c r="AJ20" s="321"/>
      <c r="AK20" s="322"/>
      <c r="AL20" s="322"/>
      <c r="AM20" s="322"/>
      <c r="AN20" s="322"/>
      <c r="AO20" s="323"/>
      <c r="AP20" s="68"/>
      <c r="AQ20" s="385"/>
      <c r="AR20" s="386"/>
      <c r="AS20" s="386"/>
      <c r="AT20" s="386"/>
      <c r="AU20" s="386"/>
      <c r="AV20" s="387"/>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x14ac:dyDescent="0.25">
      <c r="C21" s="68"/>
      <c r="D21" s="371"/>
      <c r="E21" s="371"/>
      <c r="F21" s="372"/>
      <c r="G21" s="343"/>
      <c r="H21" s="344"/>
      <c r="I21" s="344"/>
      <c r="J21" s="344"/>
      <c r="K21" s="344"/>
      <c r="L21" s="312" t="str">
        <f>IF(AND('Mapa final'!$P$20="Alta",'Mapa final'!$S$20="Leve"),CONCATENATE("R",'Mapa final'!$A$20),"")</f>
        <v/>
      </c>
      <c r="M21" s="313"/>
      <c r="N21" s="313" t="str">
        <f>IF(AND('Mapa final'!$K$21="Alta",'Mapa final'!$O$21="Leve"),CONCATENATE("R",'Mapa final'!$A$21),"")</f>
        <v/>
      </c>
      <c r="O21" s="313"/>
      <c r="P21" s="313" t="str">
        <f>IF(AND('Mapa final'!$K$23="Alta",'Mapa final'!$O$23="Leve"),CONCATENATE("R",'Mapa final'!$A$23),"")</f>
        <v/>
      </c>
      <c r="Q21" s="314"/>
      <c r="R21" s="312" t="str">
        <f>IF(AND('Mapa final'!$P$20="Alta",'Mapa final'!$S$20="Menor"),CONCATENATE("R",'Mapa final'!$A$20),"")</f>
        <v/>
      </c>
      <c r="S21" s="313"/>
      <c r="T21" s="313" t="str">
        <f>IF(AND('Mapa final'!$P$21="Alta",'Mapa final'!$S$21="Menor"),CONCATENATE("R",'Mapa final'!$A$21),"")</f>
        <v/>
      </c>
      <c r="U21" s="313"/>
      <c r="V21" s="313" t="str">
        <f>IF(AND('Mapa final'!$P$23="Alta",'Mapa final'!$S$23="Menor"),CONCATENATE("R",'Mapa final'!$A$23),"")</f>
        <v/>
      </c>
      <c r="W21" s="313"/>
      <c r="X21" s="330" t="str">
        <f>IF(AND('Mapa final'!$P$20="Alta",'Mapa final'!$S$20="Moderado"),CONCATENATE("R",'Mapa final'!$A$20),"")</f>
        <v/>
      </c>
      <c r="Y21" s="331"/>
      <c r="Z21" s="331" t="str">
        <f>IF(AND('Mapa final'!$P$21="Alta",'Mapa final'!$S$21="Moderado"),CONCATENATE("R",'Mapa final'!$A$21),"")</f>
        <v/>
      </c>
      <c r="AA21" s="331"/>
      <c r="AB21" s="331" t="str">
        <f>IF(AND('Mapa final'!$P$23="Alta",'Mapa final'!$S$23="Moderado"),CONCATENATE("R",'Mapa final'!$A$23),"")</f>
        <v/>
      </c>
      <c r="AC21" s="331"/>
      <c r="AD21" s="330" t="str">
        <f>IF(AND('Mapa final'!$P$20="Alta",'Mapa final'!$S$20="Mayor"),CONCATENATE("R",'Mapa final'!$A$20),"")</f>
        <v/>
      </c>
      <c r="AE21" s="331"/>
      <c r="AF21" s="331" t="str">
        <f>IF(AND('Mapa final'!$P$21="Alta",'Mapa final'!$S$21="Mayor"),CONCATENATE("R",'Mapa final'!$A$21),"")</f>
        <v/>
      </c>
      <c r="AG21" s="331"/>
      <c r="AH21" s="331" t="str">
        <f>IF(AND('Mapa final'!$P$23="Alta",'Mapa final'!$S$23="Mayor"),CONCATENATE("R",'Mapa final'!$A$23),"")</f>
        <v/>
      </c>
      <c r="AI21" s="331"/>
      <c r="AJ21" s="321" t="str">
        <f>IF(AND('Mapa final'!$P$20="Alta",'Mapa final'!$S$20="Catastrófico"),CONCATENATE("R",'Mapa final'!$A$20),"")</f>
        <v/>
      </c>
      <c r="AK21" s="322"/>
      <c r="AL21" s="322" t="str">
        <f>IF(AND('Mapa final'!$P$21="Alta",'Mapa final'!$S$21="Catastrófico"),CONCATENATE("R",'Mapa final'!$A$21),"")</f>
        <v/>
      </c>
      <c r="AM21" s="322"/>
      <c r="AN21" s="322" t="str">
        <f>IF(AND('Mapa final'!$P$23="Alta",'Mapa final'!$K$23="Catastrófico"),CONCATENATE("R",'Mapa final'!$A$23),"")</f>
        <v/>
      </c>
      <c r="AO21" s="323"/>
      <c r="AP21" s="68"/>
      <c r="AQ21" s="385"/>
      <c r="AR21" s="386"/>
      <c r="AS21" s="386"/>
      <c r="AT21" s="386"/>
      <c r="AU21" s="386"/>
      <c r="AV21" s="387"/>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x14ac:dyDescent="0.25">
      <c r="C22" s="68"/>
      <c r="D22" s="371"/>
      <c r="E22" s="371"/>
      <c r="F22" s="372"/>
      <c r="G22" s="343"/>
      <c r="H22" s="344"/>
      <c r="I22" s="344"/>
      <c r="J22" s="344"/>
      <c r="K22" s="344"/>
      <c r="L22" s="312"/>
      <c r="M22" s="313"/>
      <c r="N22" s="313"/>
      <c r="O22" s="313"/>
      <c r="P22" s="313"/>
      <c r="Q22" s="314"/>
      <c r="R22" s="312"/>
      <c r="S22" s="313"/>
      <c r="T22" s="313"/>
      <c r="U22" s="313"/>
      <c r="V22" s="313"/>
      <c r="W22" s="313"/>
      <c r="X22" s="330"/>
      <c r="Y22" s="331"/>
      <c r="Z22" s="331"/>
      <c r="AA22" s="331"/>
      <c r="AB22" s="331"/>
      <c r="AC22" s="331"/>
      <c r="AD22" s="330"/>
      <c r="AE22" s="331"/>
      <c r="AF22" s="331"/>
      <c r="AG22" s="331"/>
      <c r="AH22" s="331"/>
      <c r="AI22" s="331"/>
      <c r="AJ22" s="321"/>
      <c r="AK22" s="322"/>
      <c r="AL22" s="322"/>
      <c r="AM22" s="322"/>
      <c r="AN22" s="322"/>
      <c r="AO22" s="323"/>
      <c r="AP22" s="68"/>
      <c r="AQ22" s="385"/>
      <c r="AR22" s="386"/>
      <c r="AS22" s="386"/>
      <c r="AT22" s="386"/>
      <c r="AU22" s="386"/>
      <c r="AV22" s="387"/>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x14ac:dyDescent="0.25">
      <c r="C23" s="68"/>
      <c r="D23" s="371"/>
      <c r="E23" s="371"/>
      <c r="F23" s="372"/>
      <c r="G23" s="343"/>
      <c r="H23" s="344"/>
      <c r="I23" s="344"/>
      <c r="J23" s="344"/>
      <c r="K23" s="344"/>
      <c r="L23" s="312" t="str">
        <f>IF(AND('Mapa final'!$P$24="Alta",'Mapa final'!$S$24="Leve"),CONCATENATE("R",'Mapa final'!$A$24),"")</f>
        <v/>
      </c>
      <c r="M23" s="313"/>
      <c r="N23" s="313" t="e">
        <f>IF(AND('Mapa final'!#REF!="Alta",'Mapa final'!#REF!="Leve"),CONCATENATE("R",'Mapa final'!#REF!),"")</f>
        <v>#REF!</v>
      </c>
      <c r="O23" s="313"/>
      <c r="P23" s="313" t="str">
        <f>IF(AND('Mapa final'!$K$34="Alta",'Mapa final'!$O$34="Leve"),CONCATENATE("R",'Mapa final'!$A$34),"")</f>
        <v/>
      </c>
      <c r="Q23" s="314"/>
      <c r="R23" s="312" t="str">
        <f>IF(AND('Mapa final'!$P$24="Alta",'Mapa final'!$S$24="Menor"),CONCATENATE("R",'Mapa final'!$A$24),"")</f>
        <v/>
      </c>
      <c r="S23" s="313"/>
      <c r="T23" s="313" t="e">
        <f>IF(AND('Mapa final'!#REF!="Alta",'Mapa final'!#REF!="Menor"),CONCATENATE("R",'Mapa final'!#REF!),"")</f>
        <v>#REF!</v>
      </c>
      <c r="U23" s="313"/>
      <c r="V23" s="313" t="str">
        <f>IF(AND('Mapa final'!$P$34="Alta",'Mapa final'!$S$34="Menor"),CONCATENATE("R",'Mapa final'!$A$34),"")</f>
        <v/>
      </c>
      <c r="W23" s="313"/>
      <c r="X23" s="330" t="str">
        <f>IF(AND('Mapa final'!$P$24="Alta",'Mapa final'!$S$24="Moderado"),CONCATENATE("R",'Mapa final'!$A$24),"")</f>
        <v/>
      </c>
      <c r="Y23" s="331"/>
      <c r="Z23" s="331" t="e">
        <f>IF(AND('Mapa final'!#REF!="Alta",'Mapa final'!#REF!="Moderado"),CONCATENATE("R",'Mapa final'!#REF!),"")</f>
        <v>#REF!</v>
      </c>
      <c r="AA23" s="331"/>
      <c r="AB23" s="331" t="str">
        <f>IF(AND('Mapa final'!$P$34="Alta",'Mapa final'!$S$34="Moderado"),CONCATENATE("R",'Mapa final'!$A$34),"")</f>
        <v/>
      </c>
      <c r="AC23" s="331"/>
      <c r="AD23" s="330" t="str">
        <f>IF(AND('Mapa final'!$P$24="Alta",'Mapa final'!$S$24="Mayor"),CONCATENATE("R",'Mapa final'!$A$24),"")</f>
        <v/>
      </c>
      <c r="AE23" s="331"/>
      <c r="AF23" s="331" t="e">
        <f>IF(AND('Mapa final'!#REF!="Alta",'Mapa final'!#REF!="Mayor"),CONCATENATE("R",'Mapa final'!#REF!),"")</f>
        <v>#REF!</v>
      </c>
      <c r="AG23" s="331"/>
      <c r="AH23" s="331" t="str">
        <f>IF(AND('Mapa final'!$P$34="Alta",'Mapa final'!$S$34="Mayor"),CONCATENATE("R",'Mapa final'!$A$34),"")</f>
        <v/>
      </c>
      <c r="AI23" s="331"/>
      <c r="AJ23" s="321" t="str">
        <f>IF(AND('Mapa final'!$P$24="Alta",'Mapa final'!$S$24="Catastrófico"),CONCATENATE("R",'Mapa final'!$A$24),"")</f>
        <v/>
      </c>
      <c r="AK23" s="322"/>
      <c r="AL23" s="322" t="e">
        <f>IF(AND('Mapa final'!#REF!="Alta",'Mapa final'!#REF!="Catastrófico"),CONCATENATE("R",'Mapa final'!#REF!),"")</f>
        <v>#REF!</v>
      </c>
      <c r="AM23" s="322"/>
      <c r="AN23" s="322" t="str">
        <f>IF(AND('Mapa final'!$P$34="Alta",'Mapa final'!$S$34="Catastrófico"),CONCATENATE("R",'Mapa final'!$A$34),"")</f>
        <v/>
      </c>
      <c r="AO23" s="323"/>
      <c r="AP23" s="68"/>
      <c r="AQ23" s="385"/>
      <c r="AR23" s="386"/>
      <c r="AS23" s="386"/>
      <c r="AT23" s="386"/>
      <c r="AU23" s="386"/>
      <c r="AV23" s="387"/>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x14ac:dyDescent="0.25">
      <c r="C24" s="68"/>
      <c r="D24" s="371"/>
      <c r="E24" s="371"/>
      <c r="F24" s="372"/>
      <c r="G24" s="343"/>
      <c r="H24" s="344"/>
      <c r="I24" s="344"/>
      <c r="J24" s="344"/>
      <c r="K24" s="344"/>
      <c r="L24" s="312"/>
      <c r="M24" s="313"/>
      <c r="N24" s="313"/>
      <c r="O24" s="313"/>
      <c r="P24" s="313"/>
      <c r="Q24" s="314"/>
      <c r="R24" s="312"/>
      <c r="S24" s="313"/>
      <c r="T24" s="313"/>
      <c r="U24" s="313"/>
      <c r="V24" s="313"/>
      <c r="W24" s="313"/>
      <c r="X24" s="330"/>
      <c r="Y24" s="331"/>
      <c r="Z24" s="331"/>
      <c r="AA24" s="331"/>
      <c r="AB24" s="331"/>
      <c r="AC24" s="331"/>
      <c r="AD24" s="330"/>
      <c r="AE24" s="331"/>
      <c r="AF24" s="331"/>
      <c r="AG24" s="331"/>
      <c r="AH24" s="331"/>
      <c r="AI24" s="331"/>
      <c r="AJ24" s="321"/>
      <c r="AK24" s="322"/>
      <c r="AL24" s="322"/>
      <c r="AM24" s="322"/>
      <c r="AN24" s="322"/>
      <c r="AO24" s="323"/>
      <c r="AP24" s="68"/>
      <c r="AQ24" s="385"/>
      <c r="AR24" s="386"/>
      <c r="AS24" s="386"/>
      <c r="AT24" s="386"/>
      <c r="AU24" s="386"/>
      <c r="AV24" s="387"/>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x14ac:dyDescent="0.25">
      <c r="C25" s="68"/>
      <c r="D25" s="371"/>
      <c r="E25" s="371"/>
      <c r="F25" s="372"/>
      <c r="G25" s="343"/>
      <c r="H25" s="344"/>
      <c r="I25" s="344"/>
      <c r="J25" s="344"/>
      <c r="K25" s="344"/>
      <c r="L25" s="312" t="str">
        <f>IF(AND('Mapa final'!$P$35="Alta",'Mapa final'!$S$35="Leve"),CONCATENATE("R",'Mapa final'!$A$35),"")</f>
        <v/>
      </c>
      <c r="M25" s="313"/>
      <c r="N25" s="313" t="str">
        <f>IF(AND('Mapa final'!$K$36="Alta",'Mapa final'!$O$36="Leve"),CONCATENATE("R",'Mapa final'!$A$36),"")</f>
        <v/>
      </c>
      <c r="O25" s="313"/>
      <c r="P25" s="313" t="str">
        <f>IF(AND('Mapa final'!$K$37="Alta",'Mapa final'!$O$37="Leve"),CONCATENATE("R",'Mapa final'!$A$37),"")</f>
        <v/>
      </c>
      <c r="Q25" s="314"/>
      <c r="R25" s="312" t="str">
        <f>IF(AND('Mapa final'!$P$35="Alta",'Mapa final'!$S$35="Menor"),CONCATENATE("R",'Mapa final'!$A$35),"")</f>
        <v/>
      </c>
      <c r="S25" s="313"/>
      <c r="T25" s="313" t="str">
        <f>IF(AND('Mapa final'!$P$36="Alta",'Mapa final'!$S$36="Menor"),CONCATENATE("R",'Mapa final'!$A$36),"")</f>
        <v/>
      </c>
      <c r="U25" s="313"/>
      <c r="V25" s="313" t="str">
        <f>IF(AND('Mapa final'!$P$37="Alta",'Mapa final'!$S$37="Menor"),CONCATENATE("R",'Mapa final'!$A$37),"")</f>
        <v/>
      </c>
      <c r="W25" s="313"/>
      <c r="X25" s="330" t="str">
        <f>IF(AND('Mapa final'!$P$35="Alta",'Mapa final'!$S$35="Moderado"),CONCATENATE("R",'Mapa final'!$A$35),"")</f>
        <v/>
      </c>
      <c r="Y25" s="331"/>
      <c r="Z25" s="331" t="str">
        <f>IF(AND('Mapa final'!$P$36="Alta",'Mapa final'!$S$36="Moderado"),CONCATENATE("R",'Mapa final'!$A$36),"")</f>
        <v/>
      </c>
      <c r="AA25" s="331"/>
      <c r="AB25" s="331" t="str">
        <f>IF(AND('Mapa final'!$P$37="Alta",'Mapa final'!$S$37="Moderado"),CONCATENATE("R",'Mapa final'!$A$37),"")</f>
        <v/>
      </c>
      <c r="AC25" s="331"/>
      <c r="AD25" s="330" t="str">
        <f>IF(AND('Mapa final'!$P$35="Alta",'Mapa final'!$S$35="Mayor"),CONCATENATE("R",'Mapa final'!$A$35),"")</f>
        <v/>
      </c>
      <c r="AE25" s="331"/>
      <c r="AF25" s="331" t="str">
        <f>IF(AND('Mapa final'!$P$36="Alta",'Mapa final'!$S$36="Mayor"),CONCATENATE("R",'Mapa final'!$A$36),"")</f>
        <v/>
      </c>
      <c r="AG25" s="331"/>
      <c r="AH25" s="331" t="str">
        <f>IF(AND('Mapa final'!$P$37="Alta",'Mapa final'!$S$37="Mayor"),CONCATENATE("R",'Mapa final'!$A$37),"")</f>
        <v/>
      </c>
      <c r="AI25" s="331"/>
      <c r="AJ25" s="321" t="str">
        <f>IF(AND('Mapa final'!$P$35="Alta",'Mapa final'!$S$35="Catastrófico"),CONCATENATE("R",'Mapa final'!$A$35),"")</f>
        <v/>
      </c>
      <c r="AK25" s="322"/>
      <c r="AL25" s="322" t="str">
        <f>IF(AND('Mapa final'!$P$36="Alta",'Mapa final'!$S$36="Catastrófico"),CONCATENATE("R",'Mapa final'!$A$36),"")</f>
        <v/>
      </c>
      <c r="AM25" s="322"/>
      <c r="AN25" s="322" t="str">
        <f>IF(AND('Mapa final'!$P$37="Alta",'Mapa final'!$S$37="Catastrófico"),CONCATENATE("R",'Mapa final'!$A$37),"")</f>
        <v/>
      </c>
      <c r="AO25" s="323"/>
      <c r="AP25" s="68"/>
      <c r="AQ25" s="385"/>
      <c r="AR25" s="386"/>
      <c r="AS25" s="386"/>
      <c r="AT25" s="386"/>
      <c r="AU25" s="386"/>
      <c r="AV25" s="387"/>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x14ac:dyDescent="0.3">
      <c r="C26" s="68"/>
      <c r="D26" s="371"/>
      <c r="E26" s="371"/>
      <c r="F26" s="372"/>
      <c r="G26" s="346"/>
      <c r="H26" s="347"/>
      <c r="I26" s="347"/>
      <c r="J26" s="347"/>
      <c r="K26" s="347"/>
      <c r="L26" s="315"/>
      <c r="M26" s="316"/>
      <c r="N26" s="316"/>
      <c r="O26" s="316"/>
      <c r="P26" s="316"/>
      <c r="Q26" s="317"/>
      <c r="R26" s="315"/>
      <c r="S26" s="316"/>
      <c r="T26" s="313"/>
      <c r="U26" s="313"/>
      <c r="V26" s="313"/>
      <c r="W26" s="313"/>
      <c r="X26" s="330"/>
      <c r="Y26" s="331"/>
      <c r="Z26" s="331"/>
      <c r="AA26" s="331"/>
      <c r="AB26" s="331"/>
      <c r="AC26" s="331"/>
      <c r="AD26" s="330"/>
      <c r="AE26" s="331"/>
      <c r="AF26" s="331"/>
      <c r="AG26" s="331"/>
      <c r="AH26" s="331"/>
      <c r="AI26" s="331"/>
      <c r="AJ26" s="321"/>
      <c r="AK26" s="322"/>
      <c r="AL26" s="322"/>
      <c r="AM26" s="322"/>
      <c r="AN26" s="322"/>
      <c r="AO26" s="323"/>
      <c r="AP26" s="68"/>
      <c r="AQ26" s="388"/>
      <c r="AR26" s="389"/>
      <c r="AS26" s="389"/>
      <c r="AT26" s="389"/>
      <c r="AU26" s="389"/>
      <c r="AV26" s="390"/>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x14ac:dyDescent="0.25">
      <c r="C27" s="68"/>
      <c r="D27" s="371"/>
      <c r="E27" s="371"/>
      <c r="F27" s="372"/>
      <c r="G27" s="339" t="s">
        <v>262</v>
      </c>
      <c r="H27" s="341"/>
      <c r="I27" s="341"/>
      <c r="J27" s="341"/>
      <c r="K27" s="341"/>
      <c r="L27" s="318"/>
      <c r="M27" s="319"/>
      <c r="N27" s="319" t="str">
        <f>IF(AND('Mapa final'!$K$15="Media",'Mapa final'!$O$15="Leve"),CONCATENATE("R",'Mapa final'!$A$16),"")</f>
        <v/>
      </c>
      <c r="O27" s="319"/>
      <c r="P27" s="319" t="str">
        <f>IF(AND('Mapa final'!$K$17="Media",'Mapa final'!$O$17="Leve"),CONCATENATE("R",'Mapa final'!$A$17),"")</f>
        <v/>
      </c>
      <c r="Q27" s="320"/>
      <c r="R27" s="318"/>
      <c r="S27" s="319"/>
      <c r="T27" s="319" t="str">
        <f>IF(AND('Mapa final'!$P$15="Media",'Mapa final'!$S$15="Menor"),CONCATENATE("R",'Mapa final'!$A$16),"")</f>
        <v/>
      </c>
      <c r="U27" s="319"/>
      <c r="V27" s="319" t="str">
        <f>IF(AND('Mapa final'!$P$17="Media",'Mapa final'!$S$17="Menor"),CONCATENATE("R",'Mapa final'!$A$17),"")</f>
        <v/>
      </c>
      <c r="W27" s="319"/>
      <c r="X27" s="318"/>
      <c r="Y27" s="319"/>
      <c r="Z27" s="319" t="str">
        <f>IF(AND('Mapa final'!P$15="Media",'Mapa final'!$S$15="Moderado"),CONCATENATE("R",'Mapa final'!$A$16),"")</f>
        <v>R</v>
      </c>
      <c r="AA27" s="319"/>
      <c r="AB27" s="319" t="str">
        <f>IF(AND('Mapa final'!$P$17="Media",'Mapa final'!$S$17="Moderado"),CONCATENATE("R",'Mapa final'!$A$17),"")</f>
        <v/>
      </c>
      <c r="AC27" s="319"/>
      <c r="AD27" s="336"/>
      <c r="AE27" s="337"/>
      <c r="AF27" s="337" t="str">
        <f>IF(AND('Mapa final'!$P$15="Media",'Mapa final'!$S$15="Mayor"),CONCATENATE("R",'Mapa final'!$A$16),"")</f>
        <v/>
      </c>
      <c r="AG27" s="337"/>
      <c r="AH27" s="337" t="str">
        <f>IF(AND('Mapa final'!$P$17="Media",'Mapa final'!$S$17="Mayor"),CONCATENATE("R",'Mapa final'!$A$17),"")</f>
        <v>R</v>
      </c>
      <c r="AI27" s="337"/>
      <c r="AJ27" s="327"/>
      <c r="AK27" s="328"/>
      <c r="AL27" s="328" t="str">
        <f>IF(AND('Mapa final'!$P$15="Media",'Mapa final'!$S$15="Catastrófico"),CONCATENATE("R",'Mapa final'!$A$16),"")</f>
        <v/>
      </c>
      <c r="AM27" s="328"/>
      <c r="AN27" s="328" t="str">
        <f>IF(AND('Mapa final'!$P$17="Media",'Mapa final'!$S$17="Catastrófico"),CONCATENATE("R",'Mapa final'!$A$17),"")</f>
        <v/>
      </c>
      <c r="AO27" s="329"/>
      <c r="AP27" s="68"/>
      <c r="AQ27" s="391" t="s">
        <v>126</v>
      </c>
      <c r="AR27" s="392"/>
      <c r="AS27" s="392"/>
      <c r="AT27" s="392"/>
      <c r="AU27" s="392"/>
      <c r="AV27" s="393"/>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x14ac:dyDescent="0.25">
      <c r="C28" s="68"/>
      <c r="D28" s="371"/>
      <c r="E28" s="371"/>
      <c r="F28" s="372"/>
      <c r="G28" s="343"/>
      <c r="H28" s="344"/>
      <c r="I28" s="344"/>
      <c r="J28" s="344"/>
      <c r="K28" s="344"/>
      <c r="L28" s="312"/>
      <c r="M28" s="313"/>
      <c r="N28" s="313"/>
      <c r="O28" s="313"/>
      <c r="P28" s="313"/>
      <c r="Q28" s="314"/>
      <c r="R28" s="312"/>
      <c r="S28" s="313"/>
      <c r="T28" s="313"/>
      <c r="U28" s="313"/>
      <c r="V28" s="313"/>
      <c r="W28" s="313"/>
      <c r="X28" s="312"/>
      <c r="Y28" s="313"/>
      <c r="Z28" s="313"/>
      <c r="AA28" s="313"/>
      <c r="AB28" s="313"/>
      <c r="AC28" s="313"/>
      <c r="AD28" s="330"/>
      <c r="AE28" s="331"/>
      <c r="AF28" s="331"/>
      <c r="AG28" s="331"/>
      <c r="AH28" s="331"/>
      <c r="AI28" s="331"/>
      <c r="AJ28" s="321"/>
      <c r="AK28" s="322"/>
      <c r="AL28" s="322"/>
      <c r="AM28" s="322"/>
      <c r="AN28" s="322"/>
      <c r="AO28" s="323"/>
      <c r="AP28" s="68"/>
      <c r="AQ28" s="394"/>
      <c r="AR28" s="395"/>
      <c r="AS28" s="395"/>
      <c r="AT28" s="395"/>
      <c r="AU28" s="395"/>
      <c r="AV28" s="396"/>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x14ac:dyDescent="0.25">
      <c r="C29" s="68"/>
      <c r="D29" s="371"/>
      <c r="E29" s="371"/>
      <c r="F29" s="372"/>
      <c r="G29" s="343"/>
      <c r="H29" s="344"/>
      <c r="I29" s="344"/>
      <c r="J29" s="344"/>
      <c r="K29" s="344"/>
      <c r="L29" s="312" t="str">
        <f>IF(AND('Mapa final'!$P$20="Media",'Mapa final'!$S$20="Leve"),CONCATENATE("R",'Mapa final'!$A$20),"")</f>
        <v/>
      </c>
      <c r="M29" s="313"/>
      <c r="N29" s="313" t="str">
        <f>IF(AND('Mapa final'!$K$21="Media",'Mapa final'!$O$21="Leve"),CONCATENATE("R",'Mapa final'!$A$21),"")</f>
        <v/>
      </c>
      <c r="O29" s="313"/>
      <c r="P29" s="313" t="str">
        <f>IF(AND('Mapa final'!$K$23="Media",'Mapa final'!$O$23="Leve"),CONCATENATE("R",'Mapa final'!$A$23),"")</f>
        <v/>
      </c>
      <c r="Q29" s="314"/>
      <c r="R29" s="312" t="str">
        <f>IF(AND('Mapa final'!$P$20="Media",'Mapa final'!$S$20="Menor"),CONCATENATE("R",'Mapa final'!$A$20),"")</f>
        <v/>
      </c>
      <c r="S29" s="313"/>
      <c r="T29" s="313" t="str">
        <f>IF(AND('Mapa final'!$P$21="Media",'Mapa final'!$S$21="Menor"),CONCATENATE("R",'Mapa final'!$A$21),"")</f>
        <v/>
      </c>
      <c r="U29" s="313"/>
      <c r="V29" s="313" t="str">
        <f>IF(AND('Mapa final'!$P$23="Media",'Mapa final'!$S$23="Menor"),CONCATENATE("R",'Mapa final'!$A$23),"")</f>
        <v/>
      </c>
      <c r="W29" s="313"/>
      <c r="X29" s="312" t="str">
        <f>IF(AND('Mapa final'!$P$20="Media",'Mapa final'!$S$20="Moderado"),CONCATENATE("R",'Mapa final'!$A$20),"")</f>
        <v/>
      </c>
      <c r="Y29" s="313"/>
      <c r="Z29" s="313" t="str">
        <f>IF(AND('Mapa final'!$P$21="Media",'Mapa final'!$S$21="Moderado"),CONCATENATE("R",'Mapa final'!$A$21),"")</f>
        <v/>
      </c>
      <c r="AA29" s="313"/>
      <c r="AB29" s="313" t="str">
        <f>IF(AND('Mapa final'!$P$23="Media",'Mapa final'!$S$23="Moderado"),CONCATENATE("R",'Mapa final'!$A$23),"")</f>
        <v/>
      </c>
      <c r="AC29" s="313"/>
      <c r="AD29" s="330" t="str">
        <f>IF(AND('Mapa final'!$P$20="Media",'Mapa final'!$S$20="Mayor"),CONCATENATE("R",'Mapa final'!$A$20),"")</f>
        <v/>
      </c>
      <c r="AE29" s="331"/>
      <c r="AF29" s="331" t="str">
        <f>IF(AND('Mapa final'!$P$21="Media",'Mapa final'!$S$21="Mayor"),CONCATENATE("R",'Mapa final'!$A$21),"")</f>
        <v>R</v>
      </c>
      <c r="AG29" s="331"/>
      <c r="AH29" s="331" t="str">
        <f>IF(AND('Mapa final'!$P$23="Media",'Mapa final'!$S$23="Mayor"),CONCATENATE("R",'Mapa final'!$A$23),"")</f>
        <v/>
      </c>
      <c r="AI29" s="331"/>
      <c r="AJ29" s="321" t="str">
        <f>IF(AND('Mapa final'!$P$20="Media",'Mapa final'!$S$20="Catastrófico"),CONCATENATE("R",'Mapa final'!$A$20),"")</f>
        <v/>
      </c>
      <c r="AK29" s="322"/>
      <c r="AL29" s="322" t="str">
        <f>IF(AND('Mapa final'!$P$21="Media",'Mapa final'!$S$21="Catastrófico"),CONCATENATE("R",'Mapa final'!$A$21),"")</f>
        <v/>
      </c>
      <c r="AM29" s="322"/>
      <c r="AN29" s="322" t="str">
        <f>IF(AND('Mapa final'!$P$23="Media",'Mapa final'!$K$23="Catastrófico"),CONCATENATE("R",'Mapa final'!$A$23),"")</f>
        <v/>
      </c>
      <c r="AO29" s="323"/>
      <c r="AP29" s="68"/>
      <c r="AQ29" s="394"/>
      <c r="AR29" s="395"/>
      <c r="AS29" s="395"/>
      <c r="AT29" s="395"/>
      <c r="AU29" s="395"/>
      <c r="AV29" s="396"/>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x14ac:dyDescent="0.25">
      <c r="C30" s="68"/>
      <c r="D30" s="371"/>
      <c r="E30" s="371"/>
      <c r="F30" s="372"/>
      <c r="G30" s="343"/>
      <c r="H30" s="344"/>
      <c r="I30" s="344"/>
      <c r="J30" s="344"/>
      <c r="K30" s="344"/>
      <c r="L30" s="312"/>
      <c r="M30" s="313"/>
      <c r="N30" s="313"/>
      <c r="O30" s="313"/>
      <c r="P30" s="313"/>
      <c r="Q30" s="314"/>
      <c r="R30" s="312"/>
      <c r="S30" s="313"/>
      <c r="T30" s="313"/>
      <c r="U30" s="313"/>
      <c r="V30" s="313"/>
      <c r="W30" s="313"/>
      <c r="X30" s="312"/>
      <c r="Y30" s="313"/>
      <c r="Z30" s="313"/>
      <c r="AA30" s="313"/>
      <c r="AB30" s="313"/>
      <c r="AC30" s="313"/>
      <c r="AD30" s="330"/>
      <c r="AE30" s="331"/>
      <c r="AF30" s="331"/>
      <c r="AG30" s="331"/>
      <c r="AH30" s="331"/>
      <c r="AI30" s="331"/>
      <c r="AJ30" s="321"/>
      <c r="AK30" s="322"/>
      <c r="AL30" s="322"/>
      <c r="AM30" s="322"/>
      <c r="AN30" s="322"/>
      <c r="AO30" s="323"/>
      <c r="AP30" s="68"/>
      <c r="AQ30" s="394"/>
      <c r="AR30" s="395"/>
      <c r="AS30" s="395"/>
      <c r="AT30" s="395"/>
      <c r="AU30" s="395"/>
      <c r="AV30" s="396"/>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x14ac:dyDescent="0.25">
      <c r="C31" s="68"/>
      <c r="D31" s="371"/>
      <c r="E31" s="371"/>
      <c r="F31" s="372"/>
      <c r="G31" s="343"/>
      <c r="H31" s="344"/>
      <c r="I31" s="344"/>
      <c r="J31" s="344"/>
      <c r="K31" s="344"/>
      <c r="L31" s="312" t="str">
        <f>IF(AND('Mapa final'!$P$24="Media",'Mapa final'!$S$24="Leve"),CONCATENATE("R",'Mapa final'!$A$24),"")</f>
        <v/>
      </c>
      <c r="M31" s="313"/>
      <c r="N31" s="313" t="e">
        <f>IF(AND('Mapa final'!#REF!="Media",'Mapa final'!#REF!="Leve"),CONCATENATE("R",'Mapa final'!#REF!),"")</f>
        <v>#REF!</v>
      </c>
      <c r="O31" s="313"/>
      <c r="P31" s="313" t="str">
        <f>IF(AND('Mapa final'!$K$34="Media",'Mapa final'!$O$34="Leve"),CONCATENATE("R",'Mapa final'!$A$34),"")</f>
        <v/>
      </c>
      <c r="Q31" s="314"/>
      <c r="R31" s="312" t="str">
        <f>IF(AND('Mapa final'!$P$24="Media",'Mapa final'!$S$24="Menor"),CONCATENATE("R",'Mapa final'!$A$24),"")</f>
        <v/>
      </c>
      <c r="S31" s="313"/>
      <c r="T31" s="313" t="e">
        <f>IF(AND('Mapa final'!#REF!="Media",'Mapa final'!#REF!="Menor"),CONCATENATE("R",'Mapa final'!#REF!),"")</f>
        <v>#REF!</v>
      </c>
      <c r="U31" s="313"/>
      <c r="V31" s="313" t="str">
        <f>IF(AND('Mapa final'!$P$34="Media",'Mapa final'!$S$34="Menor"),CONCATENATE("R",'Mapa final'!$A$34),"")</f>
        <v/>
      </c>
      <c r="W31" s="313"/>
      <c r="X31" s="312" t="str">
        <f>IF(AND('Mapa final'!$P$24="Media",'Mapa final'!$S$24="Moderado"),CONCATENATE("R",'Mapa final'!$A$24),"")</f>
        <v/>
      </c>
      <c r="Y31" s="313"/>
      <c r="Z31" s="313" t="e">
        <f>IF(AND('Mapa final'!#REF!="Media",'Mapa final'!#REF!="Moderado"),CONCATENATE("R",'Mapa final'!#REF!),"")</f>
        <v>#REF!</v>
      </c>
      <c r="AA31" s="313"/>
      <c r="AB31" s="313" t="str">
        <f>IF(AND('Mapa final'!$P$34="Media",'Mapa final'!$S$34="Moderado"),CONCATENATE("R",'Mapa final'!$A$34),"")</f>
        <v/>
      </c>
      <c r="AC31" s="313"/>
      <c r="AD31" s="330" t="str">
        <f>IF(AND('Mapa final'!$P$24="Media",'Mapa final'!$S$24="Mayor"),CONCATENATE("R",'Mapa final'!$A$24),"")</f>
        <v/>
      </c>
      <c r="AE31" s="331"/>
      <c r="AF31" s="331" t="e">
        <f>IF(AND('Mapa final'!#REF!="Media",'Mapa final'!#REF!="Mayor"),CONCATENATE("R",'Mapa final'!#REF!),"")</f>
        <v>#REF!</v>
      </c>
      <c r="AG31" s="331"/>
      <c r="AH31" s="331" t="str">
        <f>IF(AND('Mapa final'!$P$34="Media",'Mapa final'!$S$34="Mayor"),CONCATENATE("R",'Mapa final'!$A$34),"")</f>
        <v/>
      </c>
      <c r="AI31" s="331"/>
      <c r="AJ31" s="321" t="str">
        <f>IF(AND('Mapa final'!$P$24="Media",'Mapa final'!$S$24="Catastrófico"),CONCATENATE("R",'Mapa final'!$A$24),"")</f>
        <v/>
      </c>
      <c r="AK31" s="322"/>
      <c r="AL31" s="322" t="e">
        <f>IF(AND('Mapa final'!#REF!="Media",'Mapa final'!#REF!="Catastrófico"),CONCATENATE("R",'Mapa final'!#REF!),"")</f>
        <v>#REF!</v>
      </c>
      <c r="AM31" s="322"/>
      <c r="AN31" s="322" t="str">
        <f>IF(AND('Mapa final'!$P$34="Media",'Mapa final'!$S$34="Catastrófico"),CONCATENATE("R",'Mapa final'!$A$34),"")</f>
        <v/>
      </c>
      <c r="AO31" s="323"/>
      <c r="AP31" s="68"/>
      <c r="AQ31" s="394"/>
      <c r="AR31" s="395"/>
      <c r="AS31" s="395"/>
      <c r="AT31" s="395"/>
      <c r="AU31" s="395"/>
      <c r="AV31" s="396"/>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x14ac:dyDescent="0.25">
      <c r="C32" s="68"/>
      <c r="D32" s="371"/>
      <c r="E32" s="371"/>
      <c r="F32" s="372"/>
      <c r="G32" s="343"/>
      <c r="H32" s="344"/>
      <c r="I32" s="344"/>
      <c r="J32" s="344"/>
      <c r="K32" s="344"/>
      <c r="L32" s="312"/>
      <c r="M32" s="313"/>
      <c r="N32" s="313"/>
      <c r="O32" s="313"/>
      <c r="P32" s="313"/>
      <c r="Q32" s="314"/>
      <c r="R32" s="312"/>
      <c r="S32" s="313"/>
      <c r="T32" s="313"/>
      <c r="U32" s="313"/>
      <c r="V32" s="313"/>
      <c r="W32" s="313"/>
      <c r="X32" s="312"/>
      <c r="Y32" s="313"/>
      <c r="Z32" s="313"/>
      <c r="AA32" s="313"/>
      <c r="AB32" s="313"/>
      <c r="AC32" s="313"/>
      <c r="AD32" s="330"/>
      <c r="AE32" s="331"/>
      <c r="AF32" s="331"/>
      <c r="AG32" s="331"/>
      <c r="AH32" s="331"/>
      <c r="AI32" s="331"/>
      <c r="AJ32" s="321"/>
      <c r="AK32" s="322"/>
      <c r="AL32" s="322"/>
      <c r="AM32" s="322"/>
      <c r="AN32" s="322"/>
      <c r="AO32" s="323"/>
      <c r="AP32" s="68"/>
      <c r="AQ32" s="394"/>
      <c r="AR32" s="395"/>
      <c r="AS32" s="395"/>
      <c r="AT32" s="395"/>
      <c r="AU32" s="395"/>
      <c r="AV32" s="396"/>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x14ac:dyDescent="0.25">
      <c r="C33" s="68"/>
      <c r="D33" s="371"/>
      <c r="E33" s="371"/>
      <c r="F33" s="372"/>
      <c r="G33" s="343"/>
      <c r="H33" s="344"/>
      <c r="I33" s="344"/>
      <c r="J33" s="344"/>
      <c r="K33" s="344"/>
      <c r="L33" s="312" t="str">
        <f>IF(AND('Mapa final'!$P$35="Mediaa",'Mapa final'!$S$35="Leve"),CONCATENATE("R",'Mapa final'!$A$35),"")</f>
        <v/>
      </c>
      <c r="M33" s="313"/>
      <c r="N33" s="313" t="str">
        <f>IF(AND('Mapa final'!$K$36="Media",'Mapa final'!$O$36="Leve"),CONCATENATE("R",'Mapa final'!$A$36),"")</f>
        <v/>
      </c>
      <c r="O33" s="313"/>
      <c r="P33" s="313" t="str">
        <f>IF(AND('Mapa final'!$K$37="Media",'Mapa final'!$O$37="Leve"),CONCATENATE("R",'Mapa final'!$A$37),"")</f>
        <v/>
      </c>
      <c r="Q33" s="314"/>
      <c r="R33" s="312" t="str">
        <f>IF(AND('Mapa final'!$P$35="Media",'Mapa final'!$S$35="Menor"),CONCATENATE("R",'Mapa final'!$A$35),"")</f>
        <v/>
      </c>
      <c r="S33" s="313"/>
      <c r="T33" s="313" t="str">
        <f>IF(AND('Mapa final'!$P$36="Media",'Mapa final'!$S$36="Menor"),CONCATENATE("R",'Mapa final'!$A$36),"")</f>
        <v/>
      </c>
      <c r="U33" s="313"/>
      <c r="V33" s="313" t="str">
        <f>IF(AND('Mapa final'!$P$37="Media",'Mapa final'!$S$37="Menor"),CONCATENATE("R",'Mapa final'!$A$37),"")</f>
        <v/>
      </c>
      <c r="W33" s="313"/>
      <c r="X33" s="312" t="str">
        <f>IF(AND('Mapa final'!$P$35="Media",'Mapa final'!$S$35="Moderado"),CONCATENATE("R",'Mapa final'!$A$35),"")</f>
        <v/>
      </c>
      <c r="Y33" s="313"/>
      <c r="Z33" s="313" t="str">
        <f>IF(AND('Mapa final'!$P$36="Media",'Mapa final'!$S$36="Moderado"),CONCATENATE("R",'Mapa final'!$A$36),"")</f>
        <v/>
      </c>
      <c r="AA33" s="313"/>
      <c r="AB33" s="313" t="str">
        <f>IF(AND('Mapa final'!$P$37="Media",'Mapa final'!$S$37="Moderado"),CONCATENATE("R",'Mapa final'!$A$37),"")</f>
        <v/>
      </c>
      <c r="AC33" s="313"/>
      <c r="AD33" s="330" t="str">
        <f>IF(AND('Mapa final'!$P$35="Media",'Mapa final'!$S$35="Mayor"),CONCATENATE("R",'Mapa final'!$A$35),"")</f>
        <v/>
      </c>
      <c r="AE33" s="331"/>
      <c r="AF33" s="331" t="str">
        <f>IF(AND('Mapa final'!$P$36="Media",'Mapa final'!$S$36="Mayor"),CONCATENATE("R",'Mapa final'!$A$36),"")</f>
        <v/>
      </c>
      <c r="AG33" s="331"/>
      <c r="AH33" s="331" t="str">
        <f>IF(AND('Mapa final'!$P$37="Media",'Mapa final'!$S$37="Mayor"),CONCATENATE("R",'Mapa final'!$A$37),"")</f>
        <v/>
      </c>
      <c r="AI33" s="331"/>
      <c r="AJ33" s="321" t="str">
        <f>IF(AND('Mapa final'!$P$35="Media",'Mapa final'!$S$35="Catastrófico"),CONCATENATE("R",'Mapa final'!$A$35),"")</f>
        <v/>
      </c>
      <c r="AK33" s="322"/>
      <c r="AL33" s="322" t="str">
        <f>IF(AND('Mapa final'!$P$36="Media",'Mapa final'!$S$36="Catastrófico"),CONCATENATE("R",'Mapa final'!$A$36),"")</f>
        <v/>
      </c>
      <c r="AM33" s="322"/>
      <c r="AN33" s="322" t="str">
        <f>IF(AND('Mapa final'!$P$37="Media",'Mapa final'!$S$37="Catastrófico"),CONCATENATE("R",'Mapa final'!$A$37),"")</f>
        <v/>
      </c>
      <c r="AO33" s="323"/>
      <c r="AP33" s="68"/>
      <c r="AQ33" s="394"/>
      <c r="AR33" s="395"/>
      <c r="AS33" s="395"/>
      <c r="AT33" s="395"/>
      <c r="AU33" s="395"/>
      <c r="AV33" s="396"/>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x14ac:dyDescent="0.3">
      <c r="C34" s="68"/>
      <c r="D34" s="371"/>
      <c r="E34" s="371"/>
      <c r="F34" s="372"/>
      <c r="G34" s="346"/>
      <c r="H34" s="347"/>
      <c r="I34" s="347"/>
      <c r="J34" s="347"/>
      <c r="K34" s="347"/>
      <c r="L34" s="315"/>
      <c r="M34" s="316"/>
      <c r="N34" s="316"/>
      <c r="O34" s="316"/>
      <c r="P34" s="316"/>
      <c r="Q34" s="317"/>
      <c r="R34" s="315"/>
      <c r="S34" s="316"/>
      <c r="T34" s="316"/>
      <c r="U34" s="316"/>
      <c r="V34" s="316"/>
      <c r="W34" s="316"/>
      <c r="X34" s="315"/>
      <c r="Y34" s="316"/>
      <c r="Z34" s="316"/>
      <c r="AA34" s="316"/>
      <c r="AB34" s="316"/>
      <c r="AC34" s="316"/>
      <c r="AD34" s="333"/>
      <c r="AE34" s="334"/>
      <c r="AF34" s="334"/>
      <c r="AG34" s="334"/>
      <c r="AH34" s="334"/>
      <c r="AI34" s="334"/>
      <c r="AJ34" s="321"/>
      <c r="AK34" s="322"/>
      <c r="AL34" s="322"/>
      <c r="AM34" s="322"/>
      <c r="AN34" s="322"/>
      <c r="AO34" s="323"/>
      <c r="AP34" s="68"/>
      <c r="AQ34" s="397"/>
      <c r="AR34" s="398"/>
      <c r="AS34" s="398"/>
      <c r="AT34" s="398"/>
      <c r="AU34" s="398"/>
      <c r="AV34" s="399"/>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x14ac:dyDescent="0.25">
      <c r="C35" s="68"/>
      <c r="D35" s="371"/>
      <c r="E35" s="371"/>
      <c r="F35" s="372"/>
      <c r="G35" s="339" t="s">
        <v>263</v>
      </c>
      <c r="H35" s="341"/>
      <c r="I35" s="341"/>
      <c r="J35" s="341"/>
      <c r="K35" s="341"/>
      <c r="L35" s="308"/>
      <c r="M35" s="309"/>
      <c r="N35" s="309" t="str">
        <f>IF(AND('Mapa final'!$K$15="Baja",'Mapa final'!$O$15="Leve"),CONCATENATE("R",'Mapa final'!$A$16),"")</f>
        <v/>
      </c>
      <c r="O35" s="309"/>
      <c r="P35" s="309" t="str">
        <f>IF(AND('Mapa final'!$K$17="Baja",'Mapa final'!$O$17="Leve"),CONCATENATE("R",'Mapa final'!$A$17),"")</f>
        <v/>
      </c>
      <c r="Q35" s="310"/>
      <c r="R35" s="318"/>
      <c r="S35" s="319"/>
      <c r="T35" s="313" t="str">
        <f>IF(AND('Mapa final'!$P$15="Baja",'Mapa final'!$S$15="Menor"),CONCATENATE("R",'Mapa final'!$A$16),"")</f>
        <v/>
      </c>
      <c r="U35" s="313"/>
      <c r="V35" s="313" t="str">
        <f>IF(AND('Mapa final'!$P$17="Baja",'Mapa final'!$S$17="Menor"),CONCATENATE("R",'Mapa final'!$A$17),"")</f>
        <v/>
      </c>
      <c r="W35" s="314"/>
      <c r="X35" s="312"/>
      <c r="Y35" s="313"/>
      <c r="Z35" s="313" t="str">
        <f>IF(AND('Mapa final'!P$15="Baja",'Mapa final'!$S$15="Moderado"),CONCATENATE("R",'Mapa final'!$A$16),"")</f>
        <v/>
      </c>
      <c r="AA35" s="313"/>
      <c r="AB35" s="313" t="str">
        <f>IF(AND('Mapa final'!$P$17="Baja",'Mapa final'!$S$17="Moderado"),CONCATENATE("R",'Mapa final'!$A$17),"")</f>
        <v/>
      </c>
      <c r="AC35" s="314"/>
      <c r="AD35" s="330"/>
      <c r="AE35" s="331"/>
      <c r="AF35" s="331" t="str">
        <f>IF(AND('Mapa final'!$P$15="Baja",'Mapa final'!$S$15="Mayor"),CONCATENATE("R",'Mapa final'!$A$16),"")</f>
        <v/>
      </c>
      <c r="AG35" s="331"/>
      <c r="AH35" s="331" t="str">
        <f>IF(AND('Mapa final'!$P$17="Baja",'Mapa final'!$S$17="Mayor"),CONCATENATE("R",'Mapa final'!$A$17),"")</f>
        <v/>
      </c>
      <c r="AI35" s="331"/>
      <c r="AJ35" s="327"/>
      <c r="AK35" s="328"/>
      <c r="AL35" s="328" t="str">
        <f>IF(AND('Mapa final'!$P$15="Baja",'Mapa final'!$S$15="Catastrófico"),CONCATENATE("R",'Mapa final'!$A$16),"")</f>
        <v/>
      </c>
      <c r="AM35" s="328"/>
      <c r="AN35" s="328" t="str">
        <f>IF(AND('Mapa final'!$P$17="Baja",'Mapa final'!$S$17="Catastrófico"),CONCATENATE("R",'Mapa final'!$A$17),"")</f>
        <v/>
      </c>
      <c r="AO35" s="329"/>
      <c r="AP35" s="68"/>
      <c r="AQ35" s="400" t="s">
        <v>264</v>
      </c>
      <c r="AR35" s="401"/>
      <c r="AS35" s="401"/>
      <c r="AT35" s="401"/>
      <c r="AU35" s="401"/>
      <c r="AV35" s="402"/>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x14ac:dyDescent="0.25">
      <c r="C36" s="68"/>
      <c r="D36" s="371"/>
      <c r="E36" s="371"/>
      <c r="F36" s="372"/>
      <c r="G36" s="343"/>
      <c r="H36" s="344"/>
      <c r="I36" s="344"/>
      <c r="J36" s="344"/>
      <c r="K36" s="344"/>
      <c r="L36" s="303"/>
      <c r="M36" s="304"/>
      <c r="N36" s="304"/>
      <c r="O36" s="304"/>
      <c r="P36" s="304"/>
      <c r="Q36" s="305"/>
      <c r="R36" s="312"/>
      <c r="S36" s="313"/>
      <c r="T36" s="313"/>
      <c r="U36" s="313"/>
      <c r="V36" s="313"/>
      <c r="W36" s="314"/>
      <c r="X36" s="312"/>
      <c r="Y36" s="313"/>
      <c r="Z36" s="313"/>
      <c r="AA36" s="313"/>
      <c r="AB36" s="313"/>
      <c r="AC36" s="314"/>
      <c r="AD36" s="330"/>
      <c r="AE36" s="331"/>
      <c r="AF36" s="331"/>
      <c r="AG36" s="331"/>
      <c r="AH36" s="331"/>
      <c r="AI36" s="331"/>
      <c r="AJ36" s="321"/>
      <c r="AK36" s="322"/>
      <c r="AL36" s="322"/>
      <c r="AM36" s="322"/>
      <c r="AN36" s="322"/>
      <c r="AO36" s="323"/>
      <c r="AP36" s="68"/>
      <c r="AQ36" s="403"/>
      <c r="AR36" s="404"/>
      <c r="AS36" s="404"/>
      <c r="AT36" s="404"/>
      <c r="AU36" s="404"/>
      <c r="AV36" s="405"/>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x14ac:dyDescent="0.25">
      <c r="C37" s="68"/>
      <c r="D37" s="371"/>
      <c r="E37" s="371"/>
      <c r="F37" s="372"/>
      <c r="G37" s="343"/>
      <c r="H37" s="344"/>
      <c r="I37" s="344"/>
      <c r="J37" s="344"/>
      <c r="K37" s="344"/>
      <c r="L37" s="303" t="str">
        <f>IF(AND('Mapa final'!$P$20="Baja",'Mapa final'!$S$20="Leve"),CONCATENATE("R",'Mapa final'!$A$20),"")</f>
        <v/>
      </c>
      <c r="M37" s="304"/>
      <c r="N37" s="304" t="str">
        <f>IF(AND('Mapa final'!$K$21="Baja",'Mapa final'!$O$21="Leve"),CONCATENATE("R",'Mapa final'!$A$21),"")</f>
        <v/>
      </c>
      <c r="O37" s="304"/>
      <c r="P37" s="304" t="str">
        <f>IF(AND('Mapa final'!$K$23="Baja",'Mapa final'!$O$23="Leve"),CONCATENATE("R",'Mapa final'!$A$23),"")</f>
        <v/>
      </c>
      <c r="Q37" s="305"/>
      <c r="R37" s="312" t="str">
        <f>IF(AND('Mapa final'!$P$20="Baja",'Mapa final'!$S$20="Menor"),CONCATENATE("R",'Mapa final'!$A$20),"")</f>
        <v/>
      </c>
      <c r="S37" s="313"/>
      <c r="T37" s="313" t="str">
        <f>IF(AND('Mapa final'!$P$21="Baja",'Mapa final'!$S$21="Menor"),CONCATENATE("R",'Mapa final'!$A$21),"")</f>
        <v/>
      </c>
      <c r="U37" s="313"/>
      <c r="V37" s="313" t="str">
        <f>IF(AND('Mapa final'!$P$23="Baja",'Mapa final'!$S$23="Menor"),CONCATENATE("R",'Mapa final'!$A$23),"")</f>
        <v/>
      </c>
      <c r="W37" s="314"/>
      <c r="X37" s="312" t="str">
        <f>IF(AND('Mapa final'!$P$20="Baja",'Mapa final'!$S$20="Moderado"),CONCATENATE("R",'Mapa final'!$D$19),"")</f>
        <v/>
      </c>
      <c r="Y37" s="313"/>
      <c r="Z37" s="313" t="str">
        <f>IF(AND('Mapa final'!$P$21="Baja",'Mapa final'!$S$21="Moderado"),CONCATENATE("R",'Mapa final'!$A$21),"")</f>
        <v/>
      </c>
      <c r="AA37" s="313"/>
      <c r="AB37" s="313" t="str">
        <f>IF(AND('Mapa final'!$P$23="Baja",'Mapa final'!$S$23="Moderado"),CONCATENATE("R",'Mapa final'!$A$23),"")</f>
        <v/>
      </c>
      <c r="AC37" s="314"/>
      <c r="AD37" s="330" t="str">
        <f>IF(AND('Mapa final'!$P$20="Baja",'Mapa final'!$S$20="Mayor"),CONCATENATE("R",'Mapa final'!$A$20),"")</f>
        <v/>
      </c>
      <c r="AE37" s="331"/>
      <c r="AF37" s="331" t="str">
        <f>IF(AND('Mapa final'!$P$21="Baja",'Mapa final'!$S$21="Mayor"),CONCATENATE("R",'Mapa final'!$A$21),"")</f>
        <v/>
      </c>
      <c r="AG37" s="331"/>
      <c r="AH37" s="331" t="str">
        <f>IF(AND('Mapa final'!$P$23="Baja",'Mapa final'!$S$23="Mayor"),CONCATENATE("R",'Mapa final'!$A$23),"")</f>
        <v/>
      </c>
      <c r="AI37" s="331"/>
      <c r="AJ37" s="321" t="str">
        <f>IF(AND('Mapa final'!$P$20="Baja",'Mapa final'!$S$20="Catastrófico"),CONCATENATE("R",'Mapa final'!$A$20),"")</f>
        <v/>
      </c>
      <c r="AK37" s="322"/>
      <c r="AL37" s="322" t="str">
        <f>IF(AND('Mapa final'!$P$21="Baja",'Mapa final'!$S$21="Catastrófico"),CONCATENATE("R",'Mapa final'!$A$21),"")</f>
        <v/>
      </c>
      <c r="AM37" s="322"/>
      <c r="AN37" s="322" t="str">
        <f>IF(AND('Mapa final'!$P$23="Baja",'Mapa final'!$K$23="Catastrófico"),CONCATENATE("R",'Mapa final'!$A$23),"")</f>
        <v/>
      </c>
      <c r="AO37" s="323"/>
      <c r="AP37" s="68"/>
      <c r="AQ37" s="403"/>
      <c r="AR37" s="404"/>
      <c r="AS37" s="404"/>
      <c r="AT37" s="404"/>
      <c r="AU37" s="404"/>
      <c r="AV37" s="405"/>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x14ac:dyDescent="0.25">
      <c r="C38" s="68"/>
      <c r="D38" s="371"/>
      <c r="E38" s="371"/>
      <c r="F38" s="372"/>
      <c r="G38" s="343"/>
      <c r="H38" s="344"/>
      <c r="I38" s="344"/>
      <c r="J38" s="344"/>
      <c r="K38" s="344"/>
      <c r="L38" s="303"/>
      <c r="M38" s="304"/>
      <c r="N38" s="304"/>
      <c r="O38" s="304"/>
      <c r="P38" s="304"/>
      <c r="Q38" s="305"/>
      <c r="R38" s="312"/>
      <c r="S38" s="313"/>
      <c r="T38" s="313"/>
      <c r="U38" s="313"/>
      <c r="V38" s="313"/>
      <c r="W38" s="314"/>
      <c r="X38" s="312"/>
      <c r="Y38" s="313"/>
      <c r="Z38" s="313"/>
      <c r="AA38" s="313"/>
      <c r="AB38" s="313"/>
      <c r="AC38" s="314"/>
      <c r="AD38" s="330"/>
      <c r="AE38" s="331"/>
      <c r="AF38" s="331"/>
      <c r="AG38" s="331"/>
      <c r="AH38" s="331"/>
      <c r="AI38" s="331"/>
      <c r="AJ38" s="321"/>
      <c r="AK38" s="322"/>
      <c r="AL38" s="322"/>
      <c r="AM38" s="322"/>
      <c r="AN38" s="322"/>
      <c r="AO38" s="323"/>
      <c r="AP38" s="68"/>
      <c r="AQ38" s="403"/>
      <c r="AR38" s="404"/>
      <c r="AS38" s="404"/>
      <c r="AT38" s="404"/>
      <c r="AU38" s="404"/>
      <c r="AV38" s="405"/>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x14ac:dyDescent="0.25">
      <c r="C39" s="68"/>
      <c r="D39" s="371"/>
      <c r="E39" s="371"/>
      <c r="F39" s="372"/>
      <c r="G39" s="343"/>
      <c r="H39" s="344"/>
      <c r="I39" s="344"/>
      <c r="J39" s="344"/>
      <c r="K39" s="344"/>
      <c r="L39" s="303" t="str">
        <f>IF(AND('Mapa final'!$P$24="Baja",'Mapa final'!$S$24="Leve"),CONCATENATE("R",'Mapa final'!$A$24),"")</f>
        <v/>
      </c>
      <c r="M39" s="304"/>
      <c r="N39" s="304" t="e">
        <f>IF(AND('Mapa final'!#REF!="Baja",'Mapa final'!#REF!="Leve"),CONCATENATE("R",'Mapa final'!#REF!),"")</f>
        <v>#REF!</v>
      </c>
      <c r="O39" s="304"/>
      <c r="P39" s="304" t="str">
        <f>IF(AND('Mapa final'!$K$34="Baja",'Mapa final'!$O$34="Leve"),CONCATENATE("R",'Mapa final'!$A$34),"")</f>
        <v/>
      </c>
      <c r="Q39" s="305"/>
      <c r="R39" s="312" t="str">
        <f>IF(AND('Mapa final'!$P$24="Baja",'Mapa final'!$S$24="Menor"),CONCATENATE("R",'Mapa final'!$A$24),"")</f>
        <v/>
      </c>
      <c r="S39" s="313"/>
      <c r="T39" s="313" t="e">
        <f>IF(AND('Mapa final'!#REF!="Baja",'Mapa final'!#REF!="Menor"),CONCATENATE("R",'Mapa final'!#REF!),"")</f>
        <v>#REF!</v>
      </c>
      <c r="U39" s="313"/>
      <c r="V39" s="313" t="str">
        <f>IF(AND('Mapa final'!$P$34="Baja",'Mapa final'!$S$34="Menor"),CONCATENATE("R",'Mapa final'!$A$34),"")</f>
        <v/>
      </c>
      <c r="W39" s="314"/>
      <c r="X39" s="312" t="str">
        <f>IF(AND('Mapa final'!$P$24="Baja",'Mapa final'!$S$24="Moderado"),CONCATENATE("R",'Mapa final'!$A$24),"")</f>
        <v/>
      </c>
      <c r="Y39" s="313"/>
      <c r="Z39" s="313" t="e">
        <f>IF(AND('Mapa final'!#REF!="Baja",'Mapa final'!#REF!="Moderado"),CONCATENATE("R",'Mapa final'!#REF!),"")</f>
        <v>#REF!</v>
      </c>
      <c r="AA39" s="313"/>
      <c r="AB39" s="313" t="str">
        <f>IF(AND('Mapa final'!$P$34="Baja",'Mapa final'!$S$34="Moderado"),CONCATENATE("R",'Mapa final'!$A$34),"")</f>
        <v/>
      </c>
      <c r="AC39" s="314"/>
      <c r="AD39" s="330" t="str">
        <f>IF(AND('Mapa final'!$P$24="Baja",'Mapa final'!$S$24="Mayor"),CONCATENATE("R",'Mapa final'!$A$24),"")</f>
        <v/>
      </c>
      <c r="AE39" s="331"/>
      <c r="AF39" s="331" t="e">
        <f>IF(AND('Mapa final'!#REF!="Baja",'Mapa final'!#REF!="Mayor"),CONCATENATE("R",'Mapa final'!#REF!),"")</f>
        <v>#REF!</v>
      </c>
      <c r="AG39" s="331"/>
      <c r="AH39" s="331" t="str">
        <f>IF(AND('Mapa final'!$P$34="Baja",'Mapa final'!$S$34="Mayor"),CONCATENATE("R",'Mapa final'!$A$34),"")</f>
        <v/>
      </c>
      <c r="AI39" s="331"/>
      <c r="AJ39" s="321" t="str">
        <f>IF(AND('Mapa final'!$P$24="Baja",'Mapa final'!$S$24="Catastrófico"),CONCATENATE("R",'Mapa final'!$A$24),"")</f>
        <v/>
      </c>
      <c r="AK39" s="322"/>
      <c r="AL39" s="322" t="e">
        <f>IF(AND('Mapa final'!#REF!="Baja",'Mapa final'!#REF!="Catastrófico"),CONCATENATE("R",'Mapa final'!#REF!),"")</f>
        <v>#REF!</v>
      </c>
      <c r="AM39" s="322"/>
      <c r="AN39" s="322" t="str">
        <f>IF(AND('Mapa final'!$P$34="Baja",'Mapa final'!$S$34="Catastrófico"),CONCATENATE("R",'Mapa final'!$A$34),"")</f>
        <v/>
      </c>
      <c r="AO39" s="323"/>
      <c r="AP39" s="68"/>
      <c r="AQ39" s="403"/>
      <c r="AR39" s="404"/>
      <c r="AS39" s="404"/>
      <c r="AT39" s="404"/>
      <c r="AU39" s="404"/>
      <c r="AV39" s="405"/>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x14ac:dyDescent="0.25">
      <c r="C40" s="68"/>
      <c r="D40" s="371"/>
      <c r="E40" s="371"/>
      <c r="F40" s="372"/>
      <c r="G40" s="343"/>
      <c r="H40" s="344"/>
      <c r="I40" s="344"/>
      <c r="J40" s="344"/>
      <c r="K40" s="344"/>
      <c r="L40" s="303"/>
      <c r="M40" s="304"/>
      <c r="N40" s="304"/>
      <c r="O40" s="304"/>
      <c r="P40" s="304"/>
      <c r="Q40" s="305"/>
      <c r="R40" s="312"/>
      <c r="S40" s="313"/>
      <c r="T40" s="313"/>
      <c r="U40" s="313"/>
      <c r="V40" s="313"/>
      <c r="W40" s="314"/>
      <c r="X40" s="312"/>
      <c r="Y40" s="313"/>
      <c r="Z40" s="313"/>
      <c r="AA40" s="313"/>
      <c r="AB40" s="313"/>
      <c r="AC40" s="314"/>
      <c r="AD40" s="330"/>
      <c r="AE40" s="331"/>
      <c r="AF40" s="331"/>
      <c r="AG40" s="331"/>
      <c r="AH40" s="331"/>
      <c r="AI40" s="331"/>
      <c r="AJ40" s="321"/>
      <c r="AK40" s="322"/>
      <c r="AL40" s="322"/>
      <c r="AM40" s="322"/>
      <c r="AN40" s="322"/>
      <c r="AO40" s="323"/>
      <c r="AP40" s="68"/>
      <c r="AQ40" s="403"/>
      <c r="AR40" s="404"/>
      <c r="AS40" s="404"/>
      <c r="AT40" s="404"/>
      <c r="AU40" s="404"/>
      <c r="AV40" s="405"/>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x14ac:dyDescent="0.25">
      <c r="C41" s="68"/>
      <c r="D41" s="371"/>
      <c r="E41" s="371"/>
      <c r="F41" s="372"/>
      <c r="G41" s="343"/>
      <c r="H41" s="344"/>
      <c r="I41" s="344"/>
      <c r="J41" s="344"/>
      <c r="K41" s="344"/>
      <c r="L41" s="303" t="str">
        <f>IF(AND('Mapa final'!$P$35="Baja",'Mapa final'!$S$35="Leve"),CONCATENATE("R",'Mapa final'!$A$35),"")</f>
        <v/>
      </c>
      <c r="M41" s="304"/>
      <c r="N41" s="304" t="str">
        <f>IF(AND('Mapa final'!$K$36="Baja",'Mapa final'!$O$36="Leve"),CONCATENATE("R",'Mapa final'!$A$36),"")</f>
        <v/>
      </c>
      <c r="O41" s="304"/>
      <c r="P41" s="304" t="str">
        <f>IF(AND('Mapa final'!$K$37="Baja",'Mapa final'!$O$37="Leve"),CONCATENATE("R",'Mapa final'!$A$37),"")</f>
        <v/>
      </c>
      <c r="Q41" s="305"/>
      <c r="R41" s="312" t="str">
        <f>IF(AND('Mapa final'!$P$35="Baja",'Mapa final'!$S$35="Menor"),CONCATENATE("R",'Mapa final'!$A$35),"")</f>
        <v/>
      </c>
      <c r="S41" s="313"/>
      <c r="T41" s="313" t="str">
        <f>IF(AND('Mapa final'!$P$36="Baja",'Mapa final'!$S$36="Menor"),CONCATENATE("R",'Mapa final'!$A$36),"")</f>
        <v/>
      </c>
      <c r="U41" s="313"/>
      <c r="V41" s="313" t="str">
        <f>IF(AND('Mapa final'!$P$37="Baja",'Mapa final'!$S$37="Menor"),CONCATENATE("R",'Mapa final'!$A$37),"")</f>
        <v/>
      </c>
      <c r="W41" s="314"/>
      <c r="X41" s="312" t="str">
        <f>IF(AND('Mapa final'!$P$35="Baja",'Mapa final'!$S$35="Moderado"),CONCATENATE("R",'Mapa final'!$A$35),"")</f>
        <v/>
      </c>
      <c r="Y41" s="313"/>
      <c r="Z41" s="313" t="str">
        <f>IF(AND('Mapa final'!$P$36="Baja",'Mapa final'!$S$36="Moderado"),CONCATENATE("R",'Mapa final'!$A$36),"")</f>
        <v/>
      </c>
      <c r="AA41" s="313"/>
      <c r="AB41" s="313" t="str">
        <f>IF(AND('Mapa final'!$P$37="Baja",'Mapa final'!$S$37="Moderado"),CONCATENATE("R",'Mapa final'!$A$37),"")</f>
        <v/>
      </c>
      <c r="AC41" s="314"/>
      <c r="AD41" s="330" t="str">
        <f>IF(AND('Mapa final'!$P$35="Baja",'Mapa final'!$S$35="Mayor"),CONCATENATE("R",'Mapa final'!$A$35),"")</f>
        <v/>
      </c>
      <c r="AE41" s="331"/>
      <c r="AF41" s="331" t="str">
        <f>IF(AND('Mapa final'!$P$36="Baja",'Mapa final'!$S$36="Mayor"),CONCATENATE("R",'Mapa final'!$A$36),"")</f>
        <v/>
      </c>
      <c r="AG41" s="331"/>
      <c r="AH41" s="331" t="str">
        <f>IF(AND('Mapa final'!$P$37="Baja",'Mapa final'!$S$37="Mayor"),CONCATENATE("R",'Mapa final'!$A$37),"")</f>
        <v/>
      </c>
      <c r="AI41" s="331"/>
      <c r="AJ41" s="321" t="str">
        <f>IF(AND('Mapa final'!$P$35="Baja",'Mapa final'!$S$35="Catastrófico"),CONCATENATE("R",'Mapa final'!$A$35),"")</f>
        <v/>
      </c>
      <c r="AK41" s="322"/>
      <c r="AL41" s="322" t="str">
        <f>IF(AND('Mapa final'!$P$36="Baja",'Mapa final'!$S$36="Catastrófico"),CONCATENATE("R",'Mapa final'!$A$36),"")</f>
        <v/>
      </c>
      <c r="AM41" s="322"/>
      <c r="AN41" s="322" t="str">
        <f>IF(AND('Mapa final'!$P$37="Baja",'Mapa final'!$S$37="Catastrófico"),CONCATENATE("R",'Mapa final'!$A$37),"")</f>
        <v/>
      </c>
      <c r="AO41" s="323"/>
      <c r="AP41" s="68"/>
      <c r="AQ41" s="403"/>
      <c r="AR41" s="404"/>
      <c r="AS41" s="404"/>
      <c r="AT41" s="404"/>
      <c r="AU41" s="404"/>
      <c r="AV41" s="405"/>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x14ac:dyDescent="0.3">
      <c r="C42" s="68"/>
      <c r="D42" s="371"/>
      <c r="E42" s="371"/>
      <c r="F42" s="372"/>
      <c r="G42" s="346"/>
      <c r="H42" s="347"/>
      <c r="I42" s="347"/>
      <c r="J42" s="347"/>
      <c r="K42" s="347"/>
      <c r="L42" s="311"/>
      <c r="M42" s="306"/>
      <c r="N42" s="306"/>
      <c r="O42" s="306"/>
      <c r="P42" s="306"/>
      <c r="Q42" s="307"/>
      <c r="R42" s="315"/>
      <c r="S42" s="316"/>
      <c r="T42" s="316"/>
      <c r="U42" s="316"/>
      <c r="V42" s="316"/>
      <c r="W42" s="317"/>
      <c r="X42" s="315"/>
      <c r="Y42" s="316"/>
      <c r="Z42" s="316"/>
      <c r="AA42" s="316"/>
      <c r="AB42" s="316"/>
      <c r="AC42" s="317"/>
      <c r="AD42" s="333"/>
      <c r="AE42" s="334"/>
      <c r="AF42" s="334"/>
      <c r="AG42" s="334"/>
      <c r="AH42" s="334"/>
      <c r="AI42" s="334"/>
      <c r="AJ42" s="324"/>
      <c r="AK42" s="325"/>
      <c r="AL42" s="325"/>
      <c r="AM42" s="325"/>
      <c r="AN42" s="325"/>
      <c r="AO42" s="326"/>
      <c r="AP42" s="68"/>
      <c r="AQ42" s="406"/>
      <c r="AR42" s="407"/>
      <c r="AS42" s="407"/>
      <c r="AT42" s="407"/>
      <c r="AU42" s="407"/>
      <c r="AV42" s="40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x14ac:dyDescent="0.25">
      <c r="C43" s="68"/>
      <c r="D43" s="371"/>
      <c r="E43" s="371"/>
      <c r="F43" s="372"/>
      <c r="G43" s="339" t="s">
        <v>265</v>
      </c>
      <c r="H43" s="341"/>
      <c r="I43" s="341"/>
      <c r="J43" s="341"/>
      <c r="K43" s="341"/>
      <c r="L43" s="308"/>
      <c r="M43" s="309"/>
      <c r="N43" s="309" t="str">
        <f>IF(AND('Mapa final'!$K$15="Muy Baja",'Mapa final'!$O$15="Leve"),CONCATENATE("R",'Mapa final'!$A$16),"")</f>
        <v/>
      </c>
      <c r="O43" s="309"/>
      <c r="P43" s="309" t="str">
        <f>IF(AND('Mapa final'!$K$17="Muy Baja",'Mapa final'!$O$17="Leve"),CONCATENATE("R",'Mapa final'!$A$17),"")</f>
        <v/>
      </c>
      <c r="Q43" s="310"/>
      <c r="R43" s="308"/>
      <c r="S43" s="309"/>
      <c r="T43" s="309" t="str">
        <f>IF(AND('Mapa final'!$P$15="Muy Baja",'Mapa final'!$S$15="Menor"),CONCATENATE("R",'Mapa final'!$A$16),"")</f>
        <v/>
      </c>
      <c r="U43" s="309"/>
      <c r="V43" s="309" t="str">
        <f>IF(AND('Mapa final'!$P$17="Muy Baja",'Mapa final'!$S$17="Menor"),CONCATENATE("R",'Mapa final'!$A$17),"")</f>
        <v/>
      </c>
      <c r="W43" s="310"/>
      <c r="X43" s="318"/>
      <c r="Y43" s="319"/>
      <c r="Z43" s="319" t="str">
        <f>IF(AND('Mapa final'!P$15="Muy Baja",'Mapa final'!$S$15="Moderado"),CONCATENATE("R",'Mapa final'!$D$15),"")</f>
        <v/>
      </c>
      <c r="AA43" s="319"/>
      <c r="AB43" s="319" t="str">
        <f>IF(AND('Mapa final'!$P$17="Muy Baja",'Mapa final'!$S$17="Moderado"),CONCATENATE("R",'Mapa final'!$A$17),"")</f>
        <v/>
      </c>
      <c r="AC43" s="320"/>
      <c r="AD43" s="336"/>
      <c r="AE43" s="337"/>
      <c r="AF43" s="337" t="str">
        <f>IF(AND('Mapa final'!$P$15="Muy Baja",'Mapa final'!$S$15="Mayor"),CONCATENATE("R",'Mapa final'!$A$16),"")</f>
        <v/>
      </c>
      <c r="AG43" s="337"/>
      <c r="AH43" s="337" t="str">
        <f>IF(AND('Mapa final'!$P$17="Muy Baja",'Mapa final'!$S$17="Mayor"),CONCATENATE("R",'Mapa final'!$D$17),"")</f>
        <v/>
      </c>
      <c r="AI43" s="338"/>
      <c r="AJ43" s="321"/>
      <c r="AK43" s="322"/>
      <c r="AL43" s="322" t="str">
        <f>IF(AND('Mapa final'!$P$15="Muy Baja",'Mapa final'!$S$15="Catastrófico"),CONCATENATE("R",'Mapa final'!$D$15),"")</f>
        <v/>
      </c>
      <c r="AM43" s="322"/>
      <c r="AN43" s="322" t="str">
        <f>IF(AND('Mapa final'!$P$17="Muy Baja",'Mapa final'!$S$17="Catastrófico"),CONCATENATE("R",'Mapa final'!$A$17),"")</f>
        <v/>
      </c>
      <c r="AO43" s="323"/>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x14ac:dyDescent="0.25">
      <c r="C44" s="68"/>
      <c r="D44" s="371"/>
      <c r="E44" s="371"/>
      <c r="F44" s="372"/>
      <c r="G44" s="343"/>
      <c r="H44" s="344"/>
      <c r="I44" s="344"/>
      <c r="J44" s="344"/>
      <c r="K44" s="344"/>
      <c r="L44" s="303"/>
      <c r="M44" s="304"/>
      <c r="N44" s="304"/>
      <c r="O44" s="304"/>
      <c r="P44" s="304"/>
      <c r="Q44" s="305"/>
      <c r="R44" s="303"/>
      <c r="S44" s="304"/>
      <c r="T44" s="304"/>
      <c r="U44" s="304"/>
      <c r="V44" s="304"/>
      <c r="W44" s="305"/>
      <c r="X44" s="312"/>
      <c r="Y44" s="313"/>
      <c r="Z44" s="313"/>
      <c r="AA44" s="313"/>
      <c r="AB44" s="313"/>
      <c r="AC44" s="314"/>
      <c r="AD44" s="330"/>
      <c r="AE44" s="331"/>
      <c r="AF44" s="331"/>
      <c r="AG44" s="331"/>
      <c r="AH44" s="331"/>
      <c r="AI44" s="332"/>
      <c r="AJ44" s="321"/>
      <c r="AK44" s="322"/>
      <c r="AL44" s="322"/>
      <c r="AM44" s="322"/>
      <c r="AN44" s="322"/>
      <c r="AO44" s="323"/>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x14ac:dyDescent="0.25">
      <c r="C45" s="68"/>
      <c r="D45" s="371"/>
      <c r="E45" s="371"/>
      <c r="F45" s="372"/>
      <c r="G45" s="343"/>
      <c r="H45" s="344"/>
      <c r="I45" s="344"/>
      <c r="J45" s="344"/>
      <c r="K45" s="344"/>
      <c r="L45" s="303" t="str">
        <f>IF(AND('Mapa final'!$P$20="Muy Baja",'Mapa final'!$S$20="Leve"),CONCATENATE("R",'Mapa final'!$A$20),"")</f>
        <v/>
      </c>
      <c r="M45" s="304"/>
      <c r="N45" s="304" t="str">
        <f>IF(AND('Mapa final'!$K$21="Muy Baja",'Mapa final'!$O$21="Leve"),CONCATENATE("R",'Mapa final'!$A$21),"")</f>
        <v/>
      </c>
      <c r="O45" s="304"/>
      <c r="P45" s="304" t="str">
        <f>IF(AND('Mapa final'!$K$23="Muy Baja",'Mapa final'!$O$23="Leve"),CONCATENATE("R",'Mapa final'!$A$23),"")</f>
        <v/>
      </c>
      <c r="Q45" s="305"/>
      <c r="R45" s="303" t="str">
        <f>IF(AND('Mapa final'!$P$20="Muy Baja",'Mapa final'!$S$20="Menor"),CONCATENATE("R",'Mapa final'!$A$20),"")</f>
        <v/>
      </c>
      <c r="S45" s="304"/>
      <c r="T45" s="304" t="str">
        <f>IF(AND('Mapa final'!$P$21="Muy Baja",'Mapa final'!$S$21="Menor"),CONCATENATE("R",'Mapa final'!$A$21),"")</f>
        <v/>
      </c>
      <c r="U45" s="304"/>
      <c r="V45" s="304" t="str">
        <f>IF(AND('Mapa final'!$P$23="Muy Baja",'Mapa final'!$S$23="Menor"),CONCATENATE("R",'Mapa final'!$A$23),"")</f>
        <v/>
      </c>
      <c r="W45" s="305"/>
      <c r="X45" s="312" t="str">
        <f>IF(AND('Mapa final'!$P$20="Muy Baja",'Mapa final'!$S$20="Moderado"),CONCATENATE("R",'Mapa final'!$A$20),"")</f>
        <v/>
      </c>
      <c r="Y45" s="313"/>
      <c r="Z45" s="313" t="str">
        <f>IF(AND('Mapa final'!$P$21="Muy Baja",'Mapa final'!$S$21="Moderado"),CONCATENATE("R",'Mapa final'!$A$21),"")</f>
        <v/>
      </c>
      <c r="AA45" s="313"/>
      <c r="AB45" s="313" t="str">
        <f>IF(AND('Mapa final'!$P$23="Muy Baja",'Mapa final'!$S$23="Moderado"),CONCATENATE("R",'Mapa final'!$A$23),"")</f>
        <v/>
      </c>
      <c r="AC45" s="314"/>
      <c r="AD45" s="330" t="str">
        <f>IF(AND('Mapa final'!$P$20="Muy Baja",'Mapa final'!$S$20="Mayor"),CONCATENATE("R",'Mapa final'!$A$20),"")</f>
        <v/>
      </c>
      <c r="AE45" s="331"/>
      <c r="AF45" s="331" t="str">
        <f>IF(AND('Mapa final'!$P$21="Muy Baja",'Mapa final'!$S$21="Mayor"),CONCATENATE("R",'Mapa final'!$A$21),"")</f>
        <v/>
      </c>
      <c r="AG45" s="331"/>
      <c r="AH45" s="331" t="str">
        <f>IF(AND('Mapa final'!$P$23="Muy Baja",'Mapa final'!$S$23="Mayor"),CONCATENATE("R",'Mapa final'!$A$23),"")</f>
        <v/>
      </c>
      <c r="AI45" s="332"/>
      <c r="AJ45" s="321" t="str">
        <f>IF(AND('Mapa final'!$P$20="Muy Baja",'Mapa final'!$S$20="Catastrófico"),CONCATENATE("R",'Mapa final'!$A$20),"")</f>
        <v/>
      </c>
      <c r="AK45" s="322"/>
      <c r="AL45" s="322" t="str">
        <f>IF(AND('Mapa final'!$P$21="Muy Baja",'Mapa final'!$S$21="Catastrófico"),CONCATENATE("R",'Mapa final'!$A$21),"")</f>
        <v/>
      </c>
      <c r="AM45" s="322"/>
      <c r="AN45" s="322" t="str">
        <f>IF(AND('Mapa final'!$P$23="Muy Baja",'Mapa final'!$K$23="Catastrófico"),CONCATENATE("R",'Mapa final'!$A$23),"")</f>
        <v/>
      </c>
      <c r="AO45" s="323"/>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x14ac:dyDescent="0.25">
      <c r="C46" s="68"/>
      <c r="D46" s="371"/>
      <c r="E46" s="371"/>
      <c r="F46" s="372"/>
      <c r="G46" s="343"/>
      <c r="H46" s="344"/>
      <c r="I46" s="344"/>
      <c r="J46" s="344"/>
      <c r="K46" s="344"/>
      <c r="L46" s="303"/>
      <c r="M46" s="304"/>
      <c r="N46" s="304"/>
      <c r="O46" s="304"/>
      <c r="P46" s="304"/>
      <c r="Q46" s="305"/>
      <c r="R46" s="303"/>
      <c r="S46" s="304"/>
      <c r="T46" s="304"/>
      <c r="U46" s="304"/>
      <c r="V46" s="304"/>
      <c r="W46" s="305"/>
      <c r="X46" s="312"/>
      <c r="Y46" s="313"/>
      <c r="Z46" s="313"/>
      <c r="AA46" s="313"/>
      <c r="AB46" s="313"/>
      <c r="AC46" s="314"/>
      <c r="AD46" s="330"/>
      <c r="AE46" s="331"/>
      <c r="AF46" s="331"/>
      <c r="AG46" s="331"/>
      <c r="AH46" s="331"/>
      <c r="AI46" s="332"/>
      <c r="AJ46" s="321"/>
      <c r="AK46" s="322"/>
      <c r="AL46" s="322"/>
      <c r="AM46" s="322"/>
      <c r="AN46" s="322"/>
      <c r="AO46" s="323"/>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x14ac:dyDescent="0.25">
      <c r="C47" s="68"/>
      <c r="D47" s="371"/>
      <c r="E47" s="371"/>
      <c r="F47" s="372"/>
      <c r="G47" s="343"/>
      <c r="H47" s="344"/>
      <c r="I47" s="344"/>
      <c r="J47" s="344"/>
      <c r="K47" s="344"/>
      <c r="L47" s="303" t="str">
        <f>IF(AND('Mapa final'!$P$24="Muy Baja",'Mapa final'!$S$24="Leve"),CONCATENATE("R",'Mapa final'!$A$24),"")</f>
        <v/>
      </c>
      <c r="M47" s="304"/>
      <c r="N47" s="304" t="e">
        <f>IF(AND('Mapa final'!#REF!="Muy Baja",'Mapa final'!#REF!="Leve"),CONCATENATE("R",'Mapa final'!#REF!),"")</f>
        <v>#REF!</v>
      </c>
      <c r="O47" s="304"/>
      <c r="P47" s="304" t="str">
        <f>IF(AND('Mapa final'!$K$34="Muy Baja",'Mapa final'!$O$34="Leve"),CONCATENATE("R",'Mapa final'!$A$34),"")</f>
        <v/>
      </c>
      <c r="Q47" s="305"/>
      <c r="R47" s="303" t="str">
        <f>IF(AND('Mapa final'!$P$24="Muy Baja",'Mapa final'!$S$24="Menor"),CONCATENATE("R",'Mapa final'!$A$24),"")</f>
        <v/>
      </c>
      <c r="S47" s="304"/>
      <c r="T47" s="304" t="e">
        <f>IF(AND('Mapa final'!#REF!="Muy Baja",'Mapa final'!#REF!="Menor"),CONCATENATE("R",'Mapa final'!#REF!),"")</f>
        <v>#REF!</v>
      </c>
      <c r="U47" s="304"/>
      <c r="V47" s="304" t="str">
        <f>IF(AND('Mapa final'!$P$34="Muy Baja",'Mapa final'!$S$34="Menor"),CONCATENATE("R",'Mapa final'!$A$34),"")</f>
        <v/>
      </c>
      <c r="W47" s="305"/>
      <c r="X47" s="312" t="str">
        <f>IF(AND('Mapa final'!$P$24="Muy Baja",'Mapa final'!$S$24="Moderado"),CONCATENATE("R",'Mapa final'!$A$24),"")</f>
        <v/>
      </c>
      <c r="Y47" s="313"/>
      <c r="Z47" s="313" t="e">
        <f>IF(AND('Mapa final'!#REF!="Muy Baja",'Mapa final'!#REF!="Moderado"),CONCATENATE("R",'Mapa final'!#REF!),"")</f>
        <v>#REF!</v>
      </c>
      <c r="AA47" s="313"/>
      <c r="AB47" s="313" t="str">
        <f>IF(AND('Mapa final'!$P$34="Muy Baja",'Mapa final'!$S$34="Moderado"),CONCATENATE("R",'Mapa final'!$A$34),"")</f>
        <v/>
      </c>
      <c r="AC47" s="314"/>
      <c r="AD47" s="330" t="str">
        <f>IF(AND('Mapa final'!$P$24="Muy Baja",'Mapa final'!$S$24="Mayor"),CONCATENATE("R",'Mapa final'!$A$24),"")</f>
        <v/>
      </c>
      <c r="AE47" s="331"/>
      <c r="AF47" s="331" t="e">
        <f>IF(AND('Mapa final'!#REF!="Muy Baja",'Mapa final'!#REF!="Mayor"),CONCATENATE("R",'Mapa final'!#REF!),"")</f>
        <v>#REF!</v>
      </c>
      <c r="AG47" s="331"/>
      <c r="AH47" s="331" t="str">
        <f>IF(AND('Mapa final'!$P$34="Muy Baja",'Mapa final'!$S$34="Mayor"),CONCATENATE("R",'Mapa final'!$A$34),"")</f>
        <v/>
      </c>
      <c r="AI47" s="332"/>
      <c r="AJ47" s="321" t="str">
        <f>IF(AND('Mapa final'!$P$24="Muy Baja",'Mapa final'!$S$24="Catastrófico"),CONCATENATE("R",'Mapa final'!$A$24),"")</f>
        <v/>
      </c>
      <c r="AK47" s="322"/>
      <c r="AL47" s="322" t="e">
        <f>IF(AND('Mapa final'!#REF!="Muy Baja",'Mapa final'!#REF!="Catastrófico"),CONCATENATE("R",'Mapa final'!#REF!),"")</f>
        <v>#REF!</v>
      </c>
      <c r="AM47" s="322"/>
      <c r="AN47" s="322" t="str">
        <f>IF(AND('Mapa final'!$P$34="Muy Baja",'Mapa final'!$S$34="Catastrófico"),CONCATENATE("R",'Mapa final'!$A$34),"")</f>
        <v/>
      </c>
      <c r="AO47" s="323"/>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x14ac:dyDescent="0.25">
      <c r="C48" s="68"/>
      <c r="D48" s="371"/>
      <c r="E48" s="371"/>
      <c r="F48" s="372"/>
      <c r="G48" s="343"/>
      <c r="H48" s="344"/>
      <c r="I48" s="344"/>
      <c r="J48" s="344"/>
      <c r="K48" s="344"/>
      <c r="L48" s="303"/>
      <c r="M48" s="304"/>
      <c r="N48" s="304"/>
      <c r="O48" s="304"/>
      <c r="P48" s="304"/>
      <c r="Q48" s="305"/>
      <c r="R48" s="303"/>
      <c r="S48" s="304"/>
      <c r="T48" s="304"/>
      <c r="U48" s="304"/>
      <c r="V48" s="304"/>
      <c r="W48" s="305"/>
      <c r="X48" s="312"/>
      <c r="Y48" s="313"/>
      <c r="Z48" s="313"/>
      <c r="AA48" s="313"/>
      <c r="AB48" s="313"/>
      <c r="AC48" s="314"/>
      <c r="AD48" s="330"/>
      <c r="AE48" s="331"/>
      <c r="AF48" s="331"/>
      <c r="AG48" s="331"/>
      <c r="AH48" s="331"/>
      <c r="AI48" s="332"/>
      <c r="AJ48" s="321"/>
      <c r="AK48" s="322"/>
      <c r="AL48" s="322"/>
      <c r="AM48" s="322"/>
      <c r="AN48" s="322"/>
      <c r="AO48" s="323"/>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x14ac:dyDescent="0.25">
      <c r="C49" s="68"/>
      <c r="D49" s="371"/>
      <c r="E49" s="371"/>
      <c r="F49" s="372"/>
      <c r="G49" s="343"/>
      <c r="H49" s="344"/>
      <c r="I49" s="344"/>
      <c r="J49" s="344"/>
      <c r="K49" s="344"/>
      <c r="L49" s="303" t="str">
        <f>IF(AND('Mapa final'!$P$35="Muy Baja",'Mapa final'!$S$35="Leve"),CONCATENATE("R",'Mapa final'!$A$35),"")</f>
        <v/>
      </c>
      <c r="M49" s="304"/>
      <c r="N49" s="304" t="str">
        <f>IF(AND('Mapa final'!$K$36="Muy Baja",'Mapa final'!$O$36="Leve"),CONCATENATE("R",'Mapa final'!$A$36),"")</f>
        <v/>
      </c>
      <c r="O49" s="304"/>
      <c r="P49" s="304" t="str">
        <f>IF(AND('Mapa final'!$K$37="Muy Baja",'Mapa final'!$O$37="Leve"),CONCATENATE("R",'Mapa final'!$A$37),"")</f>
        <v/>
      </c>
      <c r="Q49" s="305"/>
      <c r="R49" s="304" t="str">
        <f>IF(AND('Mapa final'!$P$35="Muy Baja",'Mapa final'!$S$35="Menor"),CONCATENATE("R",'Mapa final'!$A$35),"")</f>
        <v/>
      </c>
      <c r="S49" s="304"/>
      <c r="T49" s="304" t="str">
        <f>IF(AND('Mapa final'!$P$36="Muy Baja",'Mapa final'!$S$36="Menor"),CONCATENATE("R",'Mapa final'!$A$36),"")</f>
        <v/>
      </c>
      <c r="U49" s="304"/>
      <c r="V49" s="304" t="str">
        <f>IF(AND('Mapa final'!$P$37="Muy Baja",'Mapa final'!$S$37="Menor"),CONCATENATE("R",'Mapa final'!$A$37),"")</f>
        <v/>
      </c>
      <c r="W49" s="305"/>
      <c r="X49" s="312" t="str">
        <f>IF(AND('Mapa final'!$P$35="Muy Baja",'Mapa final'!$S$35="Moderado"),CONCATENATE("R",'Mapa final'!$A$35),"")</f>
        <v/>
      </c>
      <c r="Y49" s="313"/>
      <c r="Z49" s="313" t="str">
        <f>IF(AND('Mapa final'!$P$36="Muy Baja",'Mapa final'!$S$36="Moderado"),CONCATENATE("R",'Mapa final'!$A$36),"")</f>
        <v/>
      </c>
      <c r="AA49" s="313"/>
      <c r="AB49" s="313" t="str">
        <f>IF(AND('Mapa final'!$P$37="Muy Baja",'Mapa final'!$S$37="Moderado"),CONCATENATE("R",'Mapa final'!$A$37),"")</f>
        <v/>
      </c>
      <c r="AC49" s="314"/>
      <c r="AD49" s="330" t="str">
        <f>IF(AND('Mapa final'!$P$35="Muy Baja",'Mapa final'!$S$35="Mayor"),CONCATENATE("R",'Mapa final'!$A$35),"")</f>
        <v/>
      </c>
      <c r="AE49" s="331"/>
      <c r="AF49" s="331" t="str">
        <f>IF(AND('Mapa final'!$P$36="Muy Baja",'Mapa final'!$S$36="Mayor"),CONCATENATE("R",'Mapa final'!$A$36),"")</f>
        <v/>
      </c>
      <c r="AG49" s="331"/>
      <c r="AH49" s="331" t="str">
        <f>IF(AND('Mapa final'!$P$37="Muy Baja",'Mapa final'!$S$37="Mayor"),CONCATENATE("R",'Mapa final'!$A$37),"")</f>
        <v/>
      </c>
      <c r="AI49" s="332"/>
      <c r="AJ49" s="321" t="str">
        <f>IF(AND('Mapa final'!$P$35="Muy Baja",'Mapa final'!$S$35="Catastrófico"),CONCATENATE("R",'Mapa final'!$A$35),"")</f>
        <v/>
      </c>
      <c r="AK49" s="322"/>
      <c r="AL49" s="322" t="str">
        <f>IF(AND('Mapa final'!$P$36="Muy Baja",'Mapa final'!$S$36="Catastrófico"),CONCATENATE("R",'Mapa final'!$A$36),"")</f>
        <v/>
      </c>
      <c r="AM49" s="322"/>
      <c r="AN49" s="322" t="str">
        <f>IF(AND('Mapa final'!$P$37="Muy Baja",'Mapa final'!$S$37="Catastrófico"),CONCATENATE("R",'Mapa final'!$A$37),"")</f>
        <v/>
      </c>
      <c r="AO49" s="323"/>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x14ac:dyDescent="0.3">
      <c r="C50" s="68"/>
      <c r="D50" s="371"/>
      <c r="E50" s="371"/>
      <c r="F50" s="372"/>
      <c r="G50" s="346"/>
      <c r="H50" s="347"/>
      <c r="I50" s="347"/>
      <c r="J50" s="347"/>
      <c r="K50" s="347"/>
      <c r="L50" s="311"/>
      <c r="M50" s="306"/>
      <c r="N50" s="306"/>
      <c r="O50" s="306"/>
      <c r="P50" s="306"/>
      <c r="Q50" s="307"/>
      <c r="R50" s="306"/>
      <c r="S50" s="306"/>
      <c r="T50" s="306"/>
      <c r="U50" s="306"/>
      <c r="V50" s="306"/>
      <c r="W50" s="307"/>
      <c r="X50" s="315"/>
      <c r="Y50" s="316"/>
      <c r="Z50" s="316"/>
      <c r="AA50" s="316"/>
      <c r="AB50" s="316"/>
      <c r="AC50" s="317"/>
      <c r="AD50" s="333"/>
      <c r="AE50" s="334"/>
      <c r="AF50" s="334"/>
      <c r="AG50" s="334"/>
      <c r="AH50" s="334"/>
      <c r="AI50" s="335"/>
      <c r="AJ50" s="324"/>
      <c r="AK50" s="325"/>
      <c r="AL50" s="325"/>
      <c r="AM50" s="325"/>
      <c r="AN50" s="325"/>
      <c r="AO50" s="326"/>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x14ac:dyDescent="0.25">
      <c r="C51" s="68"/>
      <c r="D51" s="68"/>
      <c r="E51" s="68"/>
      <c r="F51" s="68"/>
      <c r="G51" s="68"/>
      <c r="H51" s="68"/>
      <c r="I51" s="68"/>
      <c r="J51" s="68"/>
      <c r="K51" s="68"/>
      <c r="L51" s="349" t="s">
        <v>266</v>
      </c>
      <c r="M51" s="344"/>
      <c r="N51" s="344"/>
      <c r="O51" s="344"/>
      <c r="P51" s="344"/>
      <c r="Q51" s="345"/>
      <c r="R51" s="339" t="s">
        <v>267</v>
      </c>
      <c r="S51" s="341"/>
      <c r="T51" s="341"/>
      <c r="U51" s="341"/>
      <c r="V51" s="341"/>
      <c r="W51" s="342"/>
      <c r="X51" s="339" t="s">
        <v>268</v>
      </c>
      <c r="Y51" s="341"/>
      <c r="Z51" s="341"/>
      <c r="AA51" s="341"/>
      <c r="AB51" s="341"/>
      <c r="AC51" s="342"/>
      <c r="AD51" s="339" t="s">
        <v>269</v>
      </c>
      <c r="AE51" s="340"/>
      <c r="AF51" s="341"/>
      <c r="AG51" s="341"/>
      <c r="AH51" s="341"/>
      <c r="AI51" s="342"/>
      <c r="AJ51" s="339" t="s">
        <v>270</v>
      </c>
      <c r="AK51" s="341"/>
      <c r="AL51" s="341"/>
      <c r="AM51" s="341"/>
      <c r="AN51" s="341"/>
      <c r="AO51" s="342"/>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x14ac:dyDescent="0.25">
      <c r="C52" s="68"/>
      <c r="D52" s="68"/>
      <c r="E52" s="68"/>
      <c r="F52" s="68"/>
      <c r="G52" s="68"/>
      <c r="H52" s="68"/>
      <c r="I52" s="68"/>
      <c r="J52" s="68"/>
      <c r="K52" s="68"/>
      <c r="L52" s="343"/>
      <c r="M52" s="344"/>
      <c r="N52" s="344"/>
      <c r="O52" s="344"/>
      <c r="P52" s="344"/>
      <c r="Q52" s="345"/>
      <c r="R52" s="343"/>
      <c r="S52" s="344"/>
      <c r="T52" s="344"/>
      <c r="U52" s="344"/>
      <c r="V52" s="344"/>
      <c r="W52" s="345"/>
      <c r="X52" s="343"/>
      <c r="Y52" s="344"/>
      <c r="Z52" s="344"/>
      <c r="AA52" s="344"/>
      <c r="AB52" s="344"/>
      <c r="AC52" s="345"/>
      <c r="AD52" s="343"/>
      <c r="AE52" s="344"/>
      <c r="AF52" s="344"/>
      <c r="AG52" s="344"/>
      <c r="AH52" s="344"/>
      <c r="AI52" s="345"/>
      <c r="AJ52" s="343"/>
      <c r="AK52" s="344"/>
      <c r="AL52" s="344"/>
      <c r="AM52" s="344"/>
      <c r="AN52" s="344"/>
      <c r="AO52" s="345"/>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x14ac:dyDescent="0.25">
      <c r="C53" s="68"/>
      <c r="D53" s="68"/>
      <c r="E53" s="68"/>
      <c r="F53" s="68"/>
      <c r="G53" s="68"/>
      <c r="H53" s="68"/>
      <c r="I53" s="68"/>
      <c r="J53" s="68"/>
      <c r="K53" s="68"/>
      <c r="L53" s="343"/>
      <c r="M53" s="344"/>
      <c r="N53" s="344"/>
      <c r="O53" s="344"/>
      <c r="P53" s="344"/>
      <c r="Q53" s="345"/>
      <c r="R53" s="343"/>
      <c r="S53" s="344"/>
      <c r="T53" s="344"/>
      <c r="U53" s="344"/>
      <c r="V53" s="344"/>
      <c r="W53" s="345"/>
      <c r="X53" s="343"/>
      <c r="Y53" s="344"/>
      <c r="Z53" s="344"/>
      <c r="AA53" s="344"/>
      <c r="AB53" s="344"/>
      <c r="AC53" s="345"/>
      <c r="AD53" s="343"/>
      <c r="AE53" s="344"/>
      <c r="AF53" s="344"/>
      <c r="AG53" s="344"/>
      <c r="AH53" s="344"/>
      <c r="AI53" s="345"/>
      <c r="AJ53" s="343"/>
      <c r="AK53" s="344"/>
      <c r="AL53" s="344"/>
      <c r="AM53" s="344"/>
      <c r="AN53" s="344"/>
      <c r="AO53" s="345"/>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x14ac:dyDescent="0.25">
      <c r="C54" s="68"/>
      <c r="D54" s="68"/>
      <c r="E54" s="68"/>
      <c r="F54" s="68"/>
      <c r="G54" s="68"/>
      <c r="H54" s="68"/>
      <c r="I54" s="68"/>
      <c r="J54" s="68"/>
      <c r="K54" s="68"/>
      <c r="L54" s="343"/>
      <c r="M54" s="344"/>
      <c r="N54" s="344"/>
      <c r="O54" s="344"/>
      <c r="P54" s="344"/>
      <c r="Q54" s="345"/>
      <c r="R54" s="343"/>
      <c r="S54" s="344"/>
      <c r="T54" s="344"/>
      <c r="U54" s="344"/>
      <c r="V54" s="344"/>
      <c r="W54" s="345"/>
      <c r="X54" s="343"/>
      <c r="Y54" s="344"/>
      <c r="Z54" s="344"/>
      <c r="AA54" s="344"/>
      <c r="AB54" s="344"/>
      <c r="AC54" s="345"/>
      <c r="AD54" s="343"/>
      <c r="AE54" s="344"/>
      <c r="AF54" s="344"/>
      <c r="AG54" s="344"/>
      <c r="AH54" s="344"/>
      <c r="AI54" s="345"/>
      <c r="AJ54" s="343"/>
      <c r="AK54" s="344"/>
      <c r="AL54" s="344"/>
      <c r="AM54" s="344"/>
      <c r="AN54" s="344"/>
      <c r="AO54" s="345"/>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x14ac:dyDescent="0.25">
      <c r="C55" s="68"/>
      <c r="D55" s="68"/>
      <c r="E55" s="68"/>
      <c r="F55" s="68"/>
      <c r="G55" s="68"/>
      <c r="H55" s="68"/>
      <c r="I55" s="68"/>
      <c r="J55" s="68"/>
      <c r="K55" s="68"/>
      <c r="L55" s="343"/>
      <c r="M55" s="344"/>
      <c r="N55" s="344"/>
      <c r="O55" s="344"/>
      <c r="P55" s="344"/>
      <c r="Q55" s="345"/>
      <c r="R55" s="343"/>
      <c r="S55" s="344"/>
      <c r="T55" s="344"/>
      <c r="U55" s="344"/>
      <c r="V55" s="344"/>
      <c r="W55" s="345"/>
      <c r="X55" s="343"/>
      <c r="Y55" s="344"/>
      <c r="Z55" s="344"/>
      <c r="AA55" s="344"/>
      <c r="AB55" s="344"/>
      <c r="AC55" s="345"/>
      <c r="AD55" s="343"/>
      <c r="AE55" s="344"/>
      <c r="AF55" s="344"/>
      <c r="AG55" s="344"/>
      <c r="AH55" s="344"/>
      <c r="AI55" s="345"/>
      <c r="AJ55" s="343"/>
      <c r="AK55" s="344"/>
      <c r="AL55" s="344"/>
      <c r="AM55" s="344"/>
      <c r="AN55" s="344"/>
      <c r="AO55" s="345"/>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75" thickBot="1" x14ac:dyDescent="0.3">
      <c r="C56" s="68"/>
      <c r="D56" s="68"/>
      <c r="E56" s="68"/>
      <c r="F56" s="68"/>
      <c r="G56" s="68"/>
      <c r="H56" s="68"/>
      <c r="I56" s="68"/>
      <c r="J56" s="68"/>
      <c r="K56" s="68"/>
      <c r="L56" s="346"/>
      <c r="M56" s="347"/>
      <c r="N56" s="347"/>
      <c r="O56" s="347"/>
      <c r="P56" s="347"/>
      <c r="Q56" s="348"/>
      <c r="R56" s="346"/>
      <c r="S56" s="347"/>
      <c r="T56" s="347"/>
      <c r="U56" s="347"/>
      <c r="V56" s="347"/>
      <c r="W56" s="348"/>
      <c r="X56" s="346"/>
      <c r="Y56" s="347"/>
      <c r="Z56" s="347"/>
      <c r="AA56" s="347"/>
      <c r="AB56" s="347"/>
      <c r="AC56" s="348"/>
      <c r="AD56" s="346"/>
      <c r="AE56" s="347"/>
      <c r="AF56" s="347"/>
      <c r="AG56" s="347"/>
      <c r="AH56" s="347"/>
      <c r="AI56" s="348"/>
      <c r="AJ56" s="346"/>
      <c r="AK56" s="347"/>
      <c r="AL56" s="347"/>
      <c r="AM56" s="347"/>
      <c r="AN56" s="347"/>
      <c r="AO56" s="34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x14ac:dyDescent="0.25">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x14ac:dyDescent="0.25">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x14ac:dyDescent="0.25">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x14ac:dyDescent="0.25">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x14ac:dyDescent="0.25">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x14ac:dyDescent="0.25">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x14ac:dyDescent="0.25">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x14ac:dyDescent="0.25">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x14ac:dyDescent="0.25">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x14ac:dyDescent="0.25">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x14ac:dyDescent="0.25">
      <c r="C67" s="68"/>
      <c r="D67" s="68"/>
      <c r="E67" s="68"/>
      <c r="F67" s="68"/>
      <c r="G67" s="68"/>
      <c r="H67" s="68" t="s">
        <v>271</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x14ac:dyDescent="0.25">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x14ac:dyDescent="0.25">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x14ac:dyDescent="0.25">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x14ac:dyDescent="0.25">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x14ac:dyDescent="0.25">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x14ac:dyDescent="0.25">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x14ac:dyDescent="0.25">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x14ac:dyDescent="0.25">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x14ac:dyDescent="0.25">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x14ac:dyDescent="0.25">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x14ac:dyDescent="0.25">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x14ac:dyDescent="0.25">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x14ac:dyDescent="0.25">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x14ac:dyDescent="0.25">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x14ac:dyDescent="0.25">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x14ac:dyDescent="0.25">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x14ac:dyDescent="0.25">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x14ac:dyDescent="0.25">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x14ac:dyDescent="0.25">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x14ac:dyDescent="0.25">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x14ac:dyDescent="0.25">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x14ac:dyDescent="0.25">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x14ac:dyDescent="0.25">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x14ac:dyDescent="0.25">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x14ac:dyDescent="0.25">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x14ac:dyDescent="0.25">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x14ac:dyDescent="0.25">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x14ac:dyDescent="0.25">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x14ac:dyDescent="0.25">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x14ac:dyDescent="0.2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x14ac:dyDescent="0.2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x14ac:dyDescent="0.2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x14ac:dyDescent="0.2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x14ac:dyDescent="0.2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x14ac:dyDescent="0.2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x14ac:dyDescent="0.2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x14ac:dyDescent="0.2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x14ac:dyDescent="0.2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x14ac:dyDescent="0.2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x14ac:dyDescent="0.2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x14ac:dyDescent="0.2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x14ac:dyDescent="0.2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x14ac:dyDescent="0.2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x14ac:dyDescent="0.2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x14ac:dyDescent="0.2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x14ac:dyDescent="0.2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x14ac:dyDescent="0.2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x14ac:dyDescent="0.2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x14ac:dyDescent="0.2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x14ac:dyDescent="0.2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x14ac:dyDescent="0.2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x14ac:dyDescent="0.2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x14ac:dyDescent="0.2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x14ac:dyDescent="0.2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x14ac:dyDescent="0.2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x14ac:dyDescent="0.2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x14ac:dyDescent="0.2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x14ac:dyDescent="0.2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x14ac:dyDescent="0.2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x14ac:dyDescent="0.2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x14ac:dyDescent="0.2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x14ac:dyDescent="0.2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x14ac:dyDescent="0.2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x14ac:dyDescent="0.2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x14ac:dyDescent="0.2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x14ac:dyDescent="0.2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x14ac:dyDescent="0.2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x14ac:dyDescent="0.2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x14ac:dyDescent="0.2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x14ac:dyDescent="0.2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x14ac:dyDescent="0.2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x14ac:dyDescent="0.2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x14ac:dyDescent="0.2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x14ac:dyDescent="0.2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x14ac:dyDescent="0.25">
      <c r="D142" s="68"/>
      <c r="E142" s="68"/>
      <c r="F142" s="68"/>
      <c r="G142" s="68"/>
      <c r="H142" s="68"/>
      <c r="I142" s="68"/>
      <c r="J142" s="68"/>
      <c r="K142" s="68"/>
    </row>
    <row r="143" spans="4:65" x14ac:dyDescent="0.25">
      <c r="D143" s="68"/>
      <c r="E143" s="68"/>
      <c r="F143" s="68"/>
      <c r="G143" s="68"/>
      <c r="H143" s="68"/>
      <c r="I143" s="68"/>
      <c r="J143" s="68"/>
      <c r="K143" s="68"/>
    </row>
    <row r="144" spans="4:65" x14ac:dyDescent="0.25">
      <c r="D144" s="68"/>
      <c r="E144" s="68"/>
      <c r="F144" s="68"/>
      <c r="G144" s="68"/>
      <c r="H144" s="68"/>
      <c r="I144" s="68"/>
      <c r="J144" s="68"/>
      <c r="K144" s="68"/>
    </row>
    <row r="145" spans="4:11" x14ac:dyDescent="0.25">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42578125" defaultRowHeight="15" x14ac:dyDescent="0.2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5703125" customWidth="1"/>
    <col min="32" max="34" width="5.7109375" customWidth="1"/>
    <col min="35" max="35" width="8.42578125" customWidth="1"/>
    <col min="36" max="36" width="9.7109375" customWidth="1"/>
    <col min="37" max="40" width="5.7109375" customWidth="1"/>
    <col min="42" max="47" width="5.7109375" customWidth="1"/>
  </cols>
  <sheetData>
    <row r="1" spans="1:92" ht="15.75" thickBot="1" x14ac:dyDescent="0.3"/>
    <row r="2" spans="1:92" x14ac:dyDescent="0.25">
      <c r="C2" s="362" t="s">
        <v>253</v>
      </c>
      <c r="D2" s="363"/>
      <c r="E2" s="363"/>
      <c r="F2" s="363"/>
      <c r="G2" s="363"/>
      <c r="H2" s="363"/>
      <c r="I2" s="363"/>
      <c r="J2" s="364"/>
      <c r="K2" s="353" t="s">
        <v>1</v>
      </c>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5"/>
      <c r="AO2" s="294" t="s">
        <v>8</v>
      </c>
      <c r="AP2" s="350"/>
      <c r="AQ2" s="350"/>
      <c r="AR2" s="350"/>
      <c r="AS2" s="350"/>
      <c r="AT2" s="350"/>
      <c r="AU2" s="268"/>
    </row>
    <row r="3" spans="1:92" x14ac:dyDescent="0.25">
      <c r="C3" s="365"/>
      <c r="D3" s="366"/>
      <c r="E3" s="366"/>
      <c r="F3" s="366"/>
      <c r="G3" s="366"/>
      <c r="H3" s="366"/>
      <c r="I3" s="366"/>
      <c r="J3" s="367"/>
      <c r="K3" s="356"/>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8"/>
      <c r="AO3" s="295" t="s">
        <v>3</v>
      </c>
      <c r="AP3" s="351"/>
      <c r="AQ3" s="351"/>
      <c r="AR3" s="351"/>
      <c r="AS3" s="351"/>
      <c r="AT3" s="351"/>
      <c r="AU3" s="270"/>
    </row>
    <row r="4" spans="1:92" x14ac:dyDescent="0.25">
      <c r="C4" s="365"/>
      <c r="D4" s="366"/>
      <c r="E4" s="366"/>
      <c r="F4" s="366"/>
      <c r="G4" s="366"/>
      <c r="H4" s="366"/>
      <c r="I4" s="366"/>
      <c r="J4" s="367"/>
      <c r="K4" s="356"/>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8"/>
      <c r="AO4" s="295" t="s">
        <v>4</v>
      </c>
      <c r="AP4" s="351" t="s">
        <v>255</v>
      </c>
      <c r="AQ4" s="351"/>
      <c r="AR4" s="351"/>
      <c r="AS4" s="351"/>
      <c r="AT4" s="351"/>
      <c r="AU4" s="270"/>
    </row>
    <row r="5" spans="1:92" ht="15.75" thickBot="1" x14ac:dyDescent="0.3">
      <c r="C5" s="368"/>
      <c r="D5" s="369"/>
      <c r="E5" s="369"/>
      <c r="F5" s="369"/>
      <c r="G5" s="369"/>
      <c r="H5" s="369"/>
      <c r="I5" s="369"/>
      <c r="J5" s="370"/>
      <c r="K5" s="359"/>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1"/>
      <c r="AO5" s="296" t="s">
        <v>5</v>
      </c>
      <c r="AP5" s="352" t="s">
        <v>5</v>
      </c>
      <c r="AQ5" s="352"/>
      <c r="AR5" s="352"/>
      <c r="AS5" s="352"/>
      <c r="AT5" s="352"/>
      <c r="AU5" s="272"/>
    </row>
    <row r="7" spans="1:92" x14ac:dyDescent="0.25">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x14ac:dyDescent="0.25">
      <c r="A8" s="410" t="s">
        <v>9</v>
      </c>
      <c r="B8" s="410"/>
      <c r="C8" s="440" t="s">
        <v>272</v>
      </c>
      <c r="D8" s="441"/>
      <c r="E8" s="441"/>
      <c r="F8" s="441"/>
      <c r="G8" s="441"/>
      <c r="H8" s="441"/>
      <c r="I8" s="441"/>
      <c r="J8" s="441"/>
      <c r="K8" s="442" t="s">
        <v>58</v>
      </c>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x14ac:dyDescent="0.25">
      <c r="B9" s="68"/>
      <c r="C9" s="441"/>
      <c r="D9" s="441"/>
      <c r="E9" s="441"/>
      <c r="F9" s="441"/>
      <c r="G9" s="441"/>
      <c r="H9" s="441"/>
      <c r="I9" s="441"/>
      <c r="J9" s="441"/>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x14ac:dyDescent="0.25">
      <c r="B10" s="68"/>
      <c r="C10" s="441"/>
      <c r="D10" s="441"/>
      <c r="E10" s="441"/>
      <c r="F10" s="441"/>
      <c r="G10" s="441"/>
      <c r="H10" s="441"/>
      <c r="I10" s="441"/>
      <c r="J10" s="441"/>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75" thickBot="1" x14ac:dyDescent="0.3">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x14ac:dyDescent="0.25">
      <c r="B12" s="68"/>
      <c r="C12" s="371" t="s">
        <v>257</v>
      </c>
      <c r="D12" s="371"/>
      <c r="E12" s="372"/>
      <c r="F12" s="411" t="s">
        <v>258</v>
      </c>
      <c r="G12" s="412"/>
      <c r="H12" s="412"/>
      <c r="I12" s="412"/>
      <c r="J12" s="412"/>
      <c r="K12" s="32"/>
      <c r="L12" s="33" t="str">
        <f>IF(AND('Mapa final'!$AH$16="Muy Alta",'Mapa final'!$AJ$16="Leve"),CONCATENATE("R2C",'Mapa final'!$R$15),"")</f>
        <v/>
      </c>
      <c r="M12" s="33" t="str">
        <f>IF(AND('Mapa final'!$AH$17="Muy Alta",'Mapa final'!$AJ$17="Leve"),CONCATENATE("R2C",'Mapa final'!$R$17),"")</f>
        <v/>
      </c>
      <c r="N12" s="33" t="str">
        <f>IF(AND('Mapa final'!$AH$20="Muy Alta",'Mapa final'!$AJ$20="Leve"),CONCATENATE("R2C",'Mapa final'!$R$20),"")</f>
        <v/>
      </c>
      <c r="O12" s="33" t="str">
        <f>IF(AND('Mapa final'!$AH$21="Muy Alta",'Mapa final'!$AJ$21="Leve"),CONCATENATE("R2C",'Mapa final'!$R$21),"")</f>
        <v/>
      </c>
      <c r="P12" s="34" t="str">
        <f>IF(AND('Mapa final'!$AH$23="Muy Alta",'Mapa final'!$AJ$23="Leve"),CONCATENATE("R2C",'Mapa final'!$R$23),"")</f>
        <v/>
      </c>
      <c r="Q12" s="33"/>
      <c r="R12" s="33" t="str">
        <f>IF(AND('Mapa final'!$AH$16="Muy Alta",'Mapa final'!$AJ$16="Menore"),CONCATENATE("R2C",'Mapa final'!$R$15),"")</f>
        <v/>
      </c>
      <c r="S12" s="33" t="str">
        <f>IF(AND('Mapa final'!$AH$17="Muy Alta",'Mapa final'!$AJ$17="Menor"),CONCATENATE("R2C",'Mapa final'!$R$17),"")</f>
        <v/>
      </c>
      <c r="T12" s="33" t="str">
        <f>IF(AND('Mapa final'!$AH$20="Muy Alta",'Mapa final'!$AJ$20="Menor"),CONCATENATE("R2C",'Mapa final'!$R$20),"")</f>
        <v/>
      </c>
      <c r="U12" s="33" t="str">
        <f>IF(AND('Mapa final'!$AH$21="Muy Alta",'Mapa final'!$AJ$21="Menor"),CONCATENATE("R2C",'Mapa final'!$R$21),"")</f>
        <v/>
      </c>
      <c r="V12" s="34" t="str">
        <f>IF(AND('Mapa final'!$AH$23="Muy Alta",'Mapa final'!$AJ$23="Menor"),CONCATENATE("R2C",'Mapa final'!$R$23),"")</f>
        <v/>
      </c>
      <c r="W12" s="32"/>
      <c r="X12" s="33" t="str">
        <f>IF(AND('Mapa final'!$AH$16="Muy Alta",'Mapa final'!$AJ$16="Moderado"),CONCATENATE("R2C",'Mapa final'!$R$15),"")</f>
        <v/>
      </c>
      <c r="Y12" s="33"/>
      <c r="Z12" s="33" t="str">
        <f>IF(AND('Mapa final'!$AH$20="Muy Alta",'Mapa final'!$AJ$20="Moderado"),CONCATENATE("R2C",'Mapa final'!$R$20),"")</f>
        <v/>
      </c>
      <c r="AA12" s="33" t="str">
        <f>IF(AND('Mapa final'!$AH$21="Muy Alta",'Mapa final'!$AJ$21="Moderado"),CONCATENATE("R2C",'Mapa final'!$R$21),"")</f>
        <v/>
      </c>
      <c r="AB12" s="34" t="str">
        <f>IF(AND('Mapa final'!$AH$23="Muy Alta",'Mapa final'!$AJ$23="Moderado"),CONCATENATE("R2C",'Mapa final'!$R$23),"")</f>
        <v/>
      </c>
      <c r="AC12" s="32"/>
      <c r="AD12" s="33" t="str">
        <f>IF(AND('Mapa final'!$AH$16="Muy Alta",'Mapa final'!$AJ$16="Mayor"),CONCATENATE("R2C",'Mapa final'!$R$15),"")</f>
        <v/>
      </c>
      <c r="AE12" s="33" t="str">
        <f>IF(AND('Mapa final'!$AH$17="Muy Alta",'Mapa final'!$AJ$17="Mayor"),CONCATENATE("R2C",'Mapa final'!$R$17),"")</f>
        <v/>
      </c>
      <c r="AF12" s="33" t="str">
        <f>IF(AND('Mapa final'!$AH$20="Muy Alta",'Mapa final'!$AJ$20="Mayor"),CONCATENATE("R2C",'Mapa final'!$R$20),"")</f>
        <v/>
      </c>
      <c r="AG12" s="33" t="str">
        <f>IF(AND('Mapa final'!$AH$21="Muy Alta",'Mapa final'!$AJ$21="Mayor"),CONCATENATE("R2C",'Mapa final'!$R$21),"")</f>
        <v/>
      </c>
      <c r="AH12" s="34" t="str">
        <f>IF(AND('Mapa final'!$AH$23="Muy Alta",'Mapa final'!$AJ$23="Mayor"),CONCATENATE("R2C",'Mapa final'!$R$23),"")</f>
        <v/>
      </c>
      <c r="AI12" s="35"/>
      <c r="AJ12" s="36" t="str">
        <f>IF(AND('Mapa final'!$AH$16="Muy Alta",'Mapa final'!$AJ$16="Catastrófico"),CONCATENATE("R2C",'Mapa final'!$R$15),"")</f>
        <v/>
      </c>
      <c r="AK12" s="36" t="str">
        <f>IF(AND('Mapa final'!$AH$17="Muy Alta",'Mapa final'!$AJ$17="Catastrófico"),CONCATENATE("R2C",'Mapa final'!$R$17),"")</f>
        <v/>
      </c>
      <c r="AL12" s="36" t="str">
        <f>IF(AND('Mapa final'!$AH$20="Muy Alta",'Mapa final'!$AJ$20="Catastrófico"),CONCATENATE("R2C",'Mapa final'!$R$20),"")</f>
        <v/>
      </c>
      <c r="AM12" s="36" t="str">
        <f>IF(AND('Mapa final'!$AH$21="Muy Alta",'Mapa final'!$AJ$21="Catastrófico"),CONCATENATE("R2C",'Mapa final'!$R$21),"")</f>
        <v/>
      </c>
      <c r="AN12" s="37" t="str">
        <f>IF(AND('Mapa final'!$AH$23="Muy Alta",'Mapa final'!$AJ$23="Catastrófico"),CONCATENATE("R2C",'Mapa final'!$R$23),"")</f>
        <v/>
      </c>
      <c r="AO12" s="68"/>
      <c r="AP12" s="431" t="s">
        <v>259</v>
      </c>
      <c r="AQ12" s="432"/>
      <c r="AR12" s="432"/>
      <c r="AS12" s="432"/>
      <c r="AT12" s="432"/>
      <c r="AU12" s="433"/>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x14ac:dyDescent="0.25">
      <c r="B13" s="68"/>
      <c r="C13" s="371"/>
      <c r="D13" s="371"/>
      <c r="E13" s="372"/>
      <c r="F13" s="414"/>
      <c r="G13" s="415"/>
      <c r="H13" s="415"/>
      <c r="I13" s="415"/>
      <c r="J13" s="415"/>
      <c r="K13" s="38" t="str">
        <f>IF(AND('Mapa final'!$AH$24="Muy Alta",'Mapa final'!$AJ$24="Leve"),CONCATENATE("R2C",'Mapa final'!$R$24),"")</f>
        <v/>
      </c>
      <c r="L13" s="39" t="e">
        <f>IF(AND('Mapa final'!#REF!="Muy Alta",'Mapa final'!#REF!="Leve"),CONCATENATE("R2C",'Mapa final'!#REF!),"")</f>
        <v>#REF!</v>
      </c>
      <c r="M13" s="39" t="str">
        <f>IF(AND('Mapa final'!$AH$34="Muy Alta",'Mapa final'!$AJ$34="Leve"),CONCATENATE("R2C",'Mapa final'!$R$34),"")</f>
        <v/>
      </c>
      <c r="N13" s="39" t="str">
        <f>IF(AND('Mapa final'!$AH$35="Muy Alta",'Mapa final'!$AJ$35="Leve"),CONCATENATE("R2C",'Mapa final'!$R$35),"")</f>
        <v/>
      </c>
      <c r="O13" s="39" t="str">
        <f>IF(AND('Mapa final'!$AH$36="Muy Alta",'Mapa final'!$AJ$36="Leve"),CONCATENATE("R2C",'Mapa final'!$R$36),"")</f>
        <v/>
      </c>
      <c r="P13" s="40" t="str">
        <f>IF(AND('Mapa final'!$AH$37="Muy Alta",'Mapa final'!$AJ$37="Leve"),CONCATENATE("R2C",'Mapa final'!$R$37),"")</f>
        <v/>
      </c>
      <c r="Q13" s="39" t="str">
        <f>IF(AND('Mapa final'!$AH$24="Muy Alta",'Mapa final'!$AJ$24="Menor"),CONCATENATE("R2C",'Mapa final'!$R$24),"")</f>
        <v/>
      </c>
      <c r="R13" s="39" t="e">
        <f>IF(AND('Mapa final'!#REF!="Muy Alta",'Mapa final'!#REF!="Menor"),CONCATENATE("R2C",'Mapa final'!#REF!),"")</f>
        <v>#REF!</v>
      </c>
      <c r="S13" s="39" t="str">
        <f>IF(AND('Mapa final'!$AH$34="Muy Alta",'Mapa final'!$AJ$34="Menor"),CONCATENATE("R2C",'Mapa final'!$R$34),"")</f>
        <v/>
      </c>
      <c r="T13" s="39" t="str">
        <f>IF(AND('Mapa final'!$AH$35="Muy Alta",'Mapa final'!$AJ$35="Menor"),CONCATENATE("R2C",'Mapa final'!$R$35),"")</f>
        <v/>
      </c>
      <c r="U13" s="39" t="str">
        <f>IF(AND('Mapa final'!$AH$36="Muy Alta",'Mapa final'!$AJ$36="Menor"),CONCATENATE("R2C",'Mapa final'!$R$36),"")</f>
        <v/>
      </c>
      <c r="V13" s="40" t="str">
        <f>IF(AND('Mapa final'!$AH$37="Muy Alta",'Mapa final'!$AJ$37="Menor"),CONCATENATE("R2C",'Mapa final'!$R$37),"")</f>
        <v/>
      </c>
      <c r="W13" s="38" t="str">
        <f>IF(AND('Mapa final'!$AH$24="Muy Alta",'Mapa final'!$AJ$24="Moderado"),CONCATENATE("R2C",'Mapa final'!$R$24),"")</f>
        <v/>
      </c>
      <c r="X13" s="39" t="e">
        <f>IF(AND('Mapa final'!#REF!="Muy Alta",'Mapa final'!#REF!="Moderado"),CONCATENATE("R2C",'Mapa final'!#REF!),"")</f>
        <v>#REF!</v>
      </c>
      <c r="Y13" s="39" t="str">
        <f>IF(AND('Mapa final'!$AH$34="Muy Alta",'Mapa final'!$AJ$34="Moderado"),CONCATENATE("R2C",'Mapa final'!$R$34),"")</f>
        <v/>
      </c>
      <c r="Z13" s="39" t="str">
        <f>IF(AND('Mapa final'!$AH$35="Muy Alta",'Mapa final'!$AJ$35="Moderado"),CONCATENATE("R2C",'Mapa final'!$R$35),"")</f>
        <v/>
      </c>
      <c r="AA13" s="39" t="str">
        <f>IF(AND('Mapa final'!$AH$36="Muy Alta",'Mapa final'!$AJ$36="Moderado"),CONCATENATE("R2C",'Mapa final'!$R$36),"")</f>
        <v/>
      </c>
      <c r="AB13" s="40" t="str">
        <f>IF(AND('Mapa final'!$AH$37="Muy Alta",'Mapa final'!$AJ$37="Moderado"),CONCATENATE("R2C",'Mapa final'!$R$37),"")</f>
        <v/>
      </c>
      <c r="AC13" s="38" t="str">
        <f>IF(AND('Mapa final'!$AH$24="Muy Alta",'Mapa final'!$AJ$24="Mayor"),CONCATENATE("R2C",'Mapa final'!$R$24),"")</f>
        <v/>
      </c>
      <c r="AD13" s="39" t="e">
        <f>IF(AND('Mapa final'!#REF!="Muy Alta",'Mapa final'!#REF!="Mayor"),CONCATENATE("R2C",'Mapa final'!#REF!),"")</f>
        <v>#REF!</v>
      </c>
      <c r="AE13" s="39" t="str">
        <f>IF(AND('Mapa final'!$AH$34="Muy Alta",'Mapa final'!$AJ$34="Mayor"),CONCATENATE("R2C",'Mapa final'!$R$34),"")</f>
        <v/>
      </c>
      <c r="AF13" s="39" t="str">
        <f>IF(AND('Mapa final'!$AH$35="Muy Alta",'Mapa final'!$AJ$35="Mayor"),CONCATENATE("R2C",'Mapa final'!$R$35),"")</f>
        <v/>
      </c>
      <c r="AG13" s="39" t="str">
        <f>IF(AND('Mapa final'!$AH$36="Muy Alta",'Mapa final'!$AJ$36="Mayor"),CONCATENATE("R2C",'Mapa final'!$R$36),"")</f>
        <v/>
      </c>
      <c r="AH13" s="40" t="str">
        <f>IF(AND('Mapa final'!$AH$37="Muy Alta",'Mapa final'!$AJ$37="Mayor"),CONCATENATE("R2C",'Mapa final'!$R$37),"")</f>
        <v/>
      </c>
      <c r="AI13" s="41" t="str">
        <f>IF(AND('Mapa final'!$AH$24="Muy Alta",'Mapa final'!$AJ$24="Catastrófico"),CONCATENATE("R2C",'Mapa final'!$R$24),"")</f>
        <v/>
      </c>
      <c r="AJ13" s="42" t="e">
        <f>IF(AND('Mapa final'!#REF!="Muy Alta",'Mapa final'!#REF!="Catastrófico"),CONCATENATE("R2C",'Mapa final'!#REF!),"")</f>
        <v>#REF!</v>
      </c>
      <c r="AK13" s="42" t="str">
        <f>IF(AND('Mapa final'!$AH$34="Muy Alta",'Mapa final'!$AJ$34="Catastrófico"),CONCATENATE("R2C",'Mapa final'!$R$34),"")</f>
        <v/>
      </c>
      <c r="AL13" s="42" t="str">
        <f>IF(AND('Mapa final'!$AH$35="Muy Alta",'Mapa final'!$AJ$35="Catastrófico"),CONCATENATE("R2C",'Mapa final'!$R$35),"")</f>
        <v/>
      </c>
      <c r="AM13" s="42" t="str">
        <f>IF(AND('Mapa final'!$AH$36="Muy Alta",'Mapa final'!$AJ$36="Catastrófico"),CONCATENATE("R2C",'Mapa final'!$R$36),"")</f>
        <v/>
      </c>
      <c r="AN13" s="43" t="str">
        <f>IF(AND('Mapa final'!$AH$37="Muy Alta",'Mapa final'!$AJ$37="Catastrófico"),CONCATENATE("R2C",'Mapa final'!$R$37),"")</f>
        <v/>
      </c>
      <c r="AO13" s="68"/>
      <c r="AP13" s="434"/>
      <c r="AQ13" s="435"/>
      <c r="AR13" s="435"/>
      <c r="AS13" s="435"/>
      <c r="AT13" s="435"/>
      <c r="AU13" s="436"/>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x14ac:dyDescent="0.25">
      <c r="B14" s="68"/>
      <c r="C14" s="371"/>
      <c r="D14" s="371"/>
      <c r="E14" s="372"/>
      <c r="F14" s="414"/>
      <c r="G14" s="415"/>
      <c r="H14" s="415"/>
      <c r="I14" s="415"/>
      <c r="J14" s="415"/>
      <c r="K14" s="38" t="str">
        <f>IF(AND('Mapa final'!$AH$38="Muy Alta",'Mapa final'!$AJ$38="Leve"),CONCATENATE("R2C",'Mapa final'!$R$38),"")</f>
        <v/>
      </c>
      <c r="L14" s="39" t="str">
        <f>IF(AND('Mapa final'!$AH$39="Muy Alta",'Mapa final'!$AJ$39="Leve"),CONCATENATE("R2C",'Mapa final'!$R$39),"")</f>
        <v/>
      </c>
      <c r="M14" s="39" t="str">
        <f>IF(AND('Mapa final'!$AH$40="Muy Alta",'Mapa final'!$AJ$40="Leve"),CONCATENATE("R2C",'Mapa final'!$R$40),"")</f>
        <v/>
      </c>
      <c r="N14" s="39" t="str">
        <f>IF(AND('Mapa final'!$AH$41="Muy Alta",'Mapa final'!$AJ$41="Leve"),CONCATENATE("R2C",'Mapa final'!$R$41),"")</f>
        <v/>
      </c>
      <c r="O14" s="39" t="str">
        <f>IF(AND('Mapa final'!$AH$42="Muy Alta",'Mapa final'!$AJ$42="Leve"),CONCATENATE("R2C",'Mapa final'!$R$42),"")</f>
        <v/>
      </c>
      <c r="P14" s="40" t="str">
        <f>IF(AND('Mapa final'!$AH$43="Muy Alta",'Mapa final'!$AJ$43="Leve"),CONCATENATE("R2C",'Mapa final'!$R$43),"")</f>
        <v/>
      </c>
      <c r="Q14" s="39" t="str">
        <f>IF(AND('Mapa final'!$AH$38="Muy Alta",'Mapa final'!$AJ$38="Menor"),CONCATENATE("R2C",'Mapa final'!$R$38),"")</f>
        <v/>
      </c>
      <c r="R14" s="39" t="str">
        <f>IF(AND('Mapa final'!$AH$39="Muy Alta",'Mapa final'!$AJ$39="Menor"),CONCATENATE("R2C",'Mapa final'!$R$39),"")</f>
        <v/>
      </c>
      <c r="S14" s="39" t="str">
        <f>IF(AND('Mapa final'!$AH$40="Muy Alta",'Mapa final'!$AJ$40="Menor"),CONCATENATE("R2C",'Mapa final'!$R$40),"")</f>
        <v/>
      </c>
      <c r="T14" s="39" t="str">
        <f>IF(AND('Mapa final'!$AH$41="Muy Alta",'Mapa final'!$AJ$41="Menor"),CONCATENATE("R2C",'Mapa final'!$R$41),"")</f>
        <v/>
      </c>
      <c r="U14" s="39" t="str">
        <f>IF(AND('Mapa final'!$AH$42="Muy Alta",'Mapa final'!$AJ$42="Menor"),CONCATENATE("R2C",'Mapa final'!$R$42),"")</f>
        <v/>
      </c>
      <c r="V14" s="40" t="str">
        <f>IF(AND('Mapa final'!$AH$43="Muy Alta",'Mapa final'!$AJ$43="Menor"),CONCATENATE("R2C",'Mapa final'!$R$43),"")</f>
        <v/>
      </c>
      <c r="W14" s="38" t="str">
        <f>IF(AND('Mapa final'!$AH$38="Muy Alta",'Mapa final'!$AJ$38="Moderado"),CONCATENATE("R2C",'Mapa final'!$R$38),"")</f>
        <v/>
      </c>
      <c r="X14" s="39" t="str">
        <f>IF(AND('Mapa final'!$AH$39="Muy Alta",'Mapa final'!$AJ$39="Moderado"),CONCATENATE("R2C",'Mapa final'!$R$39),"")</f>
        <v/>
      </c>
      <c r="Y14" s="39" t="str">
        <f>IF(AND('Mapa final'!$AH$40="Muy Alta",'Mapa final'!$AJ$40="Moderado"),CONCATENATE("R2C",'Mapa final'!$R$40),"")</f>
        <v/>
      </c>
      <c r="Z14" s="39" t="str">
        <f>IF(AND('Mapa final'!$AH$41="Muy Alta",'Mapa final'!$AJ$41="Moderado"),CONCATENATE("R2C",'Mapa final'!$R$41),"")</f>
        <v/>
      </c>
      <c r="AA14" s="39" t="str">
        <f>IF(AND('Mapa final'!$AH$42="Muy Alta",'Mapa final'!$AJ$42="Moderado"),CONCATENATE("R2C",'Mapa final'!$R$42),"")</f>
        <v/>
      </c>
      <c r="AB14" s="40" t="str">
        <f>IF(AND('Mapa final'!$AH$43="Muy Alta",'Mapa final'!$AJ$43="Moderado"),CONCATENATE("R2C",'Mapa final'!$R$43),"")</f>
        <v/>
      </c>
      <c r="AC14" s="38" t="str">
        <f>IF(AND('Mapa final'!$AH$38="Muy Alta",'Mapa final'!$AJ$38="Mayor"),CONCATENATE("R2C",'Mapa final'!$R$38),"")</f>
        <v/>
      </c>
      <c r="AD14" s="39" t="str">
        <f>IF(AND('Mapa final'!$AH$39="Muy Alta",'Mapa final'!$AJ$39="Mayor"),CONCATENATE("R2C",'Mapa final'!$R$39),"")</f>
        <v/>
      </c>
      <c r="AE14" s="39" t="str">
        <f>IF(AND('Mapa final'!$AH$40="Muy Alta",'Mapa final'!$AJ$40="Mayor"),CONCATENATE("R2C",'Mapa final'!$R$40),"")</f>
        <v/>
      </c>
      <c r="AF14" s="39" t="str">
        <f>IF(AND('Mapa final'!$AH$41="Muy Alta",'Mapa final'!$AJ$41="Mayor"),CONCATENATE("R2C",'Mapa final'!$R$41),"")</f>
        <v/>
      </c>
      <c r="AG14" s="39" t="str">
        <f>IF(AND('Mapa final'!$AH$42="Muy Alta",'Mapa final'!$AJ$42="Mayor"),CONCATENATE("R2C",'Mapa final'!$R$42),"")</f>
        <v/>
      </c>
      <c r="AH14" s="40" t="str">
        <f>IF(AND('Mapa final'!$AH$43="Muy Alta",'Mapa final'!$AJ$43="Mayor"),CONCATENATE("R2C",'Mapa final'!$R$43),"")</f>
        <v/>
      </c>
      <c r="AI14" s="41" t="str">
        <f>IF(AND('Mapa final'!$AH$38="Muy Alta",'Mapa final'!$AJ$38="Catastrófico"),CONCATENATE("R2C",'Mapa final'!$R$38),"")</f>
        <v/>
      </c>
      <c r="AJ14" s="42" t="str">
        <f>IF(AND('Mapa final'!$AH$39="Muy Alta",'Mapa final'!$AJ$39="Catastrófico"),CONCATENATE("R2C",'Mapa final'!$R$39),"")</f>
        <v/>
      </c>
      <c r="AK14" s="42" t="str">
        <f>IF(AND('Mapa final'!$AH$40="Muy Alta",'Mapa final'!$AJ$40="Catastrófico"),CONCATENATE("R2C",'Mapa final'!$R$40),"")</f>
        <v/>
      </c>
      <c r="AL14" s="42" t="str">
        <f>IF(AND('Mapa final'!$AH$41="Muy Alta",'Mapa final'!$AJ$41="Catastrófico"),CONCATENATE("R2C",'Mapa final'!$R$41),"")</f>
        <v/>
      </c>
      <c r="AM14" s="42" t="str">
        <f>IF(AND('Mapa final'!$AH$42="Muy Alta",'Mapa final'!$AJ$42="Catastrófico"),CONCATENATE("R2C",'Mapa final'!$R$42),"")</f>
        <v/>
      </c>
      <c r="AN14" s="43" t="str">
        <f>IF(AND('Mapa final'!$AH$43="Muy Alta",'Mapa final'!$AJ$43="Catastrófico"),CONCATENATE("R2C",'Mapa final'!$R$43),"")</f>
        <v/>
      </c>
      <c r="AO14" s="68"/>
      <c r="AP14" s="434"/>
      <c r="AQ14" s="435"/>
      <c r="AR14" s="435"/>
      <c r="AS14" s="435"/>
      <c r="AT14" s="435"/>
      <c r="AU14" s="436"/>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x14ac:dyDescent="0.25">
      <c r="B15" s="68"/>
      <c r="C15" s="371"/>
      <c r="D15" s="371"/>
      <c r="E15" s="372"/>
      <c r="F15" s="414"/>
      <c r="G15" s="415"/>
      <c r="H15" s="415"/>
      <c r="I15" s="415"/>
      <c r="J15" s="415"/>
      <c r="K15" s="38" t="str">
        <f>IF(AND('Mapa final'!$AH$44="Muy Alta",'Mapa final'!$AJ$44="Leve"),CONCATENATE("R2C",'Mapa final'!$R$44),"")</f>
        <v/>
      </c>
      <c r="L15" s="39" t="str">
        <f>IF(AND('Mapa final'!$AH$45="Muy Alta",'Mapa final'!$AJ$45="Leve"),CONCATENATE("R2C",'Mapa final'!$R$45),"")</f>
        <v/>
      </c>
      <c r="M15" s="39" t="str">
        <f>IF(AND('Mapa final'!$AH$46="Muy Alta",'Mapa final'!$AJ$46="Leve"),CONCATENATE("R2C",'Mapa final'!$R$46),"")</f>
        <v/>
      </c>
      <c r="N15" s="39" t="str">
        <f>IF(AND('Mapa final'!$AH$47="Muy Alta",'Mapa final'!$AJ$47="Leve"),CONCATENATE("R2C",'Mapa final'!$R$47),"")</f>
        <v/>
      </c>
      <c r="O15" s="39" t="str">
        <f>IF(AND('Mapa final'!$AH$48="Muy Alta",'Mapa final'!$AJ$48="Leve"),CONCATENATE("R2C",'Mapa final'!$R$48),"")</f>
        <v/>
      </c>
      <c r="P15" s="40" t="str">
        <f>IF(AND('Mapa final'!$AH$49="Muy Alta",'Mapa final'!$AJ$49="Leve"),CONCATENATE("R2C",'Mapa final'!$R$49),"")</f>
        <v/>
      </c>
      <c r="Q15" s="39" t="str">
        <f>IF(AND('Mapa final'!$AH$44="Muy Alta",'Mapa final'!$AJ$44="Menor"),CONCATENATE("R2C",'Mapa final'!$R$44),"")</f>
        <v/>
      </c>
      <c r="R15" s="39" t="str">
        <f>IF(AND('Mapa final'!$AH$45="Muy Alta",'Mapa final'!$AJ$45="Menor"),CONCATENATE("R2C",'Mapa final'!$R$45),"")</f>
        <v/>
      </c>
      <c r="S15" s="39" t="str">
        <f>IF(AND('Mapa final'!$AH$46="Muy Alta",'Mapa final'!$AJ$46="Menor"),CONCATENATE("R2C",'Mapa final'!$R$46),"")</f>
        <v/>
      </c>
      <c r="T15" s="39" t="str">
        <f>IF(AND('Mapa final'!$AH$47="Muy Alta",'Mapa final'!$AJ$47="Menor"),CONCATENATE("R2C",'Mapa final'!$R$47),"")</f>
        <v/>
      </c>
      <c r="U15" s="39" t="str">
        <f>IF(AND('Mapa final'!$AH$48="Muy Alta",'Mapa final'!$AJ$48="LMenor"),CONCATENATE("R2C",'Mapa final'!$R$48),"")</f>
        <v/>
      </c>
      <c r="V15" s="40" t="str">
        <f>IF(AND('Mapa final'!$AH$49="Muy Alta",'Mapa final'!$AJ$49="Menor"),CONCATENATE("R2C",'Mapa final'!$R$49),"")</f>
        <v/>
      </c>
      <c r="W15" s="38" t="str">
        <f>IF(AND('Mapa final'!$AH$44="Muy Alta",'Mapa final'!$AJ$44="Moderado"),CONCATENATE("R2C",'Mapa final'!$R$44),"")</f>
        <v/>
      </c>
      <c r="X15" s="39" t="str">
        <f>IF(AND('Mapa final'!$AH$45="Muy Alta",'Mapa final'!$AJ$45="Moderado"),CONCATENATE("R2C",'Mapa final'!$R$45),"")</f>
        <v/>
      </c>
      <c r="Y15" s="39" t="str">
        <f>IF(AND('Mapa final'!$AH$46="Muy Alta",'Mapa final'!$AJ$46="Moderado"),CONCATENATE("R2C",'Mapa final'!$R$46),"")</f>
        <v/>
      </c>
      <c r="Z15" s="39" t="str">
        <f>IF(AND('Mapa final'!$AH$47="Muy Alta",'Mapa final'!$AJ$47="Moderado"),CONCATENATE("R2C",'Mapa final'!$R$47),"")</f>
        <v/>
      </c>
      <c r="AA15" s="39" t="str">
        <f>IF(AND('Mapa final'!$AH$48="Muy Alta",'Mapa final'!$AJ$48="Moderado"),CONCATENATE("R2C",'Mapa final'!$R$48),"")</f>
        <v/>
      </c>
      <c r="AB15" s="40" t="str">
        <f>IF(AND('Mapa final'!$AH$49="Muy Alta",'Mapa final'!$AJ$49="Moderado"),CONCATENATE("R2C",'Mapa final'!$R$49),"")</f>
        <v/>
      </c>
      <c r="AC15" s="38" t="str">
        <f>IF(AND('Mapa final'!$AH$44="Muy Alta",'Mapa final'!$AJ$44="Mayor"),CONCATENATE("R2C",'Mapa final'!$R$44),"")</f>
        <v/>
      </c>
      <c r="AD15" s="39" t="str">
        <f>IF(AND('Mapa final'!$AH$45="Muy Alta",'Mapa final'!$AJ$45="Mayor"),CONCATENATE("R2C",'Mapa final'!$R$45),"")</f>
        <v/>
      </c>
      <c r="AE15" s="39" t="str">
        <f>IF(AND('Mapa final'!$AH$46="Muy Alta",'Mapa final'!$AJ$46="Mayor"),CONCATENATE("R2C",'Mapa final'!$R$46),"")</f>
        <v/>
      </c>
      <c r="AF15" s="39" t="str">
        <f>IF(AND('Mapa final'!$AH$47="Muy Alta",'Mapa final'!$AJ$47="Mayor"),CONCATENATE("R2C",'Mapa final'!$R$47),"")</f>
        <v/>
      </c>
      <c r="AG15" s="39" t="str">
        <f>IF(AND('Mapa final'!$AH$48="Muy Alta",'Mapa final'!$AJ$48="Mayor"),CONCATENATE("R2C",'Mapa final'!$R$48),"")</f>
        <v/>
      </c>
      <c r="AH15" s="40" t="str">
        <f>IF(AND('Mapa final'!$AH$49="Muy Alta",'Mapa final'!$AJ$49="Mayor"),CONCATENATE("R2C",'Mapa final'!$R$49),"")</f>
        <v/>
      </c>
      <c r="AI15" s="41" t="str">
        <f>IF(AND('Mapa final'!$AH$44="Muy Alta",'Mapa final'!$AJ$44="Catastrófico"),CONCATENATE("R2C",'Mapa final'!$R$44),"")</f>
        <v/>
      </c>
      <c r="AJ15" s="42" t="str">
        <f>IF(AND('Mapa final'!$AH$45="Muy Alta",'Mapa final'!$AJ$45="Catastrófico"),CONCATENATE("R2C",'Mapa final'!$R$45),"")</f>
        <v/>
      </c>
      <c r="AK15" s="42" t="str">
        <f>IF(AND('Mapa final'!$AH$46="Muy Alta",'Mapa final'!$AJ$46="Catastrófico"),CONCATENATE("R2C",'Mapa final'!$R$46),"")</f>
        <v/>
      </c>
      <c r="AL15" s="42" t="str">
        <f>IF(AND('Mapa final'!$AH$47="Muy Alta",'Mapa final'!$AJ$47="Catastrófico"),CONCATENATE("R2C",'Mapa final'!$R$47),"")</f>
        <v/>
      </c>
      <c r="AM15" s="42" t="str">
        <f>IF(AND('Mapa final'!$AH$48="Muy Alta",'Mapa final'!$AJ$48="LCatastrófico"),CONCATENATE("R2C",'Mapa final'!$R$48),"")</f>
        <v/>
      </c>
      <c r="AN15" s="43" t="str">
        <f>IF(AND('Mapa final'!$AH$49="Muy Alta",'Mapa final'!$AJ$49="Catastrófico"),CONCATENATE("R2C",'Mapa final'!$R$49),"")</f>
        <v/>
      </c>
      <c r="AO15" s="68"/>
      <c r="AP15" s="434"/>
      <c r="AQ15" s="435"/>
      <c r="AR15" s="435"/>
      <c r="AS15" s="435"/>
      <c r="AT15" s="435"/>
      <c r="AU15" s="436"/>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x14ac:dyDescent="0.25">
      <c r="B16" s="68"/>
      <c r="C16" s="371"/>
      <c r="D16" s="371"/>
      <c r="E16" s="372"/>
      <c r="F16" s="414"/>
      <c r="G16" s="415"/>
      <c r="H16" s="415"/>
      <c r="I16" s="415"/>
      <c r="J16" s="415"/>
      <c r="K16" s="38" t="str">
        <f>IF(AND('Mapa final'!$AH$50="Muy Alta",'Mapa final'!$AJ$50="Leve"),CONCATENATE("R2C",'Mapa final'!$R$50),"")</f>
        <v/>
      </c>
      <c r="L16" s="39" t="str">
        <f>IF(AND('Mapa final'!$AH$51="Muy Alta",'Mapa final'!$AJ$51="Leve"),CONCATENATE("R2C",'Mapa final'!$R$51),"")</f>
        <v/>
      </c>
      <c r="M16" s="39" t="str">
        <f>IF(AND('Mapa final'!$AH$52="Muy Alta",'Mapa final'!$AJ$52="Leve"),CONCATENATE("R2C",'Mapa final'!$R$52),"")</f>
        <v/>
      </c>
      <c r="N16" s="39" t="str">
        <f>IF(AND('Mapa final'!$AH$53="Muy Alta",'Mapa final'!$AJ$53="Leve"),CONCATENATE("R2C",'Mapa final'!$R$53),"")</f>
        <v/>
      </c>
      <c r="O16" s="39" t="str">
        <f>IF(AND('Mapa final'!$AH$54="Muy Alta",'Mapa final'!$AJ$54="Leve"),CONCATENATE("R2C",'Mapa final'!$R$54),"")</f>
        <v/>
      </c>
      <c r="P16" s="40" t="str">
        <f>IF(AND('Mapa final'!$AH$55="Muy Alta",'Mapa final'!$AJ$55="Leve"),CONCATENATE("R2C",'Mapa final'!$R$55),"")</f>
        <v/>
      </c>
      <c r="Q16" s="39" t="str">
        <f>IF(AND('Mapa final'!$AH$50="Muy Alta",'Mapa final'!$AJ$50="Menor"),CONCATENATE("R2C",'Mapa final'!$R$50),"")</f>
        <v/>
      </c>
      <c r="R16" s="39" t="str">
        <f>IF(AND('Mapa final'!$AH$51="Muy Alta",'Mapa final'!$AJ$51="Menor"),CONCATENATE("R2C",'Mapa final'!$R$51),"")</f>
        <v/>
      </c>
      <c r="S16" s="39" t="str">
        <f>IF(AND('Mapa final'!$AH$52="Muy Alta",'Mapa final'!$AJ$52="Menor"),CONCATENATE("R2C",'Mapa final'!$R$52),"")</f>
        <v/>
      </c>
      <c r="T16" s="39" t="str">
        <f>IF(AND('Mapa final'!$AH$53="Muy Alta",'Mapa final'!$AJ$53="Menor"),CONCATENATE("R2C",'Mapa final'!$R$53),"")</f>
        <v/>
      </c>
      <c r="U16" s="39" t="str">
        <f>IF(AND('Mapa final'!$AH$54="Muy Alta",'Mapa final'!$AJ$54="Menor"),CONCATENATE("R2C",'Mapa final'!$R$54),"")</f>
        <v/>
      </c>
      <c r="V16" s="40" t="str">
        <f>IF(AND('Mapa final'!$AH$55="Muy Alta",'Mapa final'!$AJ$55="Menor"),CONCATENATE("R2C",'Mapa final'!$R$55),"")</f>
        <v/>
      </c>
      <c r="W16" s="38" t="str">
        <f>IF(AND('Mapa final'!$AH$50="Muy Alta",'Mapa final'!$AJ$50="Moderado"),CONCATENATE("R2C",'Mapa final'!$R$50),"")</f>
        <v/>
      </c>
      <c r="X16" s="39" t="str">
        <f>IF(AND('Mapa final'!$AH$51="Muy Alta",'Mapa final'!$AJ$51="Moderado"),CONCATENATE("R2C",'Mapa final'!$R$51),"")</f>
        <v/>
      </c>
      <c r="Y16" s="39" t="str">
        <f>IF(AND('Mapa final'!$AH$52="Muy Alta",'Mapa final'!$AJ$52="Moderado"),CONCATENATE("R2C",'Mapa final'!$R$52),"")</f>
        <v/>
      </c>
      <c r="Z16" s="39" t="str">
        <f>IF(AND('Mapa final'!$AH$53="Muy Alta",'Mapa final'!$AJ$53="Moderado"),CONCATENATE("R2C",'Mapa final'!$R$53),"")</f>
        <v/>
      </c>
      <c r="AA16" s="39" t="str">
        <f>IF(AND('Mapa final'!$AH$54="Muy Alta",'Mapa final'!$AJ$54="Moderado"),CONCATENATE("R2C",'Mapa final'!$R$54),"")</f>
        <v/>
      </c>
      <c r="AB16" s="40" t="str">
        <f>IF(AND('Mapa final'!$AH$55="Muy Alta",'Mapa final'!$AJ$55="Moderado"),CONCATENATE("R2C",'Mapa final'!$R$55),"")</f>
        <v/>
      </c>
      <c r="AC16" s="38" t="str">
        <f>IF(AND('Mapa final'!$AH$50="Muy Alta",'Mapa final'!$AJ$50="Mayor"),CONCATENATE("R2C",'Mapa final'!$R$50),"")</f>
        <v/>
      </c>
      <c r="AD16" s="39" t="str">
        <f>IF(AND('Mapa final'!$AH$51="Muy Alta",'Mapa final'!$AJ$51="Mayor"),CONCATENATE("R2C",'Mapa final'!$R$51),"")</f>
        <v/>
      </c>
      <c r="AE16" s="39" t="str">
        <f>IF(AND('Mapa final'!$AH$52="Muy Alta",'Mapa final'!$AJ$52="Mayor"),CONCATENATE("R2C",'Mapa final'!$R$52),"")</f>
        <v/>
      </c>
      <c r="AF16" s="39" t="str">
        <f>IF(AND('Mapa final'!$AH$53="Muy Alta",'Mapa final'!$AJ$53="Mayor"),CONCATENATE("R2C",'Mapa final'!$R$53),"")</f>
        <v/>
      </c>
      <c r="AG16" s="39" t="str">
        <f>IF(AND('Mapa final'!$AH$54="Muy Alta",'Mapa final'!$AJ$54="Mayor"),CONCATENATE("R2C",'Mapa final'!$R$54),"")</f>
        <v/>
      </c>
      <c r="AH16" s="40" t="str">
        <f>IF(AND('Mapa final'!$AH$55="Muy Alta",'Mapa final'!$AJ$55="Mayor"),CONCATENATE("R2C",'Mapa final'!$R$55),"")</f>
        <v/>
      </c>
      <c r="AI16" s="41" t="str">
        <f>IF(AND('Mapa final'!$AH$50="Muy Alta",'Mapa final'!$AJ$50="Catastrófico"),CONCATENATE("R2C",'Mapa final'!$R$50),"")</f>
        <v/>
      </c>
      <c r="AJ16" s="42" t="str">
        <f>IF(AND('Mapa final'!$AH$51="Muy Alta",'Mapa final'!$AJ$51="Catastrófico"),CONCATENATE("R2C",'Mapa final'!$R$51),"")</f>
        <v/>
      </c>
      <c r="AK16" s="42" t="str">
        <f>IF(AND('Mapa final'!$AH$52="Muy Alta",'Mapa final'!$AJ$52="Catastrófico"),CONCATENATE("R2C",'Mapa final'!$R$52),"")</f>
        <v/>
      </c>
      <c r="AL16" s="42" t="str">
        <f>IF(AND('Mapa final'!$AH$53="Muy Alta",'Mapa final'!$AJ$53="Catastrófico"),CONCATENATE("R2C",'Mapa final'!$R$53),"")</f>
        <v/>
      </c>
      <c r="AM16" s="42" t="str">
        <f>IF(AND('Mapa final'!$AH$54="Muy Alta",'Mapa final'!$AJ$54="Catastrófico"),CONCATENATE("R2C",'Mapa final'!$R$54),"")</f>
        <v/>
      </c>
      <c r="AN16" s="43" t="str">
        <f>IF(AND('Mapa final'!$AH$55="Muy Alta",'Mapa final'!$AJ$55="Catastrófico"),CONCATENATE("R2C",'Mapa final'!$R$55),"")</f>
        <v/>
      </c>
      <c r="AO16" s="68"/>
      <c r="AP16" s="434"/>
      <c r="AQ16" s="435"/>
      <c r="AR16" s="435"/>
      <c r="AS16" s="435"/>
      <c r="AT16" s="435"/>
      <c r="AU16" s="436"/>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x14ac:dyDescent="0.25">
      <c r="B17" s="68"/>
      <c r="C17" s="371"/>
      <c r="D17" s="371"/>
      <c r="E17" s="372"/>
      <c r="F17" s="414"/>
      <c r="G17" s="415"/>
      <c r="H17" s="415"/>
      <c r="I17" s="415"/>
      <c r="J17" s="415"/>
      <c r="K17" s="38" t="str">
        <f>IF(AND('Mapa final'!$AH$56="Muy Alta",'Mapa final'!$AJ$56="Leve"),CONCATENATE("R2C",'Mapa final'!$R$56),"")</f>
        <v/>
      </c>
      <c r="L17" s="39" t="str">
        <f>IF(AND('Mapa final'!$AH$57="Muy Alta",'Mapa final'!$AJ$57="Leve"),CONCATENATE("R2C",'Mapa final'!$R$57),"")</f>
        <v/>
      </c>
      <c r="M17" s="39" t="str">
        <f>IF(AND('Mapa final'!$AH$58="Muy Alta",'Mapa final'!$AJ$58="Leve"),CONCATENATE("R2C",'Mapa final'!$R$58),"")</f>
        <v/>
      </c>
      <c r="N17" s="39" t="str">
        <f>IF(AND('Mapa final'!$AH$59="Muy Alta",'Mapa final'!$AJ$59="Leve"),CONCATENATE("R2C",'Mapa final'!$R$59),"")</f>
        <v/>
      </c>
      <c r="O17" s="39" t="str">
        <f>IF(AND('Mapa final'!$AH$60="Muy Alta",'Mapa final'!$AJ$60="Leve"),CONCATENATE("R2C",'Mapa final'!$R$60),"")</f>
        <v/>
      </c>
      <c r="P17" s="40" t="str">
        <f>IF(AND('Mapa final'!$AH$71="Muy Alta",'Mapa final'!$AJ$61="Leve"),CONCATENATE("R2C",'Mapa final'!$R$61),"")</f>
        <v/>
      </c>
      <c r="Q17" s="39" t="str">
        <f>IF(AND('Mapa final'!$AH$56="Muy Alta",'Mapa final'!$AJ$56="Menor"),CONCATENATE("R2C",'Mapa final'!$R$56),"")</f>
        <v/>
      </c>
      <c r="R17" s="39" t="str">
        <f>IF(AND('Mapa final'!$AH$57="Muy Alta",'Mapa final'!$AJ$57="Menor"),CONCATENATE("R2C",'Mapa final'!$R$57),"")</f>
        <v/>
      </c>
      <c r="S17" s="39" t="str">
        <f>IF(AND('Mapa final'!$AH$58="Muy Alta",'Mapa final'!$AJ$58="Menor"),CONCATENATE("R2C",'Mapa final'!$R$58),"")</f>
        <v/>
      </c>
      <c r="T17" s="39" t="str">
        <f>IF(AND('Mapa final'!$AH$59="Muy Alta",'Mapa final'!$AJ$59="Menor"),CONCATENATE("R2C",'Mapa final'!$R$59),"")</f>
        <v/>
      </c>
      <c r="U17" s="39" t="str">
        <f>IF(AND('Mapa final'!$AH$60="Muy Alta",'Mapa final'!$AJ$60="Menor"),CONCATENATE("R2C",'Mapa final'!$R$60),"")</f>
        <v/>
      </c>
      <c r="V17" s="40" t="str">
        <f>IF(AND('Mapa final'!$AH$71="Muy Alta",'Mapa final'!$AJ$61="Menor"),CONCATENATE("R2C",'Mapa final'!$R$61),"")</f>
        <v/>
      </c>
      <c r="W17" s="38" t="str">
        <f>IF(AND('Mapa final'!$AH$56="Muy Alta",'Mapa final'!$AJ$56="Moderado"),CONCATENATE("R2C",'Mapa final'!$R$56),"")</f>
        <v/>
      </c>
      <c r="X17" s="39" t="str">
        <f>IF(AND('Mapa final'!$AH$57="Muy Alta",'Mapa final'!$AJ$57="Moderado"),CONCATENATE("R2C",'Mapa final'!$R$57),"")</f>
        <v/>
      </c>
      <c r="Y17" s="39" t="str">
        <f>IF(AND('Mapa final'!$AH$58="Muy Alta",'Mapa final'!$AJ$58="Moderado"),CONCATENATE("R2C",'Mapa final'!$R$58),"")</f>
        <v/>
      </c>
      <c r="Z17" s="39" t="str">
        <f>IF(AND('Mapa final'!$AH$59="Muy Alta",'Mapa final'!$AJ$59="Moderado"),CONCATENATE("R2C",'Mapa final'!$R$59),"")</f>
        <v/>
      </c>
      <c r="AA17" s="39" t="str">
        <f>IF(AND('Mapa final'!$AH$60="Muy Alta",'Mapa final'!$AJ$60="Moderado"),CONCATENATE("R2C",'Mapa final'!$R$60),"")</f>
        <v/>
      </c>
      <c r="AB17" s="40" t="str">
        <f>IF(AND('Mapa final'!$AH$71="Muy Alta",'Mapa final'!$AJ$61="Moderado"),CONCATENATE("R2C",'Mapa final'!$R$61),"")</f>
        <v/>
      </c>
      <c r="AC17" s="38" t="str">
        <f>IF(AND('Mapa final'!$AH$56="Muy Alta",'Mapa final'!$AJ$56="Mayor"),CONCATENATE("R2C",'Mapa final'!$R$56),"")</f>
        <v/>
      </c>
      <c r="AD17" s="39" t="str">
        <f>IF(AND('Mapa final'!$AH$57="Muy Alta",'Mapa final'!$AJ$57="Mayor"),CONCATENATE("R2C",'Mapa final'!$R$57),"")</f>
        <v/>
      </c>
      <c r="AE17" s="39" t="str">
        <f>IF(AND('Mapa final'!$AH$58="Muy Alta",'Mapa final'!$AJ$58="Mayor"),CONCATENATE("R2C",'Mapa final'!$R$58),"")</f>
        <v/>
      </c>
      <c r="AF17" s="39" t="str">
        <f>IF(AND('Mapa final'!$AH$59="Muy Alta",'Mapa final'!$AJ$59="Mayor"),CONCATENATE("R2C",'Mapa final'!$R$59),"")</f>
        <v/>
      </c>
      <c r="AG17" s="39" t="str">
        <f>IF(AND('Mapa final'!$AH$60="Muy Alta",'Mapa final'!$AJ$60="Mayor"),CONCATENATE("R2C",'Mapa final'!$R$60),"")</f>
        <v/>
      </c>
      <c r="AH17" s="40" t="str">
        <f>IF(AND('Mapa final'!$AH$71="Muy Alta",'Mapa final'!$AJ$61="Mayor"),CONCATENATE("R2C",'Mapa final'!$R$61),"")</f>
        <v/>
      </c>
      <c r="AI17" s="41" t="str">
        <f>IF(AND('Mapa final'!$AH$56="Muy Alta",'Mapa final'!$AJ$56="Catastrófico"),CONCATENATE("R2C",'Mapa final'!$R$56),"")</f>
        <v/>
      </c>
      <c r="AJ17" s="42" t="str">
        <f>IF(AND('Mapa final'!$AH$57="Muy Alta",'Mapa final'!$AJ$57="Catastrófico"),CONCATENATE("R2C",'Mapa final'!$R$57),"")</f>
        <v/>
      </c>
      <c r="AK17" s="42" t="str">
        <f>IF(AND('Mapa final'!$AH$58="Muy Alta",'Mapa final'!$AJ$58="Catastrófico"),CONCATENATE("R2C",'Mapa final'!$R$58),"")</f>
        <v/>
      </c>
      <c r="AL17" s="42" t="str">
        <f>IF(AND('Mapa final'!$AH$59="Muy Alta",'Mapa final'!$AJ$59="Catastrófico"),CONCATENATE("R2C",'Mapa final'!$R$59),"")</f>
        <v/>
      </c>
      <c r="AM17" s="42" t="str">
        <f>IF(AND('Mapa final'!$AH$60="Muy Alta",'Mapa final'!$AJ$60="Catastrófico"),CONCATENATE("R2C",'Mapa final'!$R$60),"")</f>
        <v/>
      </c>
      <c r="AN17" s="43" t="str">
        <f>IF(AND('Mapa final'!$AH$71="Muy Alta",'Mapa final'!$AJ$61="Catastrófico"),CONCATENATE("R2C",'Mapa final'!$R$61),"")</f>
        <v/>
      </c>
      <c r="AO17" s="68"/>
      <c r="AP17" s="434"/>
      <c r="AQ17" s="435"/>
      <c r="AR17" s="435"/>
      <c r="AS17" s="435"/>
      <c r="AT17" s="435"/>
      <c r="AU17" s="436"/>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x14ac:dyDescent="0.25">
      <c r="B18" s="68"/>
      <c r="C18" s="371"/>
      <c r="D18" s="371"/>
      <c r="E18" s="372"/>
      <c r="F18" s="414"/>
      <c r="G18" s="415"/>
      <c r="H18" s="415"/>
      <c r="I18" s="415"/>
      <c r="J18" s="415"/>
      <c r="K18" s="38" t="str">
        <f>IF(AND('Mapa final'!$AH$62="Muy Alta",'Mapa final'!$AJ$62="Leve"),CONCATENATE("R2C",'Mapa final'!$R$62),"")</f>
        <v/>
      </c>
      <c r="L18" s="39" t="str">
        <f>IF(AND('Mapa final'!$AH$63="Muy Alta",'Mapa final'!$AJ$63="Leve"),CONCATENATE("R2C",'Mapa final'!$R$63),"")</f>
        <v/>
      </c>
      <c r="M18" s="39" t="str">
        <f>IF(AND('Mapa final'!$AH$64="Muy Alta",'Mapa final'!$AJ$64="Leve"),CONCATENATE("R2C",'Mapa final'!$R$64),"")</f>
        <v/>
      </c>
      <c r="N18" s="39" t="str">
        <f>IF(AND('Mapa final'!$AH$65="Muy Alta",'Mapa final'!$AJ$65="Leve"),CONCATENATE("R2C",'Mapa final'!$R$65),"")</f>
        <v/>
      </c>
      <c r="O18" s="39" t="str">
        <f>IF(AND('Mapa final'!$AH$66="Muy Alta",'Mapa final'!$AJ$66="Leve"),CONCATENATE("R2C",'Mapa final'!$R$66),"")</f>
        <v/>
      </c>
      <c r="P18" s="40" t="str">
        <f>IF(AND('Mapa final'!$AH$67="Muy Alta",'Mapa final'!$AJ$67="Leve"),CONCATENATE("R2C",'Mapa final'!$R$67),"")</f>
        <v/>
      </c>
      <c r="Q18" s="39" t="str">
        <f>IF(AND('Mapa final'!$AH$62="Muy Alta",'Mapa final'!$AJ$62="Menor"),CONCATENATE("R2C",'Mapa final'!$R$62),"")</f>
        <v/>
      </c>
      <c r="R18" s="39" t="str">
        <f>IF(AND('Mapa final'!$AH$63="Muy Alta",'Mapa final'!$AJ$63="Menor"),CONCATENATE("R2C",'Mapa final'!$R$63),"")</f>
        <v/>
      </c>
      <c r="S18" s="39" t="str">
        <f>IF(AND('Mapa final'!$AH$64="Muy Alta",'Mapa final'!$AJ$64="Menor"),CONCATENATE("R2C",'Mapa final'!$R$64),"")</f>
        <v/>
      </c>
      <c r="T18" s="39" t="str">
        <f>IF(AND('Mapa final'!$AH$65="Muy Alta",'Mapa final'!$AJ$65="Menor"),CONCATENATE("R2C",'Mapa final'!$R$65),"")</f>
        <v/>
      </c>
      <c r="U18" s="39" t="str">
        <f>IF(AND('Mapa final'!$AH$66="Muy Alta",'Mapa final'!$AJ$66="Menor"),CONCATENATE("R2C",'Mapa final'!$R$66),"")</f>
        <v/>
      </c>
      <c r="V18" s="40" t="str">
        <f>IF(AND('Mapa final'!$AH$67="Muy Alta",'Mapa final'!$AJ$67="Menor"),CONCATENATE("R2C",'Mapa final'!$R$67),"")</f>
        <v/>
      </c>
      <c r="W18" s="38" t="str">
        <f>IF(AND('Mapa final'!$AH$62="Muy Alta",'Mapa final'!$AJ$62="Moderado"),CONCATENATE("R2C",'Mapa final'!$R$62),"")</f>
        <v/>
      </c>
      <c r="X18" s="39" t="str">
        <f>IF(AND('Mapa final'!$AH$63="Muy Alta",'Mapa final'!$AJ$63="Moderado"),CONCATENATE("R2C",'Mapa final'!$R$63),"")</f>
        <v/>
      </c>
      <c r="Y18" s="39" t="str">
        <f>IF(AND('Mapa final'!$AH$64="Muy Alta",'Mapa final'!$AJ$64="Moderado"),CONCATENATE("R2C",'Mapa final'!$R$64),"")</f>
        <v/>
      </c>
      <c r="Z18" s="39" t="str">
        <f>IF(AND('Mapa final'!$AH$65="Muy Alta",'Mapa final'!$AJ$65="Moderado"),CONCATENATE("R2C",'Mapa final'!$R$65),"")</f>
        <v/>
      </c>
      <c r="AA18" s="39" t="str">
        <f>IF(AND('Mapa final'!$AH$66="Muy Alta",'Mapa final'!$AJ$66="Moderado"),CONCATENATE("R2C",'Mapa final'!$R$66),"")</f>
        <v/>
      </c>
      <c r="AB18" s="40" t="str">
        <f>IF(AND('Mapa final'!$AH$67="Muy Alta",'Mapa final'!$AJ$67="Moderado"),CONCATENATE("R2C",'Mapa final'!$R$67),"")</f>
        <v/>
      </c>
      <c r="AC18" s="38" t="str">
        <f>IF(AND('Mapa final'!$AH$62="Muy Alta",'Mapa final'!$AJ$62="Mayor"),CONCATENATE("R2C",'Mapa final'!$R$62),"")</f>
        <v/>
      </c>
      <c r="AD18" s="39" t="str">
        <f>IF(AND('Mapa final'!$AH$63="Muy Alta",'Mapa final'!$AJ$63="Mayor"),CONCATENATE("R2C",'Mapa final'!$R$63),"")</f>
        <v/>
      </c>
      <c r="AE18" s="39" t="str">
        <f>IF(AND('Mapa final'!$AH$64="Muy Alta",'Mapa final'!$AJ$64="Mayor"),CONCATENATE("R2C",'Mapa final'!$R$64),"")</f>
        <v/>
      </c>
      <c r="AF18" s="39" t="str">
        <f>IF(AND('Mapa final'!$AH$65="Muy Alta",'Mapa final'!$AJ$65="Mayor"),CONCATENATE("R2C",'Mapa final'!$R$65),"")</f>
        <v/>
      </c>
      <c r="AG18" s="39" t="str">
        <f>IF(AND('Mapa final'!$AH$66="Muy Alta",'Mapa final'!$AJ$66="Mayor"),CONCATENATE("R2C",'Mapa final'!$R$66),"")</f>
        <v/>
      </c>
      <c r="AH18" s="40" t="str">
        <f>IF(AND('Mapa final'!$AH$67="Muy Alta",'Mapa final'!$AJ$67="Mayor"),CONCATENATE("R2C",'Mapa final'!$R$67),"")</f>
        <v/>
      </c>
      <c r="AI18" s="41" t="str">
        <f>IF(AND('Mapa final'!$AH$62="Muy Alta",'Mapa final'!$AJ$62="Catastrófico"),CONCATENATE("R2C",'Mapa final'!$R$62),"")</f>
        <v/>
      </c>
      <c r="AJ18" s="42" t="str">
        <f>IF(AND('Mapa final'!$AH$63="Muy Alta",'Mapa final'!$AJ$63="Catastrófico"),CONCATENATE("R2C",'Mapa final'!$R$63),"")</f>
        <v/>
      </c>
      <c r="AK18" s="42" t="str">
        <f>IF(AND('Mapa final'!$AH$64="Muy Alta",'Mapa final'!$AJ$64="Catastrófico"),CONCATENATE("R2C",'Mapa final'!$R$64),"")</f>
        <v/>
      </c>
      <c r="AL18" s="42" t="str">
        <f>IF(AND('Mapa final'!$AH$65="Muy Alta",'Mapa final'!$AJ$65="Catastrófico"),CONCATENATE("R2C",'Mapa final'!$R$65),"")</f>
        <v/>
      </c>
      <c r="AM18" s="42" t="str">
        <f>IF(AND('Mapa final'!$AH$66="Muy Alta",'Mapa final'!$AJ$66="Catastrófico"),CONCATENATE("R2C",'Mapa final'!$R$66),"")</f>
        <v/>
      </c>
      <c r="AN18" s="43" t="str">
        <f>IF(AND('Mapa final'!$AH$67="Muy Alta",'Mapa final'!$AJ$67="Catastrófico"),CONCATENATE("R2C",'Mapa final'!$R$67),"")</f>
        <v/>
      </c>
      <c r="AO18" s="68"/>
      <c r="AP18" s="434"/>
      <c r="AQ18" s="435"/>
      <c r="AR18" s="435"/>
      <c r="AS18" s="435"/>
      <c r="AT18" s="435"/>
      <c r="AU18" s="436"/>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x14ac:dyDescent="0.25">
      <c r="B19" s="68"/>
      <c r="C19" s="371"/>
      <c r="D19" s="371"/>
      <c r="E19" s="372"/>
      <c r="F19" s="414"/>
      <c r="G19" s="415"/>
      <c r="H19" s="415"/>
      <c r="I19" s="415"/>
      <c r="J19" s="415"/>
      <c r="K19" s="38" t="str">
        <f>IF(AND('Mapa final'!$AH$68="Muy Alta",'Mapa final'!$AJ$68="Leve"),CONCATENATE("R2C",'Mapa final'!$R$68),"")</f>
        <v/>
      </c>
      <c r="L19" s="39" t="str">
        <f>IF(AND('Mapa final'!$AH$69="Muy Alta",'Mapa final'!$AJ$69="Leve"),CONCATENATE("R2C",'Mapa final'!$R$69),"")</f>
        <v/>
      </c>
      <c r="M19" s="39" t="str">
        <f>IF(AND('Mapa final'!$AH$70="Muy Alta",'Mapa final'!$AJ$70="Leve"),CONCATENATE("R2C",'Mapa final'!$R$70),"")</f>
        <v/>
      </c>
      <c r="N19" s="39" t="str">
        <f>IF(AND('Mapa final'!$AH$71="Muy Alta",'Mapa final'!$AJ$71="Leve"),CONCATENATE("R2C",'Mapa final'!$R$71),"")</f>
        <v/>
      </c>
      <c r="O19" s="39" t="str">
        <f>IF(AND('Mapa final'!$AH$72="Muy Alta",'Mapa final'!$AJ$72="Leve"),CONCATENATE("R2C",'Mapa final'!$R$72),"")</f>
        <v/>
      </c>
      <c r="P19" s="40" t="str">
        <f>IF(AND('Mapa final'!$AH$73="Muy Alta",'Mapa final'!$AJ$73="Leve"),CONCATENATE("R2C",'Mapa final'!$R$73),"")</f>
        <v/>
      </c>
      <c r="Q19" s="39" t="str">
        <f>IF(AND('Mapa final'!$AH$68="Muy Alta",'Mapa final'!$AJ$68="Menor"),CONCATENATE("R2C",'Mapa final'!$R$68),"")</f>
        <v/>
      </c>
      <c r="R19" s="39" t="str">
        <f>IF(AND('Mapa final'!$AH$69="Muy Alta",'Mapa final'!$AJ$69="Menor"),CONCATENATE("R2C",'Mapa final'!$R$69),"")</f>
        <v/>
      </c>
      <c r="S19" s="39" t="str">
        <f>IF(AND('Mapa final'!$AH$70="Muy Alta",'Mapa final'!$AJ$70="Menor"),CONCATENATE("R2C",'Mapa final'!$R$70),"")</f>
        <v/>
      </c>
      <c r="T19" s="39" t="str">
        <f>IF(AND('Mapa final'!$AH$71="Muy Alta",'Mapa final'!$AJ$71="Menor"),CONCATENATE("R2C",'Mapa final'!$R$71),"")</f>
        <v/>
      </c>
      <c r="U19" s="39" t="str">
        <f>IF(AND('Mapa final'!$AH$72="Muy Alta",'Mapa final'!$AJ$72="Menor"),CONCATENATE("R2C",'Mapa final'!$R$72),"")</f>
        <v/>
      </c>
      <c r="V19" s="40" t="str">
        <f>IF(AND('Mapa final'!$AH$73="Muy Alta",'Mapa final'!$AJ$73="Menor"),CONCATENATE("R2C",'Mapa final'!$R$73),"")</f>
        <v/>
      </c>
      <c r="W19" s="38" t="str">
        <f>IF(AND('Mapa final'!$AH$68="Muy Alta",'Mapa final'!$AJ$68="Moderado"),CONCATENATE("R2C",'Mapa final'!$R$68),"")</f>
        <v/>
      </c>
      <c r="X19" s="39" t="str">
        <f>IF(AND('Mapa final'!$AH$69="Muy Alta",'Mapa final'!$AJ$69="Moderado"),CONCATENATE("R2C",'Mapa final'!$R$69),"")</f>
        <v/>
      </c>
      <c r="Y19" s="39" t="str">
        <f>IF(AND('Mapa final'!$AH$70="Muy Alta",'Mapa final'!$AJ$70="Moderado"),CONCATENATE("R2C",'Mapa final'!$R$70),"")</f>
        <v/>
      </c>
      <c r="Z19" s="39" t="str">
        <f>IF(AND('Mapa final'!$AH$71="Muy Alta",'Mapa final'!$AJ$71="Moderado"),CONCATENATE("R2C",'Mapa final'!$R$71),"")</f>
        <v/>
      </c>
      <c r="AA19" s="39" t="str">
        <f>IF(AND('Mapa final'!$AH$72="Muy Alta",'Mapa final'!$AJ$72="Moderado"),CONCATENATE("R2C",'Mapa final'!$R$72),"")</f>
        <v/>
      </c>
      <c r="AB19" s="40" t="str">
        <f>IF(AND('Mapa final'!$AH$73="Muy Alta",'Mapa final'!$AJ$73="Moderado"),CONCATENATE("R2C",'Mapa final'!$R$73),"")</f>
        <v/>
      </c>
      <c r="AC19" s="38" t="str">
        <f>IF(AND('Mapa final'!$AH$68="Muy Alta",'Mapa final'!$AJ$68="Mayor"),CONCATENATE("R2C",'Mapa final'!$R$68),"")</f>
        <v/>
      </c>
      <c r="AD19" s="39" t="str">
        <f>IF(AND('Mapa final'!$AH$69="Muy Alta",'Mapa final'!$AJ$69="Mayor"),CONCATENATE("R2C",'Mapa final'!$R$69),"")</f>
        <v/>
      </c>
      <c r="AE19" s="39" t="str">
        <f>IF(AND('Mapa final'!$AH$70="Muy Alta",'Mapa final'!$AJ$70="Mayor"),CONCATENATE("R2C",'Mapa final'!$R$70),"")</f>
        <v/>
      </c>
      <c r="AF19" s="39" t="str">
        <f>IF(AND('Mapa final'!$AH$71="Muy Alta",'Mapa final'!$AJ$71="Mayor"),CONCATENATE("R2C",'Mapa final'!$R$71),"")</f>
        <v/>
      </c>
      <c r="AG19" s="39" t="str">
        <f>IF(AND('Mapa final'!$AH$72="Muy Alta",'Mapa final'!$AJ$72="Mayor"),CONCATENATE("R2C",'Mapa final'!$R$72),"")</f>
        <v/>
      </c>
      <c r="AH19" s="40" t="str">
        <f>IF(AND('Mapa final'!$AH$73="Muy Alta",'Mapa final'!$AJ$73="Mayor"),CONCATENATE("R2C",'Mapa final'!$R$73),"")</f>
        <v/>
      </c>
      <c r="AI19" s="41" t="str">
        <f>IF(AND('Mapa final'!$AH$68="Muy Alta",'Mapa final'!$AJ$68="Catastrófico"),CONCATENATE("R2C",'Mapa final'!$R$68),"")</f>
        <v/>
      </c>
      <c r="AJ19" s="42" t="str">
        <f>IF(AND('Mapa final'!$AH$69="Muy Alta",'Mapa final'!$AJ$69="Catastrófico"),CONCATENATE("R2C",'Mapa final'!$R$69),"")</f>
        <v/>
      </c>
      <c r="AK19" s="42" t="str">
        <f>IF(AND('Mapa final'!$AH$70="Muy Alta",'Mapa final'!$AJ$70="Catastrófico"),CONCATENATE("R2C",'Mapa final'!$R$70),"")</f>
        <v/>
      </c>
      <c r="AL19" s="42" t="str">
        <f>IF(AND('Mapa final'!$AH$71="Muy Alta",'Mapa final'!$AJ$71="Catastrófico"),CONCATENATE("R2C",'Mapa final'!$R$71),"")</f>
        <v/>
      </c>
      <c r="AM19" s="42" t="str">
        <f>IF(AND('Mapa final'!$AH$72="Muy Alta",'Mapa final'!$AJ$72="Catastrófico"),CONCATENATE("R2C",'Mapa final'!$R$72),"")</f>
        <v/>
      </c>
      <c r="AN19" s="43" t="str">
        <f>IF(AND('Mapa final'!$AH$73="Muy Alta",'Mapa final'!$AJ$73="Catastrófico"),CONCATENATE("R2C",'Mapa final'!$R$73),"")</f>
        <v/>
      </c>
      <c r="AO19" s="68"/>
      <c r="AP19" s="434"/>
      <c r="AQ19" s="435"/>
      <c r="AR19" s="435"/>
      <c r="AS19" s="435"/>
      <c r="AT19" s="435"/>
      <c r="AU19" s="436"/>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x14ac:dyDescent="0.25">
      <c r="B20" s="68"/>
      <c r="C20" s="371"/>
      <c r="D20" s="371"/>
      <c r="E20" s="372"/>
      <c r="F20" s="414"/>
      <c r="G20" s="415"/>
      <c r="H20" s="415"/>
      <c r="I20" s="415"/>
      <c r="J20" s="415"/>
      <c r="K20" s="38" t="str">
        <f>IF(AND('Mapa final'!$AH$74="Muy Alta",'Mapa final'!$AJ$74="Leve"),CONCATENATE("R2C",'Mapa final'!$R$74),"")</f>
        <v/>
      </c>
      <c r="L20" s="39" t="str">
        <f>IF(AND('Mapa final'!$AH$75="Muy Alta",'Mapa final'!$AJ$75="Leve"),CONCATENATE("R2C",'Mapa final'!$R$75),"")</f>
        <v/>
      </c>
      <c r="M20" s="39" t="str">
        <f>IF(AND('Mapa final'!$AH$76="Muy Alta",'Mapa final'!$AJ$76="Leve"),CONCATENATE("R2C",'Mapa final'!$R$76),"")</f>
        <v/>
      </c>
      <c r="N20" s="39" t="str">
        <f>IF(AND('Mapa final'!$AH$77="Muy Alta",'Mapa final'!$AJ$77="Leve"),CONCATENATE("R2C",'Mapa final'!$R$77),"")</f>
        <v/>
      </c>
      <c r="O20" s="39" t="str">
        <f>IF(AND('Mapa final'!$AH$78="Muy Alta",'Mapa final'!$AJ$78="Leve"),CONCATENATE("R2C",'Mapa final'!$R$78),"")</f>
        <v/>
      </c>
      <c r="P20" s="40" t="str">
        <f>IF(AND('Mapa final'!$AH$79="Muy Alta",'Mapa final'!$AJ$79="Leve"),CONCATENATE("R2C",'Mapa final'!$R$79),"")</f>
        <v/>
      </c>
      <c r="Q20" s="39" t="str">
        <f>IF(AND('Mapa final'!$AH$74="Muy Alta",'Mapa final'!$AJ$74="Menor"),CONCATENATE("R2C",'Mapa final'!$R$74),"")</f>
        <v/>
      </c>
      <c r="R20" s="39" t="str">
        <f>IF(AND('Mapa final'!$AH$75="Muy Alta",'Mapa final'!$AJ$75="Menor"),CONCATENATE("R2C",'Mapa final'!$R$75),"")</f>
        <v/>
      </c>
      <c r="S20" s="39" t="str">
        <f>IF(AND('Mapa final'!$AH$76="Muy Alta",'Mapa final'!$AJ$76="Menor"),CONCATENATE("R2C",'Mapa final'!$R$76),"")</f>
        <v/>
      </c>
      <c r="T20" s="39" t="str">
        <f>IF(AND('Mapa final'!$AH$77="Muy Alta",'Mapa final'!$AJ$77="Menor"),CONCATENATE("R2C",'Mapa final'!$R$77),"")</f>
        <v/>
      </c>
      <c r="U20" s="39" t="str">
        <f>IF(AND('Mapa final'!$AH$78="Muy Alta",'Mapa final'!$AJ$78="Menor"),CONCATENATE("R2C",'Mapa final'!$R$78),"")</f>
        <v/>
      </c>
      <c r="V20" s="40" t="str">
        <f>IF(AND('Mapa final'!$AH$79="Muy Alta",'Mapa final'!$AJ$79="Menor"),CONCATENATE("R2C",'Mapa final'!$R$79),"")</f>
        <v/>
      </c>
      <c r="W20" s="38" t="str">
        <f>IF(AND('Mapa final'!$AH$74="Muy Alta",'Mapa final'!$AJ$74="Moderado"),CONCATENATE("R2C",'Mapa final'!$R$74),"")</f>
        <v/>
      </c>
      <c r="X20" s="39" t="str">
        <f>IF(AND('Mapa final'!$AH$75="Muy Alta",'Mapa final'!$AJ$75="Moderado"),CONCATENATE("R2C",'Mapa final'!$R$75),"")</f>
        <v/>
      </c>
      <c r="Y20" s="39" t="str">
        <f>IF(AND('Mapa final'!$AH$76="Muy Alta",'Mapa final'!$AJ$76="Moderado"),CONCATENATE("R2C",'Mapa final'!$R$76),"")</f>
        <v/>
      </c>
      <c r="Z20" s="39" t="str">
        <f>IF(AND('Mapa final'!$AH$77="Muy Alta",'Mapa final'!$AJ$77="Moderado"),CONCATENATE("R2C",'Mapa final'!$R$77),"")</f>
        <v/>
      </c>
      <c r="AA20" s="39" t="str">
        <f>IF(AND('Mapa final'!$AH$78="Muy Alta",'Mapa final'!$AJ$78="Moderado"),CONCATENATE("R2C",'Mapa final'!$R$78),"")</f>
        <v/>
      </c>
      <c r="AB20" s="40" t="str">
        <f>IF(AND('Mapa final'!$AH$79="Muy Alta",'Mapa final'!$AJ$79="Moderado"),CONCATENATE("R2C",'Mapa final'!$R$79),"")</f>
        <v/>
      </c>
      <c r="AC20" s="38" t="str">
        <f>IF(AND('Mapa final'!$AH$74="Muy Alta",'Mapa final'!$AJ$74="Mayor"),CONCATENATE("R2C",'Mapa final'!$R$74),"")</f>
        <v/>
      </c>
      <c r="AD20" s="39" t="str">
        <f>IF(AND('Mapa final'!$AH$75="Muy Alta",'Mapa final'!$AJ$75="Mayor"),CONCATENATE("R2C",'Mapa final'!$R$75),"")</f>
        <v/>
      </c>
      <c r="AE20" s="39" t="str">
        <f>IF(AND('Mapa final'!$AH$76="Muy Alta",'Mapa final'!$AJ$76="Mayor"),CONCATENATE("R2C",'Mapa final'!$R$76),"")</f>
        <v/>
      </c>
      <c r="AF20" s="39" t="str">
        <f>IF(AND('Mapa final'!$AH$77="Muy Alta",'Mapa final'!$AJ$77="Mayor"),CONCATENATE("R2C",'Mapa final'!$R$77),"")</f>
        <v/>
      </c>
      <c r="AG20" s="39" t="str">
        <f>IF(AND('Mapa final'!$AH$78="Muy Alta",'Mapa final'!$AJ$78="Mayor"),CONCATENATE("R2C",'Mapa final'!$R$78),"")</f>
        <v/>
      </c>
      <c r="AH20" s="40" t="str">
        <f>IF(AND('Mapa final'!$AH$79="Muy Alta",'Mapa final'!$AJ$79="Mayor"),CONCATENATE("R2C",'Mapa final'!$R$79),"")</f>
        <v/>
      </c>
      <c r="AI20" s="41" t="str">
        <f>IF(AND('Mapa final'!$AH$74="Muy Alta",'Mapa final'!$AJ$74="Catastrófico"),CONCATENATE("R2C",'Mapa final'!$R$74),"")</f>
        <v/>
      </c>
      <c r="AJ20" s="42" t="str">
        <f>IF(AND('Mapa final'!$AH$75="Muy Alta",'Mapa final'!$AJ$75="Catastrófico"),CONCATENATE("R2C",'Mapa final'!$R$75),"")</f>
        <v/>
      </c>
      <c r="AK20" s="42" t="str">
        <f>IF(AND('Mapa final'!$AH$76="Muy Alta",'Mapa final'!$AJ$76="Catastrófico"),CONCATENATE("R2C",'Mapa final'!$R$76),"")</f>
        <v/>
      </c>
      <c r="AL20" s="42" t="str">
        <f>IF(AND('Mapa final'!$AH$77="Muy Alta",'Mapa final'!$AJ$77="Catastrófico"),CONCATENATE("R2C",'Mapa final'!$R$77),"")</f>
        <v/>
      </c>
      <c r="AM20" s="42" t="str">
        <f>IF(AND('Mapa final'!$AH$78="Muy Alta",'Mapa final'!$AJ$78="Catastrófico"),CONCATENATE("R2C",'Mapa final'!$R$78),"")</f>
        <v/>
      </c>
      <c r="AN20" s="43" t="str">
        <f>IF(AND('Mapa final'!$AH$79="Muy Alta",'Mapa final'!$AJ$79="Catastrófico"),CONCATENATE("R2C",'Mapa final'!$R$79),"")</f>
        <v/>
      </c>
      <c r="AO20" s="68"/>
      <c r="AP20" s="434"/>
      <c r="AQ20" s="435"/>
      <c r="AR20" s="435"/>
      <c r="AS20" s="435"/>
      <c r="AT20" s="435"/>
      <c r="AU20" s="436"/>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x14ac:dyDescent="0.3">
      <c r="B21" s="68"/>
      <c r="C21" s="371"/>
      <c r="D21" s="371"/>
      <c r="E21" s="372"/>
      <c r="F21" s="417"/>
      <c r="G21" s="418"/>
      <c r="H21" s="418"/>
      <c r="I21" s="418"/>
      <c r="J21" s="418"/>
      <c r="K21" s="44" t="str">
        <f>IF(AND('Mapa final'!$AH$80="Muy Alta",'Mapa final'!$AJ$80="Leve"),CONCATENATE("R2C",'Mapa final'!$R$80),"")</f>
        <v/>
      </c>
      <c r="L21" s="45" t="str">
        <f>IF(AND('Mapa final'!$AH$81="Muy Alta",'Mapa final'!$AJ$81="Leve"),CONCATENATE("R2C",'Mapa final'!$R$81),"")</f>
        <v/>
      </c>
      <c r="M21" s="45" t="str">
        <f>IF(AND('Mapa final'!$AH$82="Muy Alta",'Mapa final'!$AJ$82="Leve"),CONCATENATE("R2C",'Mapa final'!$R$82),"")</f>
        <v/>
      </c>
      <c r="N21" s="45" t="str">
        <f>IF(AND('Mapa final'!$AH$83="Muy Alta",'Mapa final'!$AJ$83="Leve"),CONCATENATE("R2C",'Mapa final'!$R$83),"")</f>
        <v/>
      </c>
      <c r="O21" s="45" t="str">
        <f>IF(AND('Mapa final'!$AH$85="Muy Alta",'Mapa final'!$AJ$85="Leve"),CONCATENATE("R2C",'Mapa final'!$R$85),"")</f>
        <v/>
      </c>
      <c r="P21" s="46" t="str">
        <f>IF(AND('Mapa final'!$AH$86="Muy Alta",'Mapa final'!$AJ$86="Leve"),CONCATENATE("R2C",'Mapa final'!$R$86),"")</f>
        <v/>
      </c>
      <c r="Q21" s="39" t="str">
        <f>IF(AND('Mapa final'!$AH$80="Muy Alta",'Mapa final'!$AJ$80="Menor"),CONCATENATE("R2C",'Mapa final'!$R$80),"")</f>
        <v/>
      </c>
      <c r="R21" s="39" t="str">
        <f>IF(AND('Mapa final'!$AH$81="Muy Alta",'Mapa final'!$AJ$81="Menor"),CONCATENATE("R2C",'Mapa final'!$R$81),"")</f>
        <v/>
      </c>
      <c r="S21" s="39" t="str">
        <f>IF(AND('Mapa final'!$AH$82="Muy Alta",'Mapa final'!$AJ$82="Menor"),CONCATENATE("R2C",'Mapa final'!$R$82),"")</f>
        <v/>
      </c>
      <c r="T21" s="39" t="str">
        <f>IF(AND('Mapa final'!$AH$83="Muy Alta",'Mapa final'!$AJ$83="Menor"),CONCATENATE("R2C",'Mapa final'!$R$83),"")</f>
        <v/>
      </c>
      <c r="U21" s="39" t="str">
        <f>IF(AND('Mapa final'!$AH$85="Muy Alta",'Mapa final'!$AJ$85="Menor"),CONCATENATE("R2C",'Mapa final'!$R$85),"")</f>
        <v/>
      </c>
      <c r="V21" s="40" t="str">
        <f>IF(AND('Mapa final'!$AH$86="Muy Alta",'Mapa final'!$AJ$86="Menor"),CONCATENATE("R2C",'Mapa final'!$R$86),"")</f>
        <v/>
      </c>
      <c r="W21" s="44" t="str">
        <f>IF(AND('Mapa final'!$AH$80="Muy Alta",'Mapa final'!$AJ$80="Moderado"),CONCATENATE("R2C",'Mapa final'!$R$80),"")</f>
        <v/>
      </c>
      <c r="X21" s="45" t="str">
        <f>IF(AND('Mapa final'!$AH$81="Muy Alta",'Mapa final'!$AJ$81="Moderado"),CONCATENATE("R2C",'Mapa final'!$R$81),"")</f>
        <v/>
      </c>
      <c r="Y21" s="45" t="str">
        <f>IF(AND('Mapa final'!$AH$82="Muy Alta",'Mapa final'!$AJ$82="Moderado"),CONCATENATE("R2C",'Mapa final'!$R$82),"")</f>
        <v/>
      </c>
      <c r="Z21" s="45" t="str">
        <f>IF(AND('Mapa final'!$AH$83="Muy Alta",'Mapa final'!$AJ$83="Moderado"),CONCATENATE("R2C",'Mapa final'!$R$83),"")</f>
        <v/>
      </c>
      <c r="AA21" s="45" t="str">
        <f>IF(AND('Mapa final'!$AH$85="Muy Alta",'Mapa final'!$AJ$85="Moderado"),CONCATENATE("R2C",'Mapa final'!$R$85),"")</f>
        <v/>
      </c>
      <c r="AB21" s="46" t="str">
        <f>IF(AND('Mapa final'!$AH$86="Muy Alta",'Mapa final'!$AJ$86="Moderado"),CONCATENATE("R2C",'Mapa final'!$R$86),"")</f>
        <v/>
      </c>
      <c r="AC21" s="38" t="str">
        <f>IF(AND('Mapa final'!$AH$80="Muy Alta",'Mapa final'!$AJ$80="Mayor"),CONCATENATE("R2C",'Mapa final'!$R$80),"")</f>
        <v/>
      </c>
      <c r="AD21" s="39" t="str">
        <f>IF(AND('Mapa final'!$AH$81="Muy Alta",'Mapa final'!$AJ$81="Mayor"),CONCATENATE("R2C",'Mapa final'!$R$81),"")</f>
        <v/>
      </c>
      <c r="AE21" s="39" t="str">
        <f>IF(AND('Mapa final'!$AH$82="Muy Alta",'Mapa final'!$AJ$82="Mayor"),CONCATENATE("R2C",'Mapa final'!$R$82),"")</f>
        <v/>
      </c>
      <c r="AF21" s="39" t="str">
        <f>IF(AND('Mapa final'!$AH$83="Muy Alta",'Mapa final'!$AJ$83="Mayor"),CONCATENATE("R2C",'Mapa final'!$R$83),"")</f>
        <v/>
      </c>
      <c r="AG21" s="39" t="str">
        <f>IF(AND('Mapa final'!$AH$85="Muy Alta",'Mapa final'!$AJ$85="Mayor"),CONCATENATE("R2C",'Mapa final'!$R$85),"")</f>
        <v/>
      </c>
      <c r="AH21" s="40" t="str">
        <f>IF(AND('Mapa final'!$AH$86="Muy Alta",'Mapa final'!$AJ$86="Mayor"),CONCATENATE("R2C",'Mapa final'!$R$86),"")</f>
        <v/>
      </c>
      <c r="AI21" s="47" t="str">
        <f>IF(AND('Mapa final'!$AH$80="Muy Alta",'Mapa final'!$AJ$80="Catastrófico"),CONCATENATE("R2C",'Mapa final'!$R$80),"")</f>
        <v/>
      </c>
      <c r="AJ21" s="48" t="str">
        <f>IF(AND('Mapa final'!$AH$81="Muy Alta",'Mapa final'!$AJ$81="Catastrófico"),CONCATENATE("R2C",'Mapa final'!$R$81),"")</f>
        <v/>
      </c>
      <c r="AK21" s="48" t="str">
        <f>IF(AND('Mapa final'!$AH$82="Muy Alta",'Mapa final'!$AJ$82="Catastrófico"),CONCATENATE("R2C",'Mapa final'!$R$82),"")</f>
        <v/>
      </c>
      <c r="AL21" s="48" t="str">
        <f>IF(AND('Mapa final'!$AH$83="Muy Alta",'Mapa final'!$AJ$83="Catastrófico"),CONCATENATE("R2C",'Mapa final'!$R$83),"")</f>
        <v/>
      </c>
      <c r="AM21" s="48" t="str">
        <f>IF(AND('Mapa final'!$AH$85="Muy Alta",'Mapa final'!$AJ$85="Catastrófico"),CONCATENATE("R2C",'Mapa final'!$R$85),"")</f>
        <v/>
      </c>
      <c r="AN21" s="49" t="str">
        <f>IF(AND('Mapa final'!$AH$86="Muy Alta",'Mapa final'!$AJ$86="Catastrófico"),CONCATENATE("R2C",'Mapa final'!$R$86),"")</f>
        <v/>
      </c>
      <c r="AO21" s="68"/>
      <c r="AP21" s="437"/>
      <c r="AQ21" s="438"/>
      <c r="AR21" s="438"/>
      <c r="AS21" s="438"/>
      <c r="AT21" s="438"/>
      <c r="AU21" s="439"/>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x14ac:dyDescent="0.25">
      <c r="B22" s="68"/>
      <c r="C22" s="371"/>
      <c r="D22" s="371"/>
      <c r="E22" s="372"/>
      <c r="F22" s="411" t="s">
        <v>260</v>
      </c>
      <c r="G22" s="412"/>
      <c r="H22" s="412"/>
      <c r="I22" s="412"/>
      <c r="J22" s="412"/>
      <c r="K22" s="53"/>
      <c r="L22" s="54" t="str">
        <f>IF(AND('Mapa final'!$AH$16="Alta",'Mapa final'!$AJ$16="Leve"),CONCATENATE("R2C",'Mapa final'!$R$15),"")</f>
        <v/>
      </c>
      <c r="M22" s="54" t="str">
        <f>IF(AND('Mapa final'!$AH$17="Alta",'Mapa final'!$AJ$17="Leve"),CONCATENATE("R2C",'Mapa final'!$R$17),"")</f>
        <v/>
      </c>
      <c r="N22" s="54" t="str">
        <f>IF(AND('Mapa final'!$AH$20="Alta",'Mapa final'!$AJ$20="Leve"),CONCATENATE("R2C",'Mapa final'!$R$20),"")</f>
        <v/>
      </c>
      <c r="O22" s="54" t="str">
        <f>IF(AND('Mapa final'!$AH$21="Alta",'Mapa final'!$AJ$21="Leve"),CONCATENATE("R2C",'Mapa final'!$R$21),"")</f>
        <v/>
      </c>
      <c r="P22" s="55" t="str">
        <f>IF(AND('Mapa final'!$AH$23="Alta",'Mapa final'!$AJ$23="Leve"),CONCATENATE("R2C",'Mapa final'!$R$23),"")</f>
        <v/>
      </c>
      <c r="Q22" s="50"/>
      <c r="R22" s="51" t="str">
        <f>IF(AND('Mapa final'!$AH$16="Alta",'Mapa final'!$AJ$16="Menore"),CONCATENATE("R2C",'Mapa final'!$R$15),"")</f>
        <v/>
      </c>
      <c r="S22" s="51" t="str">
        <f>IF(AND('Mapa final'!$AH$17="Alta",'Mapa final'!$AJ$17="Menor"),CONCATENATE("R2C",'Mapa final'!$R$17),"")</f>
        <v/>
      </c>
      <c r="T22" s="51" t="str">
        <f>IF(AND('Mapa final'!$AH$20="Alta",'Mapa final'!$AJ$20="Menor"),CONCATENATE("R2C",'Mapa final'!$R$20),"")</f>
        <v/>
      </c>
      <c r="U22" s="51" t="str">
        <f>IF(AND('Mapa final'!$AH$21="Alta",'Mapa final'!$AJ$21="Menor"),CONCATENATE("R2C",'Mapa final'!$R$21),"")</f>
        <v/>
      </c>
      <c r="V22" s="52" t="str">
        <f>IF(AND('Mapa final'!$AH$23="Alta",'Mapa final'!$AJ$23="Menor"),CONCATENATE("R2C",'Mapa final'!$R$23),"")</f>
        <v/>
      </c>
      <c r="W22" s="32"/>
      <c r="X22" s="33" t="str">
        <f>IF(AND('Mapa final'!$AH$16="Alta",'Mapa final'!$AJ$16="Moderado"),CONCATENATE("R2C",'Mapa final'!$R$15),"")</f>
        <v/>
      </c>
      <c r="Y22" s="33"/>
      <c r="Z22" s="33" t="str">
        <f>IF(AND('Mapa final'!$AH$20="Alta",'Mapa final'!$AJ$20="Moderado"),CONCATENATE("R2C",'Mapa final'!$R$20),"")</f>
        <v/>
      </c>
      <c r="AA22" s="33" t="str">
        <f>IF(AND('Mapa final'!$AH$21="Alta",'Mapa final'!$AJ$21="Moderado"),CONCATENATE("R2C",'Mapa final'!$R$21),"")</f>
        <v/>
      </c>
      <c r="AB22" s="34" t="str">
        <f>IF(AND('Mapa final'!$AH$23="Alta",'Mapa final'!$AJ$23="Moderado"),CONCATENATE("R2C",'Mapa final'!$R$23),"")</f>
        <v/>
      </c>
      <c r="AC22" s="32"/>
      <c r="AD22" s="33" t="str">
        <f>IF(AND('Mapa final'!$AH$16="Alta",'Mapa final'!$AJ$16="Mayor"),CONCATENATE("R2C",'Mapa final'!$R$15),"")</f>
        <v/>
      </c>
      <c r="AE22" s="33" t="str">
        <f>IF(AND('Mapa final'!$AH$17="Alta",'Mapa final'!$AJ$17="Mayor"),CONCATENATE("R2C",'Mapa final'!$R$17),"")</f>
        <v/>
      </c>
      <c r="AF22" s="33" t="str">
        <f>IF(AND('Mapa final'!$AH$20="Alta",'Mapa final'!$AJ$20="Mayor"),CONCATENATE("R2C",'Mapa final'!$R$20),"")</f>
        <v/>
      </c>
      <c r="AG22" s="33" t="str">
        <f>IF(AND('Mapa final'!$AH$21="Alta",'Mapa final'!$AJ$21="Mayor"),CONCATENATE("R2C",'Mapa final'!$R$21),"")</f>
        <v/>
      </c>
      <c r="AH22" s="34" t="str">
        <f>IF(AND('Mapa final'!$AH$23="Alta",'Mapa final'!$AJ$23="Mayor"),CONCATENATE("R2C",'Mapa final'!$R$23),"")</f>
        <v/>
      </c>
      <c r="AI22" s="35"/>
      <c r="AJ22" s="36" t="str">
        <f>IF(AND('Mapa final'!$AH$16="Alta",'Mapa final'!$AJ$16="Catastrófico"),CONCATENATE("R2C",'Mapa final'!$R$15),"")</f>
        <v/>
      </c>
      <c r="AK22" s="36" t="str">
        <f>IF(AND('Mapa final'!$AH$17="Alta",'Mapa final'!$AJ$17="Catastrófico"),CONCATENATE("R2C",'Mapa final'!$R$17),"")</f>
        <v/>
      </c>
      <c r="AL22" s="36" t="str">
        <f>IF(AND('Mapa final'!$AH$20="Alta",'Mapa final'!$AJ$20="Catastrófico"),CONCATENATE("R2C",'Mapa final'!$R$20),"")</f>
        <v/>
      </c>
      <c r="AM22" s="36" t="str">
        <f>IF(AND('Mapa final'!$AH$21="Alta",'Mapa final'!$AJ$21="Catastrófico"),CONCATENATE("R2C",'Mapa final'!$R$21),"")</f>
        <v/>
      </c>
      <c r="AN22" s="37" t="str">
        <f>IF(AND('Mapa final'!$AH$23="Alta",'Mapa final'!$AJ$23="Catastrófico"),CONCATENATE("R2C",'Mapa final'!$R$23),"")</f>
        <v/>
      </c>
      <c r="AO22" s="68"/>
      <c r="AP22" s="421" t="s">
        <v>261</v>
      </c>
      <c r="AQ22" s="422"/>
      <c r="AR22" s="422"/>
      <c r="AS22" s="422"/>
      <c r="AT22" s="422"/>
      <c r="AU22" s="423"/>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x14ac:dyDescent="0.25">
      <c r="B23" s="68"/>
      <c r="C23" s="371"/>
      <c r="D23" s="371"/>
      <c r="E23" s="372"/>
      <c r="F23" s="430"/>
      <c r="G23" s="415"/>
      <c r="H23" s="415"/>
      <c r="I23" s="415"/>
      <c r="J23" s="415"/>
      <c r="K23" s="53" t="str">
        <f>IF(AND('Mapa final'!$AH$24="Alta",'Mapa final'!$AJ$24="Leve"),CONCATENATE("R2C",'Mapa final'!$R$24),"")</f>
        <v/>
      </c>
      <c r="L23" s="54" t="e">
        <f>IF(AND('Mapa final'!#REF!="Alta",'Mapa final'!#REF!="Leve"),CONCATENATE("R2C",'Mapa final'!#REF!),"")</f>
        <v>#REF!</v>
      </c>
      <c r="M23" s="54" t="str">
        <f>IF(AND('Mapa final'!$AH$34="Alta",'Mapa final'!$AJ$34="Leve"),CONCATENATE("R2C",'Mapa final'!$R$34),"")</f>
        <v/>
      </c>
      <c r="N23" s="54" t="str">
        <f>IF(AND('Mapa final'!$AH$35="Alta",'Mapa final'!$AJ$35="Leve"),CONCATENATE("R2C",'Mapa final'!$R$35),"")</f>
        <v/>
      </c>
      <c r="O23" s="54" t="str">
        <f>IF(AND('Mapa final'!$AH$36="Alta",'Mapa final'!$AJ$36="Leve"),CONCATENATE("R2C",'Mapa final'!$R$36),"")</f>
        <v/>
      </c>
      <c r="P23" s="55" t="str">
        <f>IF(AND('Mapa final'!$AH$37="Alta",'Mapa final'!$AJ$37="Leve"),CONCATENATE("R2C",'Mapa final'!$R$37),"")</f>
        <v/>
      </c>
      <c r="Q23" s="53" t="str">
        <f>IF(AND('Mapa final'!$AH$24="Alta",'Mapa final'!$AJ$24="Menor"),CONCATENATE("R2C",'Mapa final'!$R$24),"")</f>
        <v/>
      </c>
      <c r="R23" s="54" t="e">
        <f>IF(AND('Mapa final'!#REF!="Alta",'Mapa final'!#REF!="Menor"),CONCATENATE("R2C",'Mapa final'!#REF!),"")</f>
        <v>#REF!</v>
      </c>
      <c r="S23" s="54" t="str">
        <f>IF(AND('Mapa final'!$AH$34="Alta",'Mapa final'!$AJ$34="Menor"),CONCATENATE("R2C",'Mapa final'!$R$34),"")</f>
        <v/>
      </c>
      <c r="T23" s="54" t="str">
        <f>IF(AND('Mapa final'!$AH$35="Alta",'Mapa final'!$AJ$35="Menor"),CONCATENATE("R2C",'Mapa final'!$R$35),"")</f>
        <v/>
      </c>
      <c r="U23" s="54" t="str">
        <f>IF(AND('Mapa final'!$AH$36="Alta",'Mapa final'!$AJ$36="Menor"),CONCATENATE("R2C",'Mapa final'!$R$36),"")</f>
        <v/>
      </c>
      <c r="V23" s="55" t="str">
        <f>IF(AND('Mapa final'!$AH$37="Alta",'Mapa final'!$AJ$37="Menor"),CONCATENATE("R2C",'Mapa final'!$R$37),"")</f>
        <v/>
      </c>
      <c r="W23" s="38" t="str">
        <f>IF(AND('Mapa final'!$AH$24="Alta",'Mapa final'!$AJ$24="Moderado"),CONCATENATE("R2C",'Mapa final'!$R$24),"")</f>
        <v>R2C     El riesgo afecta la imagen de la entidad con algunos usuarios de relevancia frente al logro de los objetivos</v>
      </c>
      <c r="X23" s="39" t="e">
        <f>IF(AND('Mapa final'!#REF!="Alta",'Mapa final'!#REF!="Moderado"),CONCATENATE("R2C",'Mapa final'!#REF!),"")</f>
        <v>#REF!</v>
      </c>
      <c r="Y23" s="39" t="str">
        <f>IF(AND('Mapa final'!$AH$34="Alta",'Mapa final'!$AJ$34="Moderado"),CONCATENATE("R2C",'Mapa final'!$R$34),"")</f>
        <v/>
      </c>
      <c r="Z23" s="39" t="str">
        <f>IF(AND('Mapa final'!$AH$35="Alta",'Mapa final'!$AJ$35="Moderado"),CONCATENATE("R2C",'Mapa final'!$R$35),"")</f>
        <v/>
      </c>
      <c r="AA23" s="39" t="str">
        <f>IF(AND('Mapa final'!$AH$36="Alta",'Mapa final'!$AJ$36="Moderado"),CONCATENATE("R2C",'Mapa final'!$R$36),"")</f>
        <v/>
      </c>
      <c r="AB23" s="40" t="str">
        <f>IF(AND('Mapa final'!$AH$37="Alta",'Mapa final'!$AJ$37="Moderado"),CONCATENATE("R2C",'Mapa final'!$R$37),"")</f>
        <v/>
      </c>
      <c r="AC23" s="38" t="str">
        <f>IF(AND('Mapa final'!$AH$24="Alta",'Mapa final'!$AJ$24="Mayor"),CONCATENATE("R2C",'Mapa final'!$R$24),"")</f>
        <v/>
      </c>
      <c r="AD23" s="39" t="e">
        <f>IF(AND('Mapa final'!#REF!="Alta",'Mapa final'!#REF!="Mayor"),CONCATENATE("R2C",'Mapa final'!#REF!),"")</f>
        <v>#REF!</v>
      </c>
      <c r="AE23" s="39" t="str">
        <f>IF(AND('Mapa final'!$AH$34="Alta",'Mapa final'!$AJ$34="Mayor"),CONCATENATE("R2C",'Mapa final'!$R$34),"")</f>
        <v/>
      </c>
      <c r="AF23" s="39" t="str">
        <f>IF(AND('Mapa final'!$AH$35="Alta",'Mapa final'!$AJ$35="Mayor"),CONCATENATE("R2C",'Mapa final'!$R$35),"")</f>
        <v/>
      </c>
      <c r="AG23" s="39" t="str">
        <f>IF(AND('Mapa final'!$AH$36="Alta",'Mapa final'!$AJ$36="Mayor"),CONCATENATE("R2C",'Mapa final'!$R$36),"")</f>
        <v/>
      </c>
      <c r="AH23" s="40" t="str">
        <f>IF(AND('Mapa final'!$AH$37="Alta",'Mapa final'!$AJ$37="Mayor"),CONCATENATE("R2C",'Mapa final'!$R$37),"")</f>
        <v/>
      </c>
      <c r="AI23" s="41" t="str">
        <f>IF(AND('Mapa final'!$AH$24="Alta",'Mapa final'!$AJ$24="Catastrófico"),CONCATENATE("R2C",'Mapa final'!$R$24),"")</f>
        <v/>
      </c>
      <c r="AJ23" s="42" t="e">
        <f>IF(AND('Mapa final'!#REF!="Alta",'Mapa final'!#REF!="Catastrófico"),CONCATENATE("R2C",'Mapa final'!#REF!),"")</f>
        <v>#REF!</v>
      </c>
      <c r="AK23" s="42" t="str">
        <f>IF(AND('Mapa final'!$AH$34="Alta",'Mapa final'!$AJ$34="Catastrófico"),CONCATENATE("R2C",'Mapa final'!$R$34),"")</f>
        <v/>
      </c>
      <c r="AL23" s="42" t="str">
        <f>IF(AND('Mapa final'!$AH$35="Alta",'Mapa final'!$AJ$35="Catastrófico"),CONCATENATE("R2C",'Mapa final'!$R$35),"")</f>
        <v/>
      </c>
      <c r="AM23" s="42" t="str">
        <f>IF(AND('Mapa final'!$AH$36="Alta",'Mapa final'!$AJ$36="Catastrófico"),CONCATENATE("R2C",'Mapa final'!$R$36),"")</f>
        <v/>
      </c>
      <c r="AN23" s="43" t="str">
        <f>IF(AND('Mapa final'!$AH$37="Alta",'Mapa final'!$AJ$37="Catastrófico"),CONCATENATE("R2C",'Mapa final'!$R$37),"")</f>
        <v/>
      </c>
      <c r="AO23" s="68"/>
      <c r="AP23" s="424"/>
      <c r="AQ23" s="425"/>
      <c r="AR23" s="425"/>
      <c r="AS23" s="425"/>
      <c r="AT23" s="425"/>
      <c r="AU23" s="426"/>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x14ac:dyDescent="0.25">
      <c r="B24" s="68"/>
      <c r="C24" s="371"/>
      <c r="D24" s="371"/>
      <c r="E24" s="372"/>
      <c r="F24" s="414"/>
      <c r="G24" s="415"/>
      <c r="H24" s="415"/>
      <c r="I24" s="415"/>
      <c r="J24" s="415"/>
      <c r="K24" s="53" t="str">
        <f>IF(AND('Mapa final'!$AH$38="Alta",'Mapa final'!$AJ$38="Leve"),CONCATENATE("R2C",'Mapa final'!$R$38),"")</f>
        <v/>
      </c>
      <c r="L24" s="54" t="str">
        <f>IF(AND('Mapa final'!$AH$39="Alta",'Mapa final'!$AJ$39="Leve"),CONCATENATE("R2C",'Mapa final'!$R$39),"")</f>
        <v/>
      </c>
      <c r="M24" s="54" t="str">
        <f>IF(AND('Mapa final'!$AH$40="Alta",'Mapa final'!$AJ$40="Leve"),CONCATENATE("R2C",'Mapa final'!$R$40),"")</f>
        <v/>
      </c>
      <c r="N24" s="54" t="str">
        <f>IF(AND('Mapa final'!$AH$41="Alta",'Mapa final'!$AJ$41="Leve"),CONCATENATE("R2C",'Mapa final'!$R$41),"")</f>
        <v/>
      </c>
      <c r="O24" s="54" t="str">
        <f>IF(AND('Mapa final'!$AH$42="Alta",'Mapa final'!$AJ$42="Leve"),CONCATENATE("R2C",'Mapa final'!$R$42),"")</f>
        <v/>
      </c>
      <c r="P24" s="55" t="str">
        <f>IF(AND('Mapa final'!$AH$43="Alta",'Mapa final'!$AJ$43="Leve"),CONCATENATE("R2C",'Mapa final'!$R$43),"")</f>
        <v/>
      </c>
      <c r="Q24" s="53" t="str">
        <f>IF(AND('Mapa final'!$AH$38="Alta",'Mapa final'!$AJ$38="Menor"),CONCATENATE("R2C",'Mapa final'!$R$38),"")</f>
        <v/>
      </c>
      <c r="R24" s="54" t="str">
        <f>IF(AND('Mapa final'!$AH$39="Alta",'Mapa final'!$AJ$39="Menor"),CONCATENATE("R2C",'Mapa final'!$R$39),"")</f>
        <v/>
      </c>
      <c r="S24" s="54" t="str">
        <f>IF(AND('Mapa final'!$AH$40="Alta",'Mapa final'!$AJ$40="Menor"),CONCATENATE("R2C",'Mapa final'!$R$40),"")</f>
        <v/>
      </c>
      <c r="T24" s="54" t="str">
        <f>IF(AND('Mapa final'!$AH$41="Alta",'Mapa final'!$AJ$41="Menor"),CONCATENATE("R2C",'Mapa final'!$R$41),"")</f>
        <v/>
      </c>
      <c r="U24" s="54" t="str">
        <f>IF(AND('Mapa final'!$AH$42="Alta",'Mapa final'!$AJ$42="Menor"),CONCATENATE("R2C",'Mapa final'!$R$42),"")</f>
        <v/>
      </c>
      <c r="V24" s="55" t="str">
        <f>IF(AND('Mapa final'!$AH$43="Alta",'Mapa final'!$AJ$43="Menor"),CONCATENATE("R2C",'Mapa final'!$R$43),"")</f>
        <v/>
      </c>
      <c r="W24" s="38" t="str">
        <f>IF(AND('Mapa final'!$AH$38="Alta",'Mapa final'!$AJ$38="Moderado"),CONCATENATE("R2C",'Mapa final'!$R$38),"")</f>
        <v/>
      </c>
      <c r="X24" s="39" t="str">
        <f>IF(AND('Mapa final'!$AH$39="Alta",'Mapa final'!$AJ$39="Moderado"),CONCATENATE("R2C",'Mapa final'!$R$39),"")</f>
        <v/>
      </c>
      <c r="Y24" s="39" t="str">
        <f>IF(AND('Mapa final'!$AH$40="Alta",'Mapa final'!$AJ$40="Moderado"),CONCATENATE("R2C",'Mapa final'!$R$40),"")</f>
        <v/>
      </c>
      <c r="Z24" s="39" t="str">
        <f>IF(AND('Mapa final'!$AH$41="Alta",'Mapa final'!$AJ$41="Moderado"),CONCATENATE("R2C",'Mapa final'!$R$41),"")</f>
        <v/>
      </c>
      <c r="AA24" s="39" t="str">
        <f>IF(AND('Mapa final'!$AH$42="Alta",'Mapa final'!$AJ$42="Moderado"),CONCATENATE("R2C",'Mapa final'!$R$42),"")</f>
        <v/>
      </c>
      <c r="AB24" s="40" t="str">
        <f>IF(AND('Mapa final'!$AH$43="Alta",'Mapa final'!$AJ$43="Moderado"),CONCATENATE("R2C",'Mapa final'!$R$43),"")</f>
        <v/>
      </c>
      <c r="AC24" s="38" t="str">
        <f>IF(AND('Mapa final'!$AH$38="Alta",'Mapa final'!$AJ$38="Mayor"),CONCATENATE("R2C",'Mapa final'!$R$38),"")</f>
        <v/>
      </c>
      <c r="AD24" s="39" t="str">
        <f>IF(AND('Mapa final'!$AH$39="Alta",'Mapa final'!$AJ$39="Mayor"),CONCATENATE("R2C",'Mapa final'!$R$39),"")</f>
        <v/>
      </c>
      <c r="AE24" s="39" t="str">
        <f>IF(AND('Mapa final'!$AH$40="Alta",'Mapa final'!$AJ$40="Mayor"),CONCATENATE("R2C",'Mapa final'!$R$40),"")</f>
        <v/>
      </c>
      <c r="AF24" s="39" t="str">
        <f>IF(AND('Mapa final'!$AH$41="Alta",'Mapa final'!$AJ$41="Mayor"),CONCATENATE("R2C",'Mapa final'!$R$41),"")</f>
        <v/>
      </c>
      <c r="AG24" s="39" t="str">
        <f>IF(AND('Mapa final'!$AH$42="Alta",'Mapa final'!$AJ$42="Mayor"),CONCATENATE("R2C",'Mapa final'!$R$42),"")</f>
        <v/>
      </c>
      <c r="AH24" s="40" t="str">
        <f>IF(AND('Mapa final'!$AH$43="Alta",'Mapa final'!$AJ$43="Mayor"),CONCATENATE("R2C",'Mapa final'!$R$43),"")</f>
        <v/>
      </c>
      <c r="AI24" s="41" t="str">
        <f>IF(AND('Mapa final'!$AH$38="Alta",'Mapa final'!$AJ$38="Catastrófico"),CONCATENATE("R2C",'Mapa final'!$R$38),"")</f>
        <v/>
      </c>
      <c r="AJ24" s="42" t="str">
        <f>IF(AND('Mapa final'!$AH$39="Alta",'Mapa final'!$AJ$39="Catastrófico"),CONCATENATE("R2C",'Mapa final'!$R$39),"")</f>
        <v/>
      </c>
      <c r="AK24" s="42" t="str">
        <f>IF(AND('Mapa final'!$AH$40="Alta",'Mapa final'!$AJ$40="Catastrófico"),CONCATENATE("R2C",'Mapa final'!$R$40),"")</f>
        <v/>
      </c>
      <c r="AL24" s="42" t="str">
        <f>IF(AND('Mapa final'!$AH$41="Alta",'Mapa final'!$AJ$41="Catastrófico"),CONCATENATE("R2C",'Mapa final'!$R$41),"")</f>
        <v/>
      </c>
      <c r="AM24" s="42" t="str">
        <f>IF(AND('Mapa final'!$AH$42="Alta",'Mapa final'!$AJ$42="Catastrófico"),CONCATENATE("R2C",'Mapa final'!$R$42),"")</f>
        <v/>
      </c>
      <c r="AN24" s="43" t="str">
        <f>IF(AND('Mapa final'!$AH$43="Alta",'Mapa final'!$AJ$43="Catastrófico"),CONCATENATE("R2C",'Mapa final'!$R$43),"")</f>
        <v/>
      </c>
      <c r="AO24" s="68"/>
      <c r="AP24" s="424"/>
      <c r="AQ24" s="425"/>
      <c r="AR24" s="425"/>
      <c r="AS24" s="425"/>
      <c r="AT24" s="425"/>
      <c r="AU24" s="426"/>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x14ac:dyDescent="0.25">
      <c r="B25" s="68"/>
      <c r="C25" s="371"/>
      <c r="D25" s="371"/>
      <c r="E25" s="372"/>
      <c r="F25" s="414"/>
      <c r="G25" s="415"/>
      <c r="H25" s="415"/>
      <c r="I25" s="415"/>
      <c r="J25" s="415"/>
      <c r="K25" s="53" t="str">
        <f>IF(AND('Mapa final'!$AH$44="Alta",'Mapa final'!$AJ$44="Leve"),CONCATENATE("R2C",'Mapa final'!$R$44),"")</f>
        <v/>
      </c>
      <c r="L25" s="54" t="str">
        <f>IF(AND('Mapa final'!$AH$45="Alta",'Mapa final'!$AJ$45="Leve"),CONCATENATE("R2C",'Mapa final'!$R$45),"")</f>
        <v/>
      </c>
      <c r="M25" s="54" t="str">
        <f>IF(AND('Mapa final'!$AH$46="Alta",'Mapa final'!$AJ$46="Leve"),CONCATENATE("R2C",'Mapa final'!$R$46),"")</f>
        <v/>
      </c>
      <c r="N25" s="54" t="str">
        <f>IF(AND('Mapa final'!$AH$47="Alta",'Mapa final'!$AJ$47="Leve"),CONCATENATE("R2C",'Mapa final'!$R$47),"")</f>
        <v/>
      </c>
      <c r="O25" s="54" t="str">
        <f>IF(AND('Mapa final'!$AH$48="Alta",'Mapa final'!$AJ$48="Leve"),CONCATENATE("R2C",'Mapa final'!$R$48),"")</f>
        <v/>
      </c>
      <c r="P25" s="55" t="str">
        <f>IF(AND('Mapa final'!$AH$49="Alta",'Mapa final'!$AJ$49="Leve"),CONCATENATE("R2C",'Mapa final'!$R$49),"")</f>
        <v/>
      </c>
      <c r="Q25" s="53" t="str">
        <f>IF(AND('Mapa final'!$AH$44="Alta",'Mapa final'!$AJ$44="Menor"),CONCATENATE("R2C",'Mapa final'!$R$44),"")</f>
        <v/>
      </c>
      <c r="R25" s="54" t="str">
        <f>IF(AND('Mapa final'!$AH$45="Alta",'Mapa final'!$AJ$45="Menor"),CONCATENATE("R2C",'Mapa final'!$R$45),"")</f>
        <v/>
      </c>
      <c r="S25" s="54" t="str">
        <f>IF(AND('Mapa final'!$AH$46="Alta",'Mapa final'!$AJ$46="Menor"),CONCATENATE("R2C",'Mapa final'!$R$46),"")</f>
        <v/>
      </c>
      <c r="T25" s="54" t="str">
        <f>IF(AND('Mapa final'!$AH$47="Alta",'Mapa final'!$AJ$47="Menor"),CONCATENATE("R2C",'Mapa final'!$R$47),"")</f>
        <v/>
      </c>
      <c r="U25" s="54" t="str">
        <f>IF(AND('Mapa final'!$AH$48="Alta",'Mapa final'!$AJ$48="LMenor"),CONCATENATE("R2C",'Mapa final'!$R$48),"")</f>
        <v/>
      </c>
      <c r="V25" s="55" t="str">
        <f>IF(AND('Mapa final'!$AH$49="Alta",'Mapa final'!$AJ$49="Menor"),CONCATENATE("R2C",'Mapa final'!$R$49),"")</f>
        <v/>
      </c>
      <c r="W25" s="38" t="str">
        <f>IF(AND('Mapa final'!$AH$44="Alta",'Mapa final'!$AJ$44="Moderado"),CONCATENATE("R2C",'Mapa final'!$R$44),"")</f>
        <v/>
      </c>
      <c r="X25" s="39" t="str">
        <f>IF(AND('Mapa final'!$AH$45="Alta",'Mapa final'!$AJ$45="Moderado"),CONCATENATE("R2C",'Mapa final'!$R$45),"")</f>
        <v/>
      </c>
      <c r="Y25" s="39" t="str">
        <f>IF(AND('Mapa final'!$AH$46="Alta",'Mapa final'!$AJ$46="Moderado"),CONCATENATE("R2C",'Mapa final'!$R$46),"")</f>
        <v/>
      </c>
      <c r="Z25" s="39" t="str">
        <f>IF(AND('Mapa final'!$AH$47="Alta",'Mapa final'!$AJ$47="Moderado"),CONCATENATE("R2C",'Mapa final'!$R$47),"")</f>
        <v/>
      </c>
      <c r="AA25" s="39" t="str">
        <f>IF(AND('Mapa final'!$AH$48="Alta",'Mapa final'!$AJ$48="Moderado"),CONCATENATE("R2C",'Mapa final'!$R$48),"")</f>
        <v/>
      </c>
      <c r="AB25" s="40" t="str">
        <f>IF(AND('Mapa final'!$AH$49="Alta",'Mapa final'!$AJ$49="Moderado"),CONCATENATE("R2C",'Mapa final'!$R$49),"")</f>
        <v/>
      </c>
      <c r="AC25" s="38" t="str">
        <f>IF(AND('Mapa final'!$AH$44="Alta",'Mapa final'!$AJ$44="Mayor"),CONCATENATE("R2C",'Mapa final'!$R$44),"")</f>
        <v/>
      </c>
      <c r="AD25" s="39" t="str">
        <f>IF(AND('Mapa final'!$AH$45="Alta",'Mapa final'!$AJ$45="Mayor"),CONCATENATE("R2C",'Mapa final'!$R$45),"")</f>
        <v/>
      </c>
      <c r="AE25" s="39" t="str">
        <f>IF(AND('Mapa final'!$AH$46="Alta",'Mapa final'!$AJ$46="Mayor"),CONCATENATE("R2C",'Mapa final'!$R$46),"")</f>
        <v/>
      </c>
      <c r="AF25" s="39" t="str">
        <f>IF(AND('Mapa final'!$AH$47="Alta",'Mapa final'!$AJ$47="Mayor"),CONCATENATE("R2C",'Mapa final'!$R$47),"")</f>
        <v/>
      </c>
      <c r="AG25" s="39" t="str">
        <f>IF(AND('Mapa final'!$AH$48="Alta",'Mapa final'!$AJ$48="Mayor"),CONCATENATE("R2C",'Mapa final'!$R$48),"")</f>
        <v/>
      </c>
      <c r="AH25" s="40" t="str">
        <f>IF(AND('Mapa final'!$AH$49="Alta",'Mapa final'!$AJ$49="Mayor"),CONCATENATE("R2C",'Mapa final'!$R$49),"")</f>
        <v/>
      </c>
      <c r="AI25" s="41" t="str">
        <f>IF(AND('Mapa final'!$AH$44="Alta",'Mapa final'!$AJ$44="Catastrófico"),CONCATENATE("R2C",'Mapa final'!$R$44),"")</f>
        <v/>
      </c>
      <c r="AJ25" s="42" t="str">
        <f>IF(AND('Mapa final'!$AH$45="Alta",'Mapa final'!$AJ$45="Catastrófico"),CONCATENATE("R2C",'Mapa final'!$R$45),"")</f>
        <v/>
      </c>
      <c r="AK25" s="42" t="str">
        <f>IF(AND('Mapa final'!$AH$46="Alta",'Mapa final'!$AJ$46="Catastrófico"),CONCATENATE("R2C",'Mapa final'!$R$46),"")</f>
        <v/>
      </c>
      <c r="AL25" s="42" t="str">
        <f>IF(AND('Mapa final'!$AH$47="Alta",'Mapa final'!$AJ$47="Catastrófico"),CONCATENATE("R2C",'Mapa final'!$R$47),"")</f>
        <v/>
      </c>
      <c r="AM25" s="42" t="str">
        <f>IF(AND('Mapa final'!$AH$48="Alta",'Mapa final'!$AJ$48="LCatastrófico"),CONCATENATE("R2C",'Mapa final'!$R$48),"")</f>
        <v/>
      </c>
      <c r="AN25" s="43" t="str">
        <f>IF(AND('Mapa final'!$AH$49="Alta",'Mapa final'!$AJ$49="Catastrófico"),CONCATENATE("R2C",'Mapa final'!$R$49),"")</f>
        <v/>
      </c>
      <c r="AO25" s="68"/>
      <c r="AP25" s="424"/>
      <c r="AQ25" s="425"/>
      <c r="AR25" s="425"/>
      <c r="AS25" s="425"/>
      <c r="AT25" s="425"/>
      <c r="AU25" s="426"/>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x14ac:dyDescent="0.25">
      <c r="B26" s="68"/>
      <c r="C26" s="371"/>
      <c r="D26" s="371"/>
      <c r="E26" s="372"/>
      <c r="F26" s="414"/>
      <c r="G26" s="415"/>
      <c r="H26" s="415"/>
      <c r="I26" s="415"/>
      <c r="J26" s="415"/>
      <c r="K26" s="53" t="str">
        <f>IF(AND('Mapa final'!$AH$50="Alta",'Mapa final'!$AJ$50="Leve"),CONCATENATE("R2C",'Mapa final'!$R$50),"")</f>
        <v/>
      </c>
      <c r="L26" s="54" t="str">
        <f>IF(AND('Mapa final'!$AH$51="Alta",'Mapa final'!$AJ$51="Leve"),CONCATENATE("R2C",'Mapa final'!$R$51),"")</f>
        <v/>
      </c>
      <c r="M26" s="54" t="str">
        <f>IF(AND('Mapa final'!$AH$52="Alta",'Mapa final'!$AJ$52="Leve"),CONCATENATE("R2C",'Mapa final'!$R$52),"")</f>
        <v/>
      </c>
      <c r="N26" s="54" t="str">
        <f>IF(AND('Mapa final'!$AH$53="Alta",'Mapa final'!$AJ$53="Leve"),CONCATENATE("R2C",'Mapa final'!$R$53),"")</f>
        <v/>
      </c>
      <c r="O26" s="54" t="str">
        <f>IF(AND('Mapa final'!$AH$54="Alta",'Mapa final'!$AJ$54="Leve"),CONCATENATE("R2C",'Mapa final'!$R$54),"")</f>
        <v/>
      </c>
      <c r="P26" s="55" t="str">
        <f>IF(AND('Mapa final'!$AH$55="Alta",'Mapa final'!$AJ$55="Leve"),CONCATENATE("R2C",'Mapa final'!$R$55),"")</f>
        <v/>
      </c>
      <c r="Q26" s="53" t="str">
        <f>IF(AND('Mapa final'!$AH$50="Alta",'Mapa final'!$AJ$50="Menor"),CONCATENATE("R2C",'Mapa final'!$R$50),"")</f>
        <v/>
      </c>
      <c r="R26" s="54" t="str">
        <f>IF(AND('Mapa final'!$AH$51="Alta",'Mapa final'!$AJ$51="Menor"),CONCATENATE("R2C",'Mapa final'!$R$51),"")</f>
        <v/>
      </c>
      <c r="S26" s="54" t="str">
        <f>IF(AND('Mapa final'!$AH$52="Alta",'Mapa final'!$AJ$52="Menor"),CONCATENATE("R2C",'Mapa final'!$R$52),"")</f>
        <v/>
      </c>
      <c r="T26" s="54" t="str">
        <f>IF(AND('Mapa final'!$AH$53="Alta",'Mapa final'!$AJ$53="Menor"),CONCATENATE("R2C",'Mapa final'!$R$53),"")</f>
        <v/>
      </c>
      <c r="U26" s="54" t="str">
        <f>IF(AND('Mapa final'!$AH$54="Alta",'Mapa final'!$AJ$54="Menor"),CONCATENATE("R2C",'Mapa final'!$R$54),"")</f>
        <v/>
      </c>
      <c r="V26" s="55" t="str">
        <f>IF(AND('Mapa final'!$AH$55="Alta",'Mapa final'!$AJ$55="Menor"),CONCATENATE("R2C",'Mapa final'!$R$55),"")</f>
        <v/>
      </c>
      <c r="W26" s="38" t="str">
        <f>IF(AND('Mapa final'!$AH$50="Alta",'Mapa final'!$AJ$50="Moderado"),CONCATENATE("R2C",'Mapa final'!$R$50),"")</f>
        <v/>
      </c>
      <c r="X26" s="39" t="str">
        <f>IF(AND('Mapa final'!$AH$51="Alta",'Mapa final'!$AJ$51="Moderado"),CONCATENATE("R2C",'Mapa final'!$R$51),"")</f>
        <v/>
      </c>
      <c r="Y26" s="39" t="str">
        <f>IF(AND('Mapa final'!$AH$52="Alta",'Mapa final'!$AJ$52="Moderado"),CONCATENATE("R2C",'Mapa final'!$R$52),"")</f>
        <v/>
      </c>
      <c r="Z26" s="39" t="str">
        <f>IF(AND('Mapa final'!$AH$53="Alta",'Mapa final'!$AJ$53="Moderado"),CONCATENATE("R2C",'Mapa final'!$R$53),"")</f>
        <v/>
      </c>
      <c r="AA26" s="39" t="str">
        <f>IF(AND('Mapa final'!$AH$54="Alta",'Mapa final'!$AJ$54="Moderado"),CONCATENATE("R2C",'Mapa final'!$R$54),"")</f>
        <v/>
      </c>
      <c r="AB26" s="40" t="str">
        <f>IF(AND('Mapa final'!$AH$55="Alta",'Mapa final'!$AJ$55="Moderado"),CONCATENATE("R2C",'Mapa final'!$R$55),"")</f>
        <v/>
      </c>
      <c r="AC26" s="38" t="str">
        <f>IF(AND('Mapa final'!$AH$50="Alta",'Mapa final'!$AJ$50="Mayor"),CONCATENATE("R2C",'Mapa final'!$R$50),"")</f>
        <v/>
      </c>
      <c r="AD26" s="39" t="str">
        <f>IF(AND('Mapa final'!$AH$51="Alta",'Mapa final'!$AJ$51="Mayor"),CONCATENATE("R2C",'Mapa final'!$R$51),"")</f>
        <v/>
      </c>
      <c r="AE26" s="39" t="str">
        <f>IF(AND('Mapa final'!$AH$52="Alta",'Mapa final'!$AJ$52="Mayor"),CONCATENATE("R2C",'Mapa final'!$R$52),"")</f>
        <v/>
      </c>
      <c r="AF26" s="39" t="str">
        <f>IF(AND('Mapa final'!$AH$53="Alta",'Mapa final'!$AJ$53="Mayor"),CONCATENATE("R2C",'Mapa final'!$R$53),"")</f>
        <v/>
      </c>
      <c r="AG26" s="39" t="str">
        <f>IF(AND('Mapa final'!$AH$54="Alta",'Mapa final'!$AJ$54="Mayor"),CONCATENATE("R2C",'Mapa final'!$R$54),"")</f>
        <v/>
      </c>
      <c r="AH26" s="40" t="str">
        <f>IF(AND('Mapa final'!$AH$55="Alta",'Mapa final'!$AJ$55="Mayor"),CONCATENATE("R2C",'Mapa final'!$R$55),"")</f>
        <v/>
      </c>
      <c r="AI26" s="41" t="str">
        <f>IF(AND('Mapa final'!$AH$50="Alta",'Mapa final'!$AJ$50="Catastrófico"),CONCATENATE("R2C",'Mapa final'!$R$50),"")</f>
        <v/>
      </c>
      <c r="AJ26" s="42" t="str">
        <f>IF(AND('Mapa final'!$AH$51="Alta",'Mapa final'!$AJ$51="Catastrófico"),CONCATENATE("R2C",'Mapa final'!$R$51),"")</f>
        <v/>
      </c>
      <c r="AK26" s="42" t="str">
        <f>IF(AND('Mapa final'!$AH$52="Alta",'Mapa final'!$AJ$52="Catastrófico"),CONCATENATE("R2C",'Mapa final'!$R$52),"")</f>
        <v/>
      </c>
      <c r="AL26" s="42" t="str">
        <f>IF(AND('Mapa final'!$AH$53="Alta",'Mapa final'!$AJ$53="Catastrófico"),CONCATENATE("R2C",'Mapa final'!$R$53),"")</f>
        <v/>
      </c>
      <c r="AM26" s="42" t="str">
        <f>IF(AND('Mapa final'!$AH$54="Alta",'Mapa final'!$AJ$54="Catastrófico"),CONCATENATE("R2C",'Mapa final'!$R$54),"")</f>
        <v/>
      </c>
      <c r="AN26" s="43" t="str">
        <f>IF(AND('Mapa final'!$AH$55="Alta",'Mapa final'!$AJ$55="Catastrófico"),CONCATENATE("R2C",'Mapa final'!$R$55),"")</f>
        <v/>
      </c>
      <c r="AO26" s="68"/>
      <c r="AP26" s="424"/>
      <c r="AQ26" s="425"/>
      <c r="AR26" s="425"/>
      <c r="AS26" s="425"/>
      <c r="AT26" s="425"/>
      <c r="AU26" s="426"/>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x14ac:dyDescent="0.25">
      <c r="B27" s="68"/>
      <c r="C27" s="371"/>
      <c r="D27" s="371"/>
      <c r="E27" s="372"/>
      <c r="F27" s="414"/>
      <c r="G27" s="415"/>
      <c r="H27" s="415"/>
      <c r="I27" s="415"/>
      <c r="J27" s="415"/>
      <c r="K27" s="53" t="str">
        <f>IF(AND('Mapa final'!$AH$56="Alta",'Mapa final'!$AJ$56="Leve"),CONCATENATE("R2C",'Mapa final'!$R$56),"")</f>
        <v/>
      </c>
      <c r="L27" s="54" t="str">
        <f>IF(AND('Mapa final'!$AH$57="Alta",'Mapa final'!$AJ$57="Leve"),CONCATENATE("R2C",'Mapa final'!$R$57),"")</f>
        <v/>
      </c>
      <c r="M27" s="54" t="str">
        <f>IF(AND('Mapa final'!$AH$58="Alta",'Mapa final'!$AJ$58="Leve"),CONCATENATE("R2C",'Mapa final'!$R$58),"")</f>
        <v/>
      </c>
      <c r="N27" s="54" t="str">
        <f>IF(AND('Mapa final'!$AH$59="Alta",'Mapa final'!$AJ$59="Leve"),CONCATENATE("R2C",'Mapa final'!$R$59),"")</f>
        <v/>
      </c>
      <c r="O27" s="54" t="str">
        <f>IF(AND('Mapa final'!$AH$60="Alta",'Mapa final'!$AJ$60="Leve"),CONCATENATE("R2C",'Mapa final'!$R$60),"")</f>
        <v/>
      </c>
      <c r="P27" s="55" t="str">
        <f>IF(AND('Mapa final'!$AH$71="Alta",'Mapa final'!$AJ$61="Leve"),CONCATENATE("R2C",'Mapa final'!$R$61),"")</f>
        <v/>
      </c>
      <c r="Q27" s="53" t="str">
        <f>IF(AND('Mapa final'!$AH$56="Alta",'Mapa final'!$AJ$56="Menor"),CONCATENATE("R2C",'Mapa final'!$R$56),"")</f>
        <v/>
      </c>
      <c r="R27" s="54" t="str">
        <f>IF(AND('Mapa final'!$AH$57="Alta",'Mapa final'!$AJ$57="Menor"),CONCATENATE("R2C",'Mapa final'!$R$57),"")</f>
        <v/>
      </c>
      <c r="S27" s="54" t="str">
        <f>IF(AND('Mapa final'!$AH$58="Alta",'Mapa final'!$AJ$58="Menor"),CONCATENATE("R2C",'Mapa final'!$R$58),"")</f>
        <v/>
      </c>
      <c r="T27" s="54" t="str">
        <f>IF(AND('Mapa final'!$AH$59="Alta",'Mapa final'!$AJ$59="Menor"),CONCATENATE("R2C",'Mapa final'!$R$59),"")</f>
        <v/>
      </c>
      <c r="U27" s="54" t="str">
        <f>IF(AND('Mapa final'!$AH$60="Alta",'Mapa final'!$AJ$60="Menor"),CONCATENATE("R2C",'Mapa final'!$R$60),"")</f>
        <v/>
      </c>
      <c r="V27" s="55" t="str">
        <f>IF(AND('Mapa final'!$AH$71="Alta",'Mapa final'!$AJ$61="Menor"),CONCATENATE("R2C",'Mapa final'!$R$61),"")</f>
        <v/>
      </c>
      <c r="W27" s="38" t="str">
        <f>IF(AND('Mapa final'!$AH$56="Alta",'Mapa final'!$AJ$56="Moderado"),CONCATENATE("R2C",'Mapa final'!$R$56),"")</f>
        <v/>
      </c>
      <c r="X27" s="39" t="str">
        <f>IF(AND('Mapa final'!$AH$57="Alta",'Mapa final'!$AJ$57="Moderado"),CONCATENATE("R2C",'Mapa final'!$R$57),"")</f>
        <v/>
      </c>
      <c r="Y27" s="39" t="str">
        <f>IF(AND('Mapa final'!$AH$58="Alta",'Mapa final'!$AJ$58="Moderado"),CONCATENATE("R2C",'Mapa final'!$R$58),"")</f>
        <v/>
      </c>
      <c r="Z27" s="39" t="str">
        <f>IF(AND('Mapa final'!$AH$59="Alta",'Mapa final'!$AJ$59="Moderado"),CONCATENATE("R2C",'Mapa final'!$R$59),"")</f>
        <v/>
      </c>
      <c r="AA27" s="39" t="str">
        <f>IF(AND('Mapa final'!$AH$60="Alta",'Mapa final'!$AJ$60="Moderado"),CONCATENATE("R2C",'Mapa final'!$R$60),"")</f>
        <v/>
      </c>
      <c r="AB27" s="40" t="str">
        <f>IF(AND('Mapa final'!$AH$71="Alta",'Mapa final'!$AJ$61="Moderado"),CONCATENATE("R2C",'Mapa final'!$R$61),"")</f>
        <v/>
      </c>
      <c r="AC27" s="38" t="str">
        <f>IF(AND('Mapa final'!$AH$56="Alta",'Mapa final'!$AJ$56="Mayor"),CONCATENATE("R2C",'Mapa final'!$R$56),"")</f>
        <v/>
      </c>
      <c r="AD27" s="39" t="str">
        <f>IF(AND('Mapa final'!$AH$57="Alta",'Mapa final'!$AJ$57="Mayor"),CONCATENATE("R2C",'Mapa final'!$R$57),"")</f>
        <v/>
      </c>
      <c r="AE27" s="39" t="str">
        <f>IF(AND('Mapa final'!$AH$58="Alta",'Mapa final'!$AJ$58="Mayor"),CONCATENATE("R2C",'Mapa final'!$R$58),"")</f>
        <v/>
      </c>
      <c r="AF27" s="39" t="str">
        <f>IF(AND('Mapa final'!$AH$59="Alta",'Mapa final'!$AJ$59="Mayor"),CONCATENATE("R2C",'Mapa final'!$R$59),"")</f>
        <v/>
      </c>
      <c r="AG27" s="39" t="str">
        <f>IF(AND('Mapa final'!$AH$60="Alta",'Mapa final'!$AJ$60="Mayor"),CONCATENATE("R2C",'Mapa final'!$R$60),"")</f>
        <v/>
      </c>
      <c r="AH27" s="40" t="str">
        <f>IF(AND('Mapa final'!$AH$71="Alta",'Mapa final'!$AJ$61="Mayor"),CONCATENATE("R2C",'Mapa final'!$R$61),"")</f>
        <v/>
      </c>
      <c r="AI27" s="41" t="str">
        <f>IF(AND('Mapa final'!$AH$56="Alta",'Mapa final'!$AJ$56="Catastrófico"),CONCATENATE("R2C",'Mapa final'!$R$56),"")</f>
        <v/>
      </c>
      <c r="AJ27" s="42" t="str">
        <f>IF(AND('Mapa final'!$AH$57="Alta",'Mapa final'!$AJ$57="Catastrófico"),CONCATENATE("R2C",'Mapa final'!$R$57),"")</f>
        <v/>
      </c>
      <c r="AK27" s="42" t="str">
        <f>IF(AND('Mapa final'!$AH$58="Alta",'Mapa final'!$AJ$58="Catastrófico"),CONCATENATE("R2C",'Mapa final'!$R$58),"")</f>
        <v/>
      </c>
      <c r="AL27" s="42" t="str">
        <f>IF(AND('Mapa final'!$AH$59="Alta",'Mapa final'!$AJ$59="Catastrófico"),CONCATENATE("R2C",'Mapa final'!$R$59),"")</f>
        <v/>
      </c>
      <c r="AM27" s="42" t="str">
        <f>IF(AND('Mapa final'!$AH$60="Alta",'Mapa final'!$AJ$60="Catastrófico"),CONCATENATE("R2C",'Mapa final'!$R$60),"")</f>
        <v/>
      </c>
      <c r="AN27" s="43" t="str">
        <f>IF(AND('Mapa final'!$AH$71="Alta",'Mapa final'!$AJ$61="Catastrófico"),CONCATENATE("R2C",'Mapa final'!$R$61),"")</f>
        <v/>
      </c>
      <c r="AO27" s="68"/>
      <c r="AP27" s="424"/>
      <c r="AQ27" s="425"/>
      <c r="AR27" s="425"/>
      <c r="AS27" s="425"/>
      <c r="AT27" s="425"/>
      <c r="AU27" s="426"/>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x14ac:dyDescent="0.25">
      <c r="B28" s="68"/>
      <c r="C28" s="371"/>
      <c r="D28" s="371"/>
      <c r="E28" s="372"/>
      <c r="F28" s="414"/>
      <c r="G28" s="415"/>
      <c r="H28" s="415"/>
      <c r="I28" s="415"/>
      <c r="J28" s="415"/>
      <c r="K28" s="53" t="str">
        <f>IF(AND('Mapa final'!$AH$62="Alta",'Mapa final'!$AJ$62="Leve"),CONCATENATE("R2C",'Mapa final'!$R$62),"")</f>
        <v/>
      </c>
      <c r="L28" s="54" t="str">
        <f>IF(AND('Mapa final'!$AH$63="Alta",'Mapa final'!$AJ$63="Leve"),CONCATENATE("R2C",'Mapa final'!$R$63),"")</f>
        <v/>
      </c>
      <c r="M28" s="54" t="str">
        <f>IF(AND('Mapa final'!$AH$64="Alta",'Mapa final'!$AJ$64="Leve"),CONCATENATE("R2C",'Mapa final'!$R$64),"")</f>
        <v/>
      </c>
      <c r="N28" s="54" t="str">
        <f>IF(AND('Mapa final'!$AH$65="Alta",'Mapa final'!$AJ$65="Leve"),CONCATENATE("R2C",'Mapa final'!$R$65),"")</f>
        <v/>
      </c>
      <c r="O28" s="54" t="str">
        <f>IF(AND('Mapa final'!$AH$66="Alta",'Mapa final'!$AJ$66="Leve"),CONCATENATE("R2C",'Mapa final'!$R$66),"")</f>
        <v/>
      </c>
      <c r="P28" s="55" t="str">
        <f>IF(AND('Mapa final'!$AH$67="Alta",'Mapa final'!$AJ$67="Leve"),CONCATENATE("R2C",'Mapa final'!$R$67),"")</f>
        <v/>
      </c>
      <c r="Q28" s="53" t="str">
        <f>IF(AND('Mapa final'!$AH$62="Alta",'Mapa final'!$AJ$62="Menor"),CONCATENATE("R2C",'Mapa final'!$R$62),"")</f>
        <v/>
      </c>
      <c r="R28" s="54" t="str">
        <f>IF(AND('Mapa final'!$AH$63="Alta",'Mapa final'!$AJ$63="Menor"),CONCATENATE("R2C",'Mapa final'!$R$63),"")</f>
        <v/>
      </c>
      <c r="S28" s="54" t="str">
        <f>IF(AND('Mapa final'!$AH$64="Alta",'Mapa final'!$AJ$64="Menor"),CONCATENATE("R2C",'Mapa final'!$R$64),"")</f>
        <v/>
      </c>
      <c r="T28" s="54" t="str">
        <f>IF(AND('Mapa final'!$AH$65="Alta",'Mapa final'!$AJ$65="Menor"),CONCATENATE("R2C",'Mapa final'!$R$65),"")</f>
        <v/>
      </c>
      <c r="U28" s="54" t="str">
        <f>IF(AND('Mapa final'!$AH$66="Alta",'Mapa final'!$AJ$66="Menor"),CONCATENATE("R2C",'Mapa final'!$R$66),"")</f>
        <v/>
      </c>
      <c r="V28" s="55" t="str">
        <f>IF(AND('Mapa final'!$AH$67="Alta",'Mapa final'!$AJ$67="Menor"),CONCATENATE("R2C",'Mapa final'!$R$67),"")</f>
        <v/>
      </c>
      <c r="W28" s="38" t="str">
        <f>IF(AND('Mapa final'!$AH$62="Alta",'Mapa final'!$AJ$62="Moderado"),CONCATENATE("R2C",'Mapa final'!$R$62),"")</f>
        <v/>
      </c>
      <c r="X28" s="39" t="str">
        <f>IF(AND('Mapa final'!$AH$63="Alta",'Mapa final'!$AJ$63="Moderado"),CONCATENATE("R2C",'Mapa final'!$R$63),"")</f>
        <v/>
      </c>
      <c r="Y28" s="39" t="str">
        <f>IF(AND('Mapa final'!$AH$64="Alta",'Mapa final'!$AJ$64="Moderado"),CONCATENATE("R2C",'Mapa final'!$R$64),"")</f>
        <v/>
      </c>
      <c r="Z28" s="39" t="str">
        <f>IF(AND('Mapa final'!$AH$65="Alta",'Mapa final'!$AJ$65="Moderado"),CONCATENATE("R2C",'Mapa final'!$R$65),"")</f>
        <v/>
      </c>
      <c r="AA28" s="39" t="str">
        <f>IF(AND('Mapa final'!$AH$66="Alta",'Mapa final'!$AJ$66="Moderado"),CONCATENATE("R2C",'Mapa final'!$R$66),"")</f>
        <v/>
      </c>
      <c r="AB28" s="40" t="str">
        <f>IF(AND('Mapa final'!$AH$67="Alta",'Mapa final'!$AJ$67="Moderado"),CONCATENATE("R2C",'Mapa final'!$R$67),"")</f>
        <v/>
      </c>
      <c r="AC28" s="38" t="str">
        <f>IF(AND('Mapa final'!$AH$62="Alta",'Mapa final'!$AJ$62="Mayor"),CONCATENATE("R2C",'Mapa final'!$R$62),"")</f>
        <v/>
      </c>
      <c r="AD28" s="39" t="str">
        <f>IF(AND('Mapa final'!$AH$63="Alta",'Mapa final'!$AJ$63="Mayor"),CONCATENATE("R2C",'Mapa final'!$R$63),"")</f>
        <v/>
      </c>
      <c r="AE28" s="39" t="str">
        <f>IF(AND('Mapa final'!$AH$64="Alta",'Mapa final'!$AJ$64="Mayor"),CONCATENATE("R2C",'Mapa final'!$R$64),"")</f>
        <v/>
      </c>
      <c r="AF28" s="39" t="str">
        <f>IF(AND('Mapa final'!$AH$65="Alta",'Mapa final'!$AJ$65="Mayor"),CONCATENATE("R2C",'Mapa final'!$R$65),"")</f>
        <v/>
      </c>
      <c r="AG28" s="39" t="str">
        <f>IF(AND('Mapa final'!$AH$66="Alta",'Mapa final'!$AJ$66="Mayor"),CONCATENATE("R2C",'Mapa final'!$R$66),"")</f>
        <v/>
      </c>
      <c r="AH28" s="40" t="str">
        <f>IF(AND('Mapa final'!$AH$67="Alta",'Mapa final'!$AJ$67="Mayor"),CONCATENATE("R2C",'Mapa final'!$R$67),"")</f>
        <v/>
      </c>
      <c r="AI28" s="41" t="str">
        <f>IF(AND('Mapa final'!$AH$62="Alta",'Mapa final'!$AJ$62="Catastrófico"),CONCATENATE("R2C",'Mapa final'!$R$62),"")</f>
        <v/>
      </c>
      <c r="AJ28" s="42" t="str">
        <f>IF(AND('Mapa final'!$AH$63="Alta",'Mapa final'!$AJ$63="Catastrófico"),CONCATENATE("R2C",'Mapa final'!$R$63),"")</f>
        <v/>
      </c>
      <c r="AK28" s="42" t="str">
        <f>IF(AND('Mapa final'!$AH$64="Alta",'Mapa final'!$AJ$64="Catastrófico"),CONCATENATE("R2C",'Mapa final'!$R$64),"")</f>
        <v/>
      </c>
      <c r="AL28" s="42" t="str">
        <f>IF(AND('Mapa final'!$AH$65="Alta",'Mapa final'!$AJ$65="Catastrófico"),CONCATENATE("R2C",'Mapa final'!$R$65),"")</f>
        <v/>
      </c>
      <c r="AM28" s="42" t="str">
        <f>IF(AND('Mapa final'!$AH$66="Alta",'Mapa final'!$AJ$66="Catastrófico"),CONCATENATE("R2C",'Mapa final'!$R$66),"")</f>
        <v/>
      </c>
      <c r="AN28" s="43" t="str">
        <f>IF(AND('Mapa final'!$AH$67="Alta",'Mapa final'!$AJ$67="Catastrófico"),CONCATENATE("R2C",'Mapa final'!$R$67),"")</f>
        <v/>
      </c>
      <c r="AO28" s="68"/>
      <c r="AP28" s="424"/>
      <c r="AQ28" s="425"/>
      <c r="AR28" s="425"/>
      <c r="AS28" s="425"/>
      <c r="AT28" s="425"/>
      <c r="AU28" s="426"/>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x14ac:dyDescent="0.25">
      <c r="B29" s="68"/>
      <c r="C29" s="371"/>
      <c r="D29" s="371"/>
      <c r="E29" s="372"/>
      <c r="F29" s="414"/>
      <c r="G29" s="415"/>
      <c r="H29" s="415"/>
      <c r="I29" s="415"/>
      <c r="J29" s="415"/>
      <c r="K29" s="53" t="str">
        <f>IF(AND('Mapa final'!$AH$68="Alta",'Mapa final'!$AJ$68="Leve"),CONCATENATE("R2C",'Mapa final'!$R$68),"")</f>
        <v/>
      </c>
      <c r="L29" s="54" t="str">
        <f>IF(AND('Mapa final'!$AH$69="Alta",'Mapa final'!$AJ$69="Leve"),CONCATENATE("R2C",'Mapa final'!$R$69),"")</f>
        <v/>
      </c>
      <c r="M29" s="54" t="str">
        <f>IF(AND('Mapa final'!$AH$70="Alta",'Mapa final'!$AJ$70="Leve"),CONCATENATE("R2C",'Mapa final'!$R$70),"")</f>
        <v/>
      </c>
      <c r="N29" s="54" t="str">
        <f>IF(AND('Mapa final'!$AH$71="Alta",'Mapa final'!$AJ$71="Leve"),CONCATENATE("R2C",'Mapa final'!$R$71),"")</f>
        <v/>
      </c>
      <c r="O29" s="54" t="str">
        <f>IF(AND('Mapa final'!$AH$72="Alta",'Mapa final'!$AJ$72="Leve"),CONCATENATE("R2C",'Mapa final'!$R$72),"")</f>
        <v/>
      </c>
      <c r="P29" s="55" t="str">
        <f>IF(AND('Mapa final'!$AH$73="Alta",'Mapa final'!$AJ$73="Leve"),CONCATENATE("R2C",'Mapa final'!$R$73),"")</f>
        <v/>
      </c>
      <c r="Q29" s="53" t="str">
        <f>IF(AND('Mapa final'!$AH$68="Alta",'Mapa final'!$AJ$68="Menor"),CONCATENATE("R2C",'Mapa final'!$R$68),"")</f>
        <v/>
      </c>
      <c r="R29" s="54" t="str">
        <f>IF(AND('Mapa final'!$AH$69="Alta",'Mapa final'!$AJ$69="Menor"),CONCATENATE("R2C",'Mapa final'!$R$69),"")</f>
        <v/>
      </c>
      <c r="S29" s="54" t="str">
        <f>IF(AND('Mapa final'!$AH$70="Alta",'Mapa final'!$AJ$70="Menor"),CONCATENATE("R2C",'Mapa final'!$R$70),"")</f>
        <v/>
      </c>
      <c r="T29" s="54" t="str">
        <f>IF(AND('Mapa final'!$AH$71="Alta",'Mapa final'!$AJ$71="Menor"),CONCATENATE("R2C",'Mapa final'!$R$71),"")</f>
        <v/>
      </c>
      <c r="U29" s="54" t="str">
        <f>IF(AND('Mapa final'!$AH$72="Alta",'Mapa final'!$AJ$72="Menor"),CONCATENATE("R2C",'Mapa final'!$R$72),"")</f>
        <v/>
      </c>
      <c r="V29" s="55" t="str">
        <f>IF(AND('Mapa final'!$AH$73="Alta",'Mapa final'!$AJ$73="Menor"),CONCATENATE("R2C",'Mapa final'!$R$73),"")</f>
        <v/>
      </c>
      <c r="W29" s="38" t="str">
        <f>IF(AND('Mapa final'!$AH$68="Alta",'Mapa final'!$AJ$68="Moderado"),CONCATENATE("R2C",'Mapa final'!$R$68),"")</f>
        <v/>
      </c>
      <c r="X29" s="39" t="str">
        <f>IF(AND('Mapa final'!$AH$69="Alta",'Mapa final'!$AJ$69="Moderado"),CONCATENATE("R2C",'Mapa final'!$R$69),"")</f>
        <v/>
      </c>
      <c r="Y29" s="39" t="str">
        <f>IF(AND('Mapa final'!$AH$70="Alta",'Mapa final'!$AJ$70="Moderado"),CONCATENATE("R2C",'Mapa final'!$R$70),"")</f>
        <v/>
      </c>
      <c r="Z29" s="39" t="str">
        <f>IF(AND('Mapa final'!$AH$71="Alta",'Mapa final'!$AJ$71="Moderado"),CONCATENATE("R2C",'Mapa final'!$R$71),"")</f>
        <v/>
      </c>
      <c r="AA29" s="39" t="str">
        <f>IF(AND('Mapa final'!$AH$72="Alta",'Mapa final'!$AJ$72="Moderado"),CONCATENATE("R2C",'Mapa final'!$R$72),"")</f>
        <v/>
      </c>
      <c r="AB29" s="40" t="str">
        <f>IF(AND('Mapa final'!$AH$73="Alta",'Mapa final'!$AJ$73="Moderado"),CONCATENATE("R2C",'Mapa final'!$R$73),"")</f>
        <v/>
      </c>
      <c r="AC29" s="38" t="str">
        <f>IF(AND('Mapa final'!$AH$68="Alta",'Mapa final'!$AJ$68="Mayor"),CONCATENATE("R2C",'Mapa final'!$R$68),"")</f>
        <v/>
      </c>
      <c r="AD29" s="39" t="str">
        <f>IF(AND('Mapa final'!$AH$69="Alta",'Mapa final'!$AJ$69="Mayor"),CONCATENATE("R2C",'Mapa final'!$R$69),"")</f>
        <v/>
      </c>
      <c r="AE29" s="39" t="str">
        <f>IF(AND('Mapa final'!$AH$70="Alta",'Mapa final'!$AJ$70="Mayor"),CONCATENATE("R2C",'Mapa final'!$R$70),"")</f>
        <v/>
      </c>
      <c r="AF29" s="39" t="str">
        <f>IF(AND('Mapa final'!$AH$71="Alta",'Mapa final'!$AJ$71="Mayor"),CONCATENATE("R2C",'Mapa final'!$R$71),"")</f>
        <v/>
      </c>
      <c r="AG29" s="39" t="str">
        <f>IF(AND('Mapa final'!$AH$72="Alta",'Mapa final'!$AJ$72="Mayor"),CONCATENATE("R2C",'Mapa final'!$R$72),"")</f>
        <v/>
      </c>
      <c r="AH29" s="40" t="str">
        <f>IF(AND('Mapa final'!$AH$73="Alta",'Mapa final'!$AJ$73="Mayor"),CONCATENATE("R2C",'Mapa final'!$R$73),"")</f>
        <v/>
      </c>
      <c r="AI29" s="41" t="str">
        <f>IF(AND('Mapa final'!$AH$68="Alta",'Mapa final'!$AJ$68="Catastrófico"),CONCATENATE("R2C",'Mapa final'!$R$68),"")</f>
        <v/>
      </c>
      <c r="AJ29" s="42" t="str">
        <f>IF(AND('Mapa final'!$AH$69="Alta",'Mapa final'!$AJ$69="Catastrófico"),CONCATENATE("R2C",'Mapa final'!$R$69),"")</f>
        <v/>
      </c>
      <c r="AK29" s="42" t="str">
        <f>IF(AND('Mapa final'!$AH$70="Alta",'Mapa final'!$AJ$70="Catastrófico"),CONCATENATE("R2C",'Mapa final'!$R$70),"")</f>
        <v/>
      </c>
      <c r="AL29" s="42" t="str">
        <f>IF(AND('Mapa final'!$AH$71="Alta",'Mapa final'!$AJ$71="Catastrófico"),CONCATENATE("R2C",'Mapa final'!$R$71),"")</f>
        <v/>
      </c>
      <c r="AM29" s="42" t="str">
        <f>IF(AND('Mapa final'!$AH$72="Alta",'Mapa final'!$AJ$72="Catastrófico"),CONCATENATE("R2C",'Mapa final'!$R$72),"")</f>
        <v/>
      </c>
      <c r="AN29" s="43" t="str">
        <f>IF(AND('Mapa final'!$AH$73="Alta",'Mapa final'!$AJ$73="Catastrófico"),CONCATENATE("R2C",'Mapa final'!$R$73),"")</f>
        <v/>
      </c>
      <c r="AO29" s="68"/>
      <c r="AP29" s="424"/>
      <c r="AQ29" s="425"/>
      <c r="AR29" s="425"/>
      <c r="AS29" s="425"/>
      <c r="AT29" s="425"/>
      <c r="AU29" s="426"/>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x14ac:dyDescent="0.25">
      <c r="B30" s="68"/>
      <c r="C30" s="371"/>
      <c r="D30" s="371"/>
      <c r="E30" s="372"/>
      <c r="F30" s="414"/>
      <c r="G30" s="415"/>
      <c r="H30" s="415"/>
      <c r="I30" s="415"/>
      <c r="J30" s="415"/>
      <c r="K30" s="53" t="str">
        <f>IF(AND('Mapa final'!$AH$74="Alta",'Mapa final'!$AJ$74="Leve"),CONCATENATE("R2C",'Mapa final'!$R$74),"")</f>
        <v/>
      </c>
      <c r="L30" s="54" t="str">
        <f>IF(AND('Mapa final'!$AH$75="Alta",'Mapa final'!$AJ$75="Leve"),CONCATENATE("R2C",'Mapa final'!$R$75),"")</f>
        <v/>
      </c>
      <c r="M30" s="54" t="str">
        <f>IF(AND('Mapa final'!$AH$76="Alta",'Mapa final'!$AJ$76="Leve"),CONCATENATE("R2C",'Mapa final'!$R$76),"")</f>
        <v/>
      </c>
      <c r="N30" s="54" t="str">
        <f>IF(AND('Mapa final'!$AH$77="Alta",'Mapa final'!$AJ$77="Leve"),CONCATENATE("R2C",'Mapa final'!$R$77),"")</f>
        <v/>
      </c>
      <c r="O30" s="54" t="str">
        <f>IF(AND('Mapa final'!$AH$78="Alta",'Mapa final'!$AJ$78="Leve"),CONCATENATE("R2C",'Mapa final'!$R$78),"")</f>
        <v/>
      </c>
      <c r="P30" s="55" t="str">
        <f>IF(AND('Mapa final'!$AH$79="Alta",'Mapa final'!$AJ$79="Leve"),CONCATENATE("R2C",'Mapa final'!$R$79),"")</f>
        <v/>
      </c>
      <c r="Q30" s="53" t="str">
        <f>IF(AND('Mapa final'!$AH$74="Alta",'Mapa final'!$AJ$74="Menor"),CONCATENATE("R2C",'Mapa final'!$R$74),"")</f>
        <v/>
      </c>
      <c r="R30" s="54" t="str">
        <f>IF(AND('Mapa final'!$AH$75="Alta",'Mapa final'!$AJ$75="Menor"),CONCATENATE("R2C",'Mapa final'!$R$75),"")</f>
        <v/>
      </c>
      <c r="S30" s="54" t="str">
        <f>IF(AND('Mapa final'!$AH$76="Alta",'Mapa final'!$AJ$76="Menor"),CONCATENATE("R2C",'Mapa final'!$R$76),"")</f>
        <v/>
      </c>
      <c r="T30" s="54" t="str">
        <f>IF(AND('Mapa final'!$AH$77="Alta",'Mapa final'!$AJ$77="Menor"),CONCATENATE("R2C",'Mapa final'!$R$77),"")</f>
        <v/>
      </c>
      <c r="U30" s="54" t="str">
        <f>IF(AND('Mapa final'!$AH$78="Alta",'Mapa final'!$AJ$78="Menor"),CONCATENATE("R2C",'Mapa final'!$R$78),"")</f>
        <v/>
      </c>
      <c r="V30" s="55" t="str">
        <f>IF(AND('Mapa final'!$AH$79="Alta",'Mapa final'!$AJ$79="Menor"),CONCATENATE("R2C",'Mapa final'!$R$79),"")</f>
        <v/>
      </c>
      <c r="W30" s="38" t="str">
        <f>IF(AND('Mapa final'!$AH$74="Alta",'Mapa final'!$AJ$74="Moderado"),CONCATENATE("R2C",'Mapa final'!$R$74),"")</f>
        <v/>
      </c>
      <c r="X30" s="39" t="str">
        <f>IF(AND('Mapa final'!$AH$75="Alta",'Mapa final'!$AJ$75="Moderado"),CONCATENATE("R2C",'Mapa final'!$R$75),"")</f>
        <v/>
      </c>
      <c r="Y30" s="39" t="str">
        <f>IF(AND('Mapa final'!$AH$76="Alta",'Mapa final'!$AJ$76="Moderado"),CONCATENATE("R2C",'Mapa final'!$R$76),"")</f>
        <v/>
      </c>
      <c r="Z30" s="39" t="str">
        <f>IF(AND('Mapa final'!$AH$77="Alta",'Mapa final'!$AJ$77="Moderado"),CONCATENATE("R2C",'Mapa final'!$R$77),"")</f>
        <v/>
      </c>
      <c r="AA30" s="39" t="str">
        <f>IF(AND('Mapa final'!$AH$78="Alta",'Mapa final'!$AJ$78="Moderado"),CONCATENATE("R2C",'Mapa final'!$R$78),"")</f>
        <v/>
      </c>
      <c r="AB30" s="40" t="str">
        <f>IF(AND('Mapa final'!$AH$79="Alta",'Mapa final'!$AJ$79="Moderado"),CONCATENATE("R2C",'Mapa final'!$R$79),"")</f>
        <v/>
      </c>
      <c r="AC30" s="38" t="str">
        <f>IF(AND('Mapa final'!$AH$74="Alta",'Mapa final'!$AJ$74="Mayor"),CONCATENATE("R2C",'Mapa final'!$R$74),"")</f>
        <v/>
      </c>
      <c r="AD30" s="39" t="str">
        <f>IF(AND('Mapa final'!$AH$75="Alta",'Mapa final'!$AJ$75="Mayor"),CONCATENATE("R2C",'Mapa final'!$R$75),"")</f>
        <v/>
      </c>
      <c r="AE30" s="39" t="str">
        <f>IF(AND('Mapa final'!$AH$76="Alta",'Mapa final'!$AJ$76="Mayor"),CONCATENATE("R2C",'Mapa final'!$R$76),"")</f>
        <v/>
      </c>
      <c r="AF30" s="39" t="str">
        <f>IF(AND('Mapa final'!$AH$77="Alta",'Mapa final'!$AJ$77="Mayor"),CONCATENATE("R2C",'Mapa final'!$R$77),"")</f>
        <v/>
      </c>
      <c r="AG30" s="39" t="str">
        <f>IF(AND('Mapa final'!$AH$78="Alta",'Mapa final'!$AJ$78="Mayor"),CONCATENATE("R2C",'Mapa final'!$R$78),"")</f>
        <v/>
      </c>
      <c r="AH30" s="40" t="str">
        <f>IF(AND('Mapa final'!$AH$79="Alta",'Mapa final'!$AJ$79="Mayor"),CONCATENATE("R2C",'Mapa final'!$R$79),"")</f>
        <v/>
      </c>
      <c r="AI30" s="41" t="str">
        <f>IF(AND('Mapa final'!$AH$74="Alta",'Mapa final'!$AJ$74="Catastrófico"),CONCATENATE("R2C",'Mapa final'!$R$74),"")</f>
        <v/>
      </c>
      <c r="AJ30" s="42" t="str">
        <f>IF(AND('Mapa final'!$AH$75="Alta",'Mapa final'!$AJ$75="Catastrófico"),CONCATENATE("R2C",'Mapa final'!$R$75),"")</f>
        <v/>
      </c>
      <c r="AK30" s="42" t="str">
        <f>IF(AND('Mapa final'!$AH$76="Alta",'Mapa final'!$AJ$76="Catastrófico"),CONCATENATE("R2C",'Mapa final'!$R$76),"")</f>
        <v/>
      </c>
      <c r="AL30" s="42" t="str">
        <f>IF(AND('Mapa final'!$AH$77="Alta",'Mapa final'!$AJ$77="Catastrófico"),CONCATENATE("R2C",'Mapa final'!$R$77),"")</f>
        <v/>
      </c>
      <c r="AM30" s="42" t="str">
        <f>IF(AND('Mapa final'!$AH$78="Alta",'Mapa final'!$AJ$78="Catastrófico"),CONCATENATE("R2C",'Mapa final'!$R$78),"")</f>
        <v/>
      </c>
      <c r="AN30" s="43" t="str">
        <f>IF(AND('Mapa final'!$AH$79="Alta",'Mapa final'!$AJ$79="Catastrófico"),CONCATENATE("R2C",'Mapa final'!$R$79),"")</f>
        <v/>
      </c>
      <c r="AO30" s="68"/>
      <c r="AP30" s="424"/>
      <c r="AQ30" s="425"/>
      <c r="AR30" s="425"/>
      <c r="AS30" s="425"/>
      <c r="AT30" s="425"/>
      <c r="AU30" s="426"/>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x14ac:dyDescent="0.3">
      <c r="B31" s="68"/>
      <c r="C31" s="371"/>
      <c r="D31" s="371"/>
      <c r="E31" s="372"/>
      <c r="F31" s="417"/>
      <c r="G31" s="418"/>
      <c r="H31" s="418"/>
      <c r="I31" s="418"/>
      <c r="J31" s="418"/>
      <c r="K31" s="56" t="str">
        <f>IF(AND('Mapa final'!$AH$80="Alta",'Mapa final'!$AJ$80="Leve"),CONCATENATE("R2C",'Mapa final'!$R$80),"")</f>
        <v/>
      </c>
      <c r="L31" s="57" t="str">
        <f>IF(AND('Mapa final'!$AH$81="Alta",'Mapa final'!$AJ$81="Leve"),CONCATENATE("R2C",'Mapa final'!$R$81),"")</f>
        <v/>
      </c>
      <c r="M31" s="57" t="str">
        <f>IF(AND('Mapa final'!$AH$82="Alta",'Mapa final'!$AJ$82="Leve"),CONCATENATE("R2C",'Mapa final'!$R$82),"")</f>
        <v/>
      </c>
      <c r="N31" s="57" t="str">
        <f>IF(AND('Mapa final'!$AH$83="Alta",'Mapa final'!$AJ$83="Leve"),CONCATENATE("R2C",'Mapa final'!$R$83),"")</f>
        <v/>
      </c>
      <c r="O31" s="57" t="str">
        <f>IF(AND('Mapa final'!$AH$85="Alta",'Mapa final'!$AJ$85="Leve"),CONCATENATE("R2C",'Mapa final'!$R$85),"")</f>
        <v/>
      </c>
      <c r="P31" s="58" t="str">
        <f>IF(AND('Mapa final'!$AH$86="Alta",'Mapa final'!$AJ$86="Leve"),CONCATENATE("R2C",'Mapa final'!$R$86),"")</f>
        <v/>
      </c>
      <c r="Q31" s="56" t="str">
        <f>IF(AND('Mapa final'!$AH$80="Alta",'Mapa final'!$AJ$80="Menor"),CONCATENATE("R2C",'Mapa final'!$R$80),"")</f>
        <v/>
      </c>
      <c r="R31" s="57" t="str">
        <f>IF(AND('Mapa final'!$AH$81="Alta",'Mapa final'!$AJ$81="Menor"),CONCATENATE("R2C",'Mapa final'!$R$81),"")</f>
        <v/>
      </c>
      <c r="S31" s="57" t="str">
        <f>IF(AND('Mapa final'!$AH$82="Alta",'Mapa final'!$AJ$82="Menor"),CONCATENATE("R2C",'Mapa final'!$R$82),"")</f>
        <v/>
      </c>
      <c r="T31" s="57" t="str">
        <f>IF(AND('Mapa final'!$AH$83="Alta",'Mapa final'!$AJ$83="Menor"),CONCATENATE("R2C",'Mapa final'!$R$83),"")</f>
        <v/>
      </c>
      <c r="U31" s="57" t="str">
        <f>IF(AND('Mapa final'!$AH$85="Alta",'Mapa final'!$AJ$85="Menor"),CONCATENATE("R2C",'Mapa final'!$R$85),"")</f>
        <v/>
      </c>
      <c r="V31" s="58" t="str">
        <f>IF(AND('Mapa final'!$AH$86="Alta",'Mapa final'!$AJ$86="Menor"),CONCATENATE("R2C",'Mapa final'!$R$86),"")</f>
        <v/>
      </c>
      <c r="W31" s="44" t="str">
        <f>IF(AND('Mapa final'!$AH$80="Alta",'Mapa final'!$AJ$80="Moderado"),CONCATENATE("R2C",'Mapa final'!$R$80),"")</f>
        <v/>
      </c>
      <c r="X31" s="45" t="str">
        <f>IF(AND('Mapa final'!$AH$81="Alta",'Mapa final'!$AJ$81="Moderado"),CONCATENATE("R2C",'Mapa final'!$R$81),"")</f>
        <v/>
      </c>
      <c r="Y31" s="45" t="str">
        <f>IF(AND('Mapa final'!$AH$82="Alta",'Mapa final'!$AJ$82="Moderado"),CONCATENATE("R2C",'Mapa final'!$R$82),"")</f>
        <v/>
      </c>
      <c r="Z31" s="45" t="str">
        <f>IF(AND('Mapa final'!$AH$83="Alta",'Mapa final'!$AJ$83="Moderado"),CONCATENATE("R2C",'Mapa final'!$R$83),"")</f>
        <v/>
      </c>
      <c r="AA31" s="45" t="str">
        <f>IF(AND('Mapa final'!$AH$85="Alta",'Mapa final'!$AJ$85="Moderado"),CONCATENATE("R2C",'Mapa final'!$R$85),"")</f>
        <v/>
      </c>
      <c r="AB31" s="46" t="str">
        <f>IF(AND('Mapa final'!$AH$86="Alta",'Mapa final'!$AJ$86="Moderado"),CONCATENATE("R2C",'Mapa final'!$R$86),"")</f>
        <v/>
      </c>
      <c r="AC31" s="44" t="str">
        <f>IF(AND('Mapa final'!$AH$80="Alta",'Mapa final'!$AJ$80="Mayor"),CONCATENATE("R2C",'Mapa final'!$R$80),"")</f>
        <v/>
      </c>
      <c r="AD31" s="45" t="str">
        <f>IF(AND('Mapa final'!$AH$81="Alta",'Mapa final'!$AJ$81="Mayor"),CONCATENATE("R2C",'Mapa final'!$R$81),"")</f>
        <v/>
      </c>
      <c r="AE31" s="45" t="str">
        <f>IF(AND('Mapa final'!$AH$82="Alta",'Mapa final'!$AJ$82="Mayor"),CONCATENATE("R2C",'Mapa final'!$R$82),"")</f>
        <v/>
      </c>
      <c r="AF31" s="45" t="str">
        <f>IF(AND('Mapa final'!$AH$83="Alta",'Mapa final'!$AJ$83="Mayor"),CONCATENATE("R2C",'Mapa final'!$R$83),"")</f>
        <v/>
      </c>
      <c r="AG31" s="45" t="str">
        <f>IF(AND('Mapa final'!$AH$85="Alta",'Mapa final'!$AJ$85="Mayor"),CONCATENATE("R2C",'Mapa final'!$R$85),"")</f>
        <v/>
      </c>
      <c r="AH31" s="46" t="str">
        <f>IF(AND('Mapa final'!$AH$86="Alta",'Mapa final'!$AJ$86="Mayor"),CONCATENATE("R2C",'Mapa final'!$R$86),"")</f>
        <v/>
      </c>
      <c r="AI31" s="47" t="str">
        <f>IF(AND('Mapa final'!$AH$80="Alta",'Mapa final'!$AJ$80="Catastrófico"),CONCATENATE("R2C",'Mapa final'!$R$80),"")</f>
        <v/>
      </c>
      <c r="AJ31" s="48" t="str">
        <f>IF(AND('Mapa final'!$AH$81="Alta",'Mapa final'!$AJ$81="Catastrófico"),CONCATENATE("R2C",'Mapa final'!$R$81),"")</f>
        <v/>
      </c>
      <c r="AK31" s="48" t="str">
        <f>IF(AND('Mapa final'!$AH$82="Alta",'Mapa final'!$AJ$82="Catastrófico"),CONCATENATE("R2C",'Mapa final'!$R$82),"")</f>
        <v/>
      </c>
      <c r="AL31" s="48" t="str">
        <f>IF(AND('Mapa final'!$AH$83="Alta",'Mapa final'!$AJ$83="Catastrófico"),CONCATENATE("R2C",'Mapa final'!$R$83),"")</f>
        <v/>
      </c>
      <c r="AM31" s="48" t="str">
        <f>IF(AND('Mapa final'!$AH$85="Alta",'Mapa final'!$AJ$85="Catastrófico"),CONCATENATE("R2C",'Mapa final'!$R$85),"")</f>
        <v/>
      </c>
      <c r="AN31" s="49" t="str">
        <f>IF(AND('Mapa final'!$AH$86="Muy Alta",'Mapa final'!$AJ$86="Catastrófico"),CONCATENATE("R2C",'Mapa final'!$R$86),"")</f>
        <v/>
      </c>
      <c r="AO31" s="68"/>
      <c r="AP31" s="427"/>
      <c r="AQ31" s="428"/>
      <c r="AR31" s="428"/>
      <c r="AS31" s="428"/>
      <c r="AT31" s="428"/>
      <c r="AU31" s="429"/>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x14ac:dyDescent="0.25">
      <c r="B32" s="68"/>
      <c r="C32" s="371"/>
      <c r="D32" s="371"/>
      <c r="E32" s="372"/>
      <c r="F32" s="411" t="s">
        <v>262</v>
      </c>
      <c r="G32" s="412"/>
      <c r="H32" s="412"/>
      <c r="I32" s="412"/>
      <c r="J32" s="413"/>
      <c r="K32" s="50"/>
      <c r="L32" s="51" t="str">
        <f>IF(AND('Mapa final'!$AH$16="Media",'Mapa final'!$AJ$16="Leve"),CONCATENATE("R2C",'Mapa final'!$R$15),"")</f>
        <v/>
      </c>
      <c r="M32" s="51" t="str">
        <f>IF(AND('Mapa final'!$AH$17="Media",'Mapa final'!$AJ$17="Leve"),CONCATENATE("R2C",'Mapa final'!$R$17),"")</f>
        <v/>
      </c>
      <c r="N32" s="51" t="str">
        <f>IF(AND('Mapa final'!$AH$20="Media",'Mapa final'!$AJ$20="Leve"),CONCATENATE("R2C",'Mapa final'!$R$20),"")</f>
        <v/>
      </c>
      <c r="O32" s="51" t="str">
        <f>IF(AND('Mapa final'!$AH$21="Media",'Mapa final'!$AJ$21="Leve"),CONCATENATE("R2C",'Mapa final'!$R$21),"")</f>
        <v/>
      </c>
      <c r="P32" s="52" t="str">
        <f>IF(AND('Mapa final'!$AH$23="Media",'Mapa final'!$AJ$23="Leve"),CONCATENATE("R2C",'Mapa final'!$R$23),"")</f>
        <v/>
      </c>
      <c r="Q32" s="50"/>
      <c r="R32" s="51" t="str">
        <f>IF(AND('Mapa final'!$AH$16="Media",'Mapa final'!$AJ$16="Menore"),CONCATENATE("R2C",'Mapa final'!$R$15),"")</f>
        <v/>
      </c>
      <c r="S32" s="51" t="str">
        <f>IF(AND('Mapa final'!$AH$17="Media",'Mapa final'!$AJ$17="Menor"),CONCATENATE("R2C",'Mapa final'!$R$17),"")</f>
        <v/>
      </c>
      <c r="T32" s="51" t="str">
        <f>IF(AND('Mapa final'!$AH$20="Media",'Mapa final'!$AJ$20="Menor"),CONCATENATE("R2C",'Mapa final'!$R$20),"")</f>
        <v/>
      </c>
      <c r="U32" s="51" t="str">
        <f>IF(AND('Mapa final'!$AH$21="Media",'Mapa final'!$AJ$21="Menor"),CONCATENATE("R2C",'Mapa final'!$R$21),"")</f>
        <v/>
      </c>
      <c r="V32" s="52" t="str">
        <f>IF(AND('Mapa final'!$AH$23="Media",'Mapa final'!$AJ$23="Menor"),CONCATENATE("R2C",'Mapa final'!$R$23),"")</f>
        <v/>
      </c>
      <c r="W32" s="50"/>
      <c r="X32" s="51" t="str">
        <f>IF(AND('Mapa final'!$AH$16="Media",'Mapa final'!$AJ$16="Moderado"),CONCATENATE("R2C",'Mapa final'!$R$15),"")</f>
        <v xml:space="preserve">R2C     Entre 50 y 100 SMLMV </v>
      </c>
      <c r="Y32" s="51"/>
      <c r="Z32" s="51" t="str">
        <f>IF(AND('Mapa final'!$AH$20="Media",'Mapa final'!$AJ$20="Moderado"),CONCATENATE("R2C",'Mapa final'!$R$20),"")</f>
        <v/>
      </c>
      <c r="AA32" s="51" t="str">
        <f>IF(AND('Mapa final'!$AH$21="Media",'Mapa final'!$AJ$21="Moderado"),CONCATENATE("R2C",'Mapa final'!$R$21),"")</f>
        <v/>
      </c>
      <c r="AB32" s="52" t="str">
        <f>IF(AND('Mapa final'!$AH$23="Media",'Mapa final'!$AJ$23="Moderado"),CONCATENATE("R2C",'Mapa final'!$R$23),"")</f>
        <v/>
      </c>
      <c r="AC32" s="32"/>
      <c r="AD32" s="33" t="str">
        <f>IF(AND('Mapa final'!$AH$16="Media",'Mapa final'!$AJ$16="Mayor"),CONCATENATE("R2C",'Mapa final'!$R$15),"")</f>
        <v/>
      </c>
      <c r="AE32" s="33" t="str">
        <f>IF(AND('Mapa final'!$AH$17="Media",'Mapa final'!$AJ$17="Mayor"),CONCATENATE("R2C",'Mapa final'!$R$17),"")</f>
        <v/>
      </c>
      <c r="AF32" s="33" t="str">
        <f>IF(AND('Mapa final'!$AH$20="Media",'Mapa final'!$AJ$20="Mayor"),CONCATENATE("R2C",'Mapa final'!$R$20),"")</f>
        <v/>
      </c>
      <c r="AG32" s="33" t="str">
        <f>IF(AND('Mapa final'!$AH$21="Media",'Mapa final'!$AJ$21="Mayor"),CONCATENATE("R2C",'Mapa final'!$R$21),"")</f>
        <v/>
      </c>
      <c r="AH32" s="34" t="str">
        <f>IF(AND('Mapa final'!$AH$23="Media",'Mapa final'!$AJ$23="Mayor"),CONCATENATE("R2C",'Mapa final'!$R$23),"")</f>
        <v/>
      </c>
      <c r="AI32" s="35"/>
      <c r="AJ32" s="36" t="str">
        <f>IF(AND('Mapa final'!$AH$16="Media",'Mapa final'!$AJ$16="Catastrófico"),CONCATENATE("R2C",'Mapa final'!$R$15),"")</f>
        <v/>
      </c>
      <c r="AK32" s="36" t="str">
        <f>IF(AND('Mapa final'!$AH$17="Media",'Mapa final'!$AJ$17="Catastrófico"),CONCATENATE("R2C",'Mapa final'!$R$17),"")</f>
        <v/>
      </c>
      <c r="AL32" s="36" t="str">
        <f>IF(AND('Mapa final'!$AH$20="Media",'Mapa final'!$AJ$20="Catastrófico"),CONCATENATE("R2C",'Mapa final'!$R$20),"")</f>
        <v/>
      </c>
      <c r="AM32" s="36" t="str">
        <f>IF(AND('Mapa final'!$AH$21="Media",'Mapa final'!$AJ$21="Catastrófico"),CONCATENATE("R2C",'Mapa final'!$R$21),"")</f>
        <v/>
      </c>
      <c r="AN32" s="37" t="str">
        <f>IF(AND('Mapa final'!$AH$23="Media",'Mapa final'!$AJ$23="Catastrófico"),CONCATENATE("R2C",'Mapa final'!$R$23),"")</f>
        <v/>
      </c>
      <c r="AO32" s="68"/>
      <c r="AP32" s="452" t="s">
        <v>126</v>
      </c>
      <c r="AQ32" s="453"/>
      <c r="AR32" s="453"/>
      <c r="AS32" s="453"/>
      <c r="AT32" s="453"/>
      <c r="AU32" s="454"/>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x14ac:dyDescent="0.25">
      <c r="B33" s="68"/>
      <c r="C33" s="371"/>
      <c r="D33" s="371"/>
      <c r="E33" s="372"/>
      <c r="F33" s="430"/>
      <c r="G33" s="415"/>
      <c r="H33" s="415"/>
      <c r="I33" s="415"/>
      <c r="J33" s="416"/>
      <c r="K33" s="53" t="str">
        <f>IF(AND('Mapa final'!$AH$24="Media",'Mapa final'!$AJ$24="Leve"),CONCATENATE("R2C",'Mapa final'!$R$24),"")</f>
        <v/>
      </c>
      <c r="L33" s="54" t="e">
        <f>IF(AND('Mapa final'!#REF!="Media",'Mapa final'!#REF!="Leve"),CONCATENATE("R2C",'Mapa final'!#REF!),"")</f>
        <v>#REF!</v>
      </c>
      <c r="M33" s="54" t="str">
        <f>IF(AND('Mapa final'!$AH$34="Media",'Mapa final'!$AJ$34="Leve"),CONCATENATE("R2C",'Mapa final'!$R$34),"")</f>
        <v/>
      </c>
      <c r="N33" s="54" t="str">
        <f>IF(AND('Mapa final'!$AH$35="Media",'Mapa final'!$AJ$35="Leve"),CONCATENATE("R2C",'Mapa final'!$R$35),"")</f>
        <v/>
      </c>
      <c r="O33" s="54" t="str">
        <f>IF(AND('Mapa final'!$AH$36="Media",'Mapa final'!$AJ$36="Leve"),CONCATENATE("R2C",'Mapa final'!$R$36),"")</f>
        <v/>
      </c>
      <c r="P33" s="55" t="str">
        <f>IF(AND('Mapa final'!$AH$37="Media",'Mapa final'!$AJ$37="Leve"),CONCATENATE("R2C",'Mapa final'!$R$37),"")</f>
        <v/>
      </c>
      <c r="Q33" s="53" t="str">
        <f>IF(AND('Mapa final'!$AH$24="Media",'Mapa final'!$AJ$24="Menor"),CONCATENATE("R2C",'Mapa final'!$R$24),"")</f>
        <v/>
      </c>
      <c r="R33" s="54" t="e">
        <f>IF(AND('Mapa final'!#REF!="Media",'Mapa final'!#REF!="Menor"),CONCATENATE("R2C",'Mapa final'!#REF!),"")</f>
        <v>#REF!</v>
      </c>
      <c r="S33" s="54" t="str">
        <f>IF(AND('Mapa final'!$AH$34="Media",'Mapa final'!$AJ$34="Menor"),CONCATENATE("R2C",'Mapa final'!$R$34),"")</f>
        <v/>
      </c>
      <c r="T33" s="54" t="str">
        <f>IF(AND('Mapa final'!$AH$35="Media",'Mapa final'!$AJ$35="Menor"),CONCATENATE("R2C",'Mapa final'!$R$35),"")</f>
        <v/>
      </c>
      <c r="U33" s="54" t="str">
        <f>IF(AND('Mapa final'!$AH$36="Media",'Mapa final'!$AJ$36="Menor"),CONCATENATE("R2C",'Mapa final'!$R$36),"")</f>
        <v/>
      </c>
      <c r="V33" s="55" t="str">
        <f>IF(AND('Mapa final'!$AH$37="Media",'Mapa final'!$AJ$37="Menor"),CONCATENATE("R2C",'Mapa final'!$R$37),"")</f>
        <v/>
      </c>
      <c r="W33" s="53" t="str">
        <f>IF(AND('Mapa final'!$AH$24="Media",'Mapa final'!$AJ$24="Moderado"),CONCATENATE("R2C",'Mapa final'!$R$24),"")</f>
        <v/>
      </c>
      <c r="X33" s="54" t="e">
        <f>IF(AND('Mapa final'!#REF!="Media",'Mapa final'!#REF!="Moderado"),CONCATENATE("R2C",'Mapa final'!#REF!),"")</f>
        <v>#REF!</v>
      </c>
      <c r="Y33" s="54" t="str">
        <f>IF(AND('Mapa final'!$AH$34="Media",'Mapa final'!$AJ$34="Moderado"),CONCATENATE("R2C",'Mapa final'!$R$34),"")</f>
        <v/>
      </c>
      <c r="Z33" s="54" t="str">
        <f>IF(AND('Mapa final'!$AH$35="Media",'Mapa final'!$AJ$35="Moderado"),CONCATENATE("R2C",'Mapa final'!$R$35),"")</f>
        <v/>
      </c>
      <c r="AA33" s="54" t="str">
        <f>IF(AND('Mapa final'!$AH$36="Media",'Mapa final'!$AJ$36="Moderado"),CONCATENATE("R2C",'Mapa final'!$R$36),"")</f>
        <v/>
      </c>
      <c r="AB33" s="55" t="str">
        <f>IF(AND('Mapa final'!$AH$37="Media",'Mapa final'!$AJ$37="Moderado"),CONCATENATE("R2C",'Mapa final'!$R$37),"")</f>
        <v/>
      </c>
      <c r="AC33" s="38" t="str">
        <f>IF(AND('Mapa final'!$AH$24="Media",'Mapa final'!$AJ$24="Mayor"),CONCATENATE("R2C",'Mapa final'!$R$24),"")</f>
        <v/>
      </c>
      <c r="AD33" s="39" t="e">
        <f>IF(AND('Mapa final'!#REF!="Muy Alta",'Mapa final'!#REF!="Mayor"),CONCATENATE("R2C",'Mapa final'!#REF!),"")</f>
        <v>#REF!</v>
      </c>
      <c r="AE33" s="39" t="str">
        <f>IF(AND('Mapa final'!$AH$34="Media",'Mapa final'!$AJ$34="Mayor"),CONCATENATE("R2C",'Mapa final'!$R$34),"")</f>
        <v/>
      </c>
      <c r="AF33" s="39" t="str">
        <f>IF(AND('Mapa final'!$AH$35="Media",'Mapa final'!$AJ$35="Mayor"),CONCATENATE("R2C",'Mapa final'!$R$35),"")</f>
        <v/>
      </c>
      <c r="AG33" s="39" t="str">
        <f>IF(AND('Mapa final'!$AH$36="Media",'Mapa final'!$AJ$36="Mayor"),CONCATENATE("R2C",'Mapa final'!$R$36),"")</f>
        <v/>
      </c>
      <c r="AH33" s="40" t="str">
        <f>IF(AND('Mapa final'!$AH$37="Media",'Mapa final'!$AJ$37="Mayor"),CONCATENATE("R2C",'Mapa final'!$R$37),"")</f>
        <v/>
      </c>
      <c r="AI33" s="41" t="str">
        <f>IF(AND('Mapa final'!$AH$24="Media",'Mapa final'!$AJ$24="Catastrófico"),CONCATENATE("R2C",'Mapa final'!$R$24),"")</f>
        <v/>
      </c>
      <c r="AJ33" s="42" t="e">
        <f>IF(AND('Mapa final'!#REF!="Media",'Mapa final'!#REF!="Catastrófico"),CONCATENATE("R2C",'Mapa final'!#REF!),"")</f>
        <v>#REF!</v>
      </c>
      <c r="AK33" s="42" t="str">
        <f>IF(AND('Mapa final'!$AH$34="Media",'Mapa final'!$AJ$34="Catastrófico"),CONCATENATE("R2C",'Mapa final'!$R$34),"")</f>
        <v/>
      </c>
      <c r="AL33" s="42" t="str">
        <f>IF(AND('Mapa final'!$AH$35="Media",'Mapa final'!$AJ$35="Catastrófico"),CONCATENATE("R2C",'Mapa final'!$R$35),"")</f>
        <v/>
      </c>
      <c r="AM33" s="42" t="str">
        <f>IF(AND('Mapa final'!$AH$36="Media",'Mapa final'!$AJ$36="Catastrófico"),CONCATENATE("R2C",'Mapa final'!$R$36),"")</f>
        <v/>
      </c>
      <c r="AN33" s="43" t="str">
        <f>IF(AND('Mapa final'!$AH$37="Media",'Mapa final'!$AJ$37="Catastrófico"),CONCATENATE("R2C",'Mapa final'!$R$37),"")</f>
        <v/>
      </c>
      <c r="AO33" s="68"/>
      <c r="AP33" s="455"/>
      <c r="AQ33" s="456"/>
      <c r="AR33" s="456"/>
      <c r="AS33" s="456"/>
      <c r="AT33" s="456"/>
      <c r="AU33" s="457"/>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x14ac:dyDescent="0.25">
      <c r="B34" s="68"/>
      <c r="C34" s="371"/>
      <c r="D34" s="371"/>
      <c r="E34" s="372"/>
      <c r="F34" s="414"/>
      <c r="G34" s="415"/>
      <c r="H34" s="415"/>
      <c r="I34" s="415"/>
      <c r="J34" s="416"/>
      <c r="K34" s="53" t="str">
        <f>IF(AND('Mapa final'!$AH$38="Media",'Mapa final'!$AJ$38="Leve"),CONCATENATE("R2C",'Mapa final'!$R$38),"")</f>
        <v/>
      </c>
      <c r="L34" s="54" t="str">
        <f>IF(AND('Mapa final'!$AH$39="Media",'Mapa final'!$AJ$39="Leve"),CONCATENATE("R2C",'Mapa final'!$R$39),"")</f>
        <v/>
      </c>
      <c r="M34" s="54" t="str">
        <f>IF(AND('Mapa final'!$AH$40="Media",'Mapa final'!$AJ$40="Leve"),CONCATENATE("R2C",'Mapa final'!$R$40),"")</f>
        <v/>
      </c>
      <c r="N34" s="54" t="str">
        <f>IF(AND('Mapa final'!$AH$41="Media",'Mapa final'!$AJ$41="Leve"),CONCATENATE("R2C",'Mapa final'!$R$41),"")</f>
        <v/>
      </c>
      <c r="O34" s="54" t="str">
        <f>IF(AND('Mapa final'!$AH$42="Media",'Mapa final'!$AJ$42="Leve"),CONCATENATE("R2C",'Mapa final'!$R$42),"")</f>
        <v/>
      </c>
      <c r="P34" s="55" t="str">
        <f>IF(AND('Mapa final'!$AH$43="Media",'Mapa final'!$AJ$43="Leve"),CONCATENATE("R2C",'Mapa final'!$R$43),"")</f>
        <v/>
      </c>
      <c r="Q34" s="53" t="str">
        <f>IF(AND('Mapa final'!$AH$38="Media",'Mapa final'!$AJ$38="Menor"),CONCATENATE("R2C",'Mapa final'!$R$38),"")</f>
        <v/>
      </c>
      <c r="R34" s="54" t="str">
        <f>IF(AND('Mapa final'!$AH$39="Media",'Mapa final'!$AJ$39="Menor"),CONCATENATE("R2C",'Mapa final'!$R$39),"")</f>
        <v/>
      </c>
      <c r="S34" s="54" t="str">
        <f>IF(AND('Mapa final'!$AH$40="Media",'Mapa final'!$AJ$40="Menor"),CONCATENATE("R2C",'Mapa final'!$R$40),"")</f>
        <v/>
      </c>
      <c r="T34" s="54" t="str">
        <f>IF(AND('Mapa final'!$AH$41="Media",'Mapa final'!$AJ$41="Menor"),CONCATENATE("R2C",'Mapa final'!$R$41),"")</f>
        <v/>
      </c>
      <c r="U34" s="54" t="str">
        <f>IF(AND('Mapa final'!$AH$42="Media",'Mapa final'!$AJ$42="Menor"),CONCATENATE("R2C",'Mapa final'!$R$42),"")</f>
        <v/>
      </c>
      <c r="V34" s="55" t="str">
        <f>IF(AND('Mapa final'!$AH$43="Media",'Mapa final'!$AJ$43="Menor"),CONCATENATE("R2C",'Mapa final'!$R$43),"")</f>
        <v/>
      </c>
      <c r="W34" s="53" t="str">
        <f>IF(AND('Mapa final'!$AH$38="Media",'Mapa final'!$AJ$38="Moderado"),CONCATENATE("R2C",'Mapa final'!$R$38),"")</f>
        <v/>
      </c>
      <c r="X34" s="54" t="str">
        <f>IF(AND('Mapa final'!$AH$39="Media",'Mapa final'!$AJ$39="Moderado"),CONCATENATE("R2C",'Mapa final'!$R$39),"")</f>
        <v/>
      </c>
      <c r="Y34" s="54" t="str">
        <f>IF(AND('Mapa final'!$AH$40="Media",'Mapa final'!$AJ$40="Moderado"),CONCATENATE("R2C",'Mapa final'!$R$40),"")</f>
        <v/>
      </c>
      <c r="Z34" s="54" t="str">
        <f>IF(AND('Mapa final'!$AH$41="Media",'Mapa final'!$AJ$41="Moderado"),CONCATENATE("R2C",'Mapa final'!$R$41),"")</f>
        <v/>
      </c>
      <c r="AA34" s="54" t="str">
        <f>IF(AND('Mapa final'!$AH$42="Media",'Mapa final'!$AJ$42="Moderado"),CONCATENATE("R2C",'Mapa final'!$R$42),"")</f>
        <v/>
      </c>
      <c r="AB34" s="55" t="str">
        <f>IF(AND('Mapa final'!$AH$43="Media",'Mapa final'!$AJ$43="Moderado"),CONCATENATE("R2C",'Mapa final'!$R$43),"")</f>
        <v/>
      </c>
      <c r="AC34" s="38" t="str">
        <f>IF(AND('Mapa final'!$AH$38="Media",'Mapa final'!$AJ$38="Mayor"),CONCATENATE("R2C",'Mapa final'!$R$38),"")</f>
        <v/>
      </c>
      <c r="AD34" s="39" t="str">
        <f>IF(AND('Mapa final'!$AH$39="Media",'Mapa final'!$AJ$39="Mayor"),CONCATENATE("R2C",'Mapa final'!$R$39),"")</f>
        <v/>
      </c>
      <c r="AE34" s="39" t="str">
        <f>IF(AND('Mapa final'!$AH$40="Media",'Mapa final'!$AJ$40="Mayor"),CONCATENATE("R2C",'Mapa final'!$R$40),"")</f>
        <v/>
      </c>
      <c r="AF34" s="39" t="str">
        <f>IF(AND('Mapa final'!$AH$41="Media",'Mapa final'!$AJ$41="Mayor"),CONCATENATE("R2C",'Mapa final'!$R$41),"")</f>
        <v/>
      </c>
      <c r="AG34" s="39" t="str">
        <f>IF(AND('Mapa final'!$AH$42="Media",'Mapa final'!$AJ$42="Mayor"),CONCATENATE("R2C",'Mapa final'!$R$42),"")</f>
        <v/>
      </c>
      <c r="AH34" s="40" t="str">
        <f>IF(AND('Mapa final'!$AH$43="Media",'Mapa final'!$AJ$43="Mayor"),CONCATENATE("R2C",'Mapa final'!$R$43),"")</f>
        <v/>
      </c>
      <c r="AI34" s="41" t="str">
        <f>IF(AND('Mapa final'!$AH$38="Media",'Mapa final'!$AJ$38="Catastrófico"),CONCATENATE("R2C",'Mapa final'!$R$38),"")</f>
        <v/>
      </c>
      <c r="AJ34" s="42" t="str">
        <f>IF(AND('Mapa final'!$AH$39="Media",'Mapa final'!$AJ$39="Catastrófico"),CONCATENATE("R2C",'Mapa final'!$R$39),"")</f>
        <v/>
      </c>
      <c r="AK34" s="42" t="str">
        <f>IF(AND('Mapa final'!$AH$40="Media",'Mapa final'!$AJ$40="Catastrófico"),CONCATENATE("R2C",'Mapa final'!$R$40),"")</f>
        <v/>
      </c>
      <c r="AL34" s="42" t="str">
        <f>IF(AND('Mapa final'!$AH$41="Media",'Mapa final'!$AJ$41="Catastrófico"),CONCATENATE("R2C",'Mapa final'!$R$41),"")</f>
        <v/>
      </c>
      <c r="AM34" s="42" t="str">
        <f>IF(AND('Mapa final'!$AH$42="Media",'Mapa final'!$AJ$42="Catastrófico"),CONCATENATE("R2C",'Mapa final'!$R$42),"")</f>
        <v/>
      </c>
      <c r="AN34" s="43" t="str">
        <f>IF(AND('Mapa final'!$AH$43="Media",'Mapa final'!$AJ$43="Catastrófico"),CONCATENATE("R2C",'Mapa final'!$R$43),"")</f>
        <v/>
      </c>
      <c r="AO34" s="68"/>
      <c r="AP34" s="455"/>
      <c r="AQ34" s="456"/>
      <c r="AR34" s="456"/>
      <c r="AS34" s="456"/>
      <c r="AT34" s="456"/>
      <c r="AU34" s="457"/>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x14ac:dyDescent="0.25">
      <c r="B35" s="68"/>
      <c r="C35" s="371"/>
      <c r="D35" s="371"/>
      <c r="E35" s="372"/>
      <c r="F35" s="414"/>
      <c r="G35" s="415"/>
      <c r="H35" s="415"/>
      <c r="I35" s="415"/>
      <c r="J35" s="416"/>
      <c r="K35" s="53" t="str">
        <f>IF(AND('Mapa final'!$AH$44="Media",'Mapa final'!$AJ$44="Leve"),CONCATENATE("R2C",'Mapa final'!$R$44),"")</f>
        <v/>
      </c>
      <c r="L35" s="54" t="str">
        <f>IF(AND('Mapa final'!$AH$45="Media",'Mapa final'!$AJ$45="Leve"),CONCATENATE("R2C",'Mapa final'!$R$45),"")</f>
        <v/>
      </c>
      <c r="M35" s="54" t="str">
        <f>IF(AND('Mapa final'!$AH$46="Media",'Mapa final'!$AJ$46="Leve"),CONCATENATE("R2C",'Mapa final'!$R$46),"")</f>
        <v/>
      </c>
      <c r="N35" s="54" t="str">
        <f>IF(AND('Mapa final'!$AH$47="Media",'Mapa final'!$AJ$47="Leve"),CONCATENATE("R2C",'Mapa final'!$R$47),"")</f>
        <v/>
      </c>
      <c r="O35" s="54" t="str">
        <f>IF(AND('Mapa final'!$AH$48="Media",'Mapa final'!$AJ$48="Leve"),CONCATENATE("R2C",'Mapa final'!$R$48),"")</f>
        <v/>
      </c>
      <c r="P35" s="55" t="str">
        <f>IF(AND('Mapa final'!$AH$49="Media",'Mapa final'!$AJ$49="Leve"),CONCATENATE("R2C",'Mapa final'!$R$49),"")</f>
        <v/>
      </c>
      <c r="Q35" s="53" t="str">
        <f>IF(AND('Mapa final'!$AH$44="Media",'Mapa final'!$AJ$44="Menor"),CONCATENATE("R2C",'Mapa final'!$R$44),"")</f>
        <v/>
      </c>
      <c r="R35" s="54" t="str">
        <f>IF(AND('Mapa final'!$AH$45="Media",'Mapa final'!$AJ$45="Menor"),CONCATENATE("R2C",'Mapa final'!$R$45),"")</f>
        <v/>
      </c>
      <c r="S35" s="54" t="str">
        <f>IF(AND('Mapa final'!$AH$46="Media",'Mapa final'!$AJ$46="Menor"),CONCATENATE("R2C",'Mapa final'!$R$46),"")</f>
        <v/>
      </c>
      <c r="T35" s="54" t="str">
        <f>IF(AND('Mapa final'!$AH$47="Media",'Mapa final'!$AJ$47="Menor"),CONCATENATE("R2C",'Mapa final'!$R$47),"")</f>
        <v/>
      </c>
      <c r="U35" s="54" t="str">
        <f>IF(AND('Mapa final'!$AH$48="Media",'Mapa final'!$AJ$48="LMenor"),CONCATENATE("R2C",'Mapa final'!$R$48),"")</f>
        <v/>
      </c>
      <c r="V35" s="55" t="str">
        <f>IF(AND('Mapa final'!$AH$49="Media",'Mapa final'!$AJ$49="Menor"),CONCATENATE("R2C",'Mapa final'!$R$49),"")</f>
        <v/>
      </c>
      <c r="W35" s="53" t="str">
        <f>IF(AND('Mapa final'!$AH$44="Media",'Mapa final'!$AJ$44="Moderado"),CONCATENATE("R2C",'Mapa final'!$R$44),"")</f>
        <v/>
      </c>
      <c r="X35" s="54" t="str">
        <f>IF(AND('Mapa final'!$AH$45="Media",'Mapa final'!$AJ$45="Moderado"),CONCATENATE("R2C",'Mapa final'!$R$45),"")</f>
        <v/>
      </c>
      <c r="Y35" s="54" t="str">
        <f>IF(AND('Mapa final'!$AH$46="Media",'Mapa final'!$AJ$46="Moderado"),CONCATENATE("R2C",'Mapa final'!$R$46),"")</f>
        <v/>
      </c>
      <c r="Z35" s="54" t="str">
        <f>IF(AND('Mapa final'!$AH$47="Media",'Mapa final'!$AJ$47="Moderado"),CONCATENATE("R2C",'Mapa final'!$R$47),"")</f>
        <v/>
      </c>
      <c r="AA35" s="54" t="str">
        <f>IF(AND('Mapa final'!$AH$48="Media",'Mapa final'!$AJ$48="Moderado"),CONCATENATE("R2C",'Mapa final'!$R$48),"")</f>
        <v/>
      </c>
      <c r="AB35" s="55" t="str">
        <f>IF(AND('Mapa final'!$AH$49="Media",'Mapa final'!$AJ$49="Moderado"),CONCATENATE("R2C",'Mapa final'!$R$49),"")</f>
        <v/>
      </c>
      <c r="AC35" s="38" t="str">
        <f>IF(AND('Mapa final'!$AH$44="Media",'Mapa final'!$AJ$44="Mayor"),CONCATENATE("R2C",'Mapa final'!$R$44),"")</f>
        <v/>
      </c>
      <c r="AD35" s="39" t="str">
        <f>IF(AND('Mapa final'!$AH$45="Media",'Mapa final'!$AJ$45="Mayor"),CONCATENATE("R2C",'Mapa final'!$R$45),"")</f>
        <v/>
      </c>
      <c r="AE35" s="39" t="str">
        <f>IF(AND('Mapa final'!$AH$46="Media",'Mapa final'!$AJ$46="Mayor"),CONCATENATE("R2C",'Mapa final'!$R$46),"")</f>
        <v/>
      </c>
      <c r="AF35" s="39" t="str">
        <f>IF(AND('Mapa final'!$AH$47="Media",'Mapa final'!$AJ$47="Mayor"),CONCATENATE("R2C",'Mapa final'!$R$47),"")</f>
        <v/>
      </c>
      <c r="AG35" s="39" t="str">
        <f>IF(AND('Mapa final'!$AH$48="Media",'Mapa final'!$AJ$48="Mayor"),CONCATENATE("R2C",'Mapa final'!$R$48),"")</f>
        <v/>
      </c>
      <c r="AH35" s="40" t="str">
        <f>IF(AND('Mapa final'!$AH$49="Media",'Mapa final'!$AJ$49="Mayor"),CONCATENATE("R2C",'Mapa final'!$R$49),"")</f>
        <v/>
      </c>
      <c r="AI35" s="41" t="str">
        <f>IF(AND('Mapa final'!$AH$44="Media",'Mapa final'!$AJ$44="Catastrófico"),CONCATENATE("R2C",'Mapa final'!$R$44),"")</f>
        <v/>
      </c>
      <c r="AJ35" s="42" t="str">
        <f>IF(AND('Mapa final'!$AH$45="Media",'Mapa final'!$AJ$45="Catastrófico"),CONCATENATE("R2C",'Mapa final'!$R$45),"")</f>
        <v/>
      </c>
      <c r="AK35" s="42" t="str">
        <f>IF(AND('Mapa final'!$AH$46="Media",'Mapa final'!$AJ$46="Catastrófico"),CONCATENATE("R2C",'Mapa final'!$R$46),"")</f>
        <v/>
      </c>
      <c r="AL35" s="42" t="str">
        <f>IF(AND('Mapa final'!$AH$47="Media",'Mapa final'!$AJ$47="Catastrófico"),CONCATENATE("R2C",'Mapa final'!$R$47),"")</f>
        <v/>
      </c>
      <c r="AM35" s="42" t="str">
        <f>IF(AND('Mapa final'!$AH$48="Media",'Mapa final'!$AJ$48="LCatastrófico"),CONCATENATE("R2C",'Mapa final'!$R$48),"")</f>
        <v/>
      </c>
      <c r="AN35" s="43" t="str">
        <f>IF(AND('Mapa final'!$AH$49="Media",'Mapa final'!$AJ$49="Catastrófico"),CONCATENATE("R2C",'Mapa final'!$R$49),"")</f>
        <v/>
      </c>
      <c r="AO35" s="68"/>
      <c r="AP35" s="455"/>
      <c r="AQ35" s="456"/>
      <c r="AR35" s="456"/>
      <c r="AS35" s="456"/>
      <c r="AT35" s="456"/>
      <c r="AU35" s="457"/>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x14ac:dyDescent="0.25">
      <c r="B36" s="68"/>
      <c r="C36" s="371"/>
      <c r="D36" s="371"/>
      <c r="E36" s="372"/>
      <c r="F36" s="414"/>
      <c r="G36" s="415"/>
      <c r="H36" s="415"/>
      <c r="I36" s="415"/>
      <c r="J36" s="416"/>
      <c r="K36" s="53" t="str">
        <f>IF(AND('Mapa final'!$AH$50="Media",'Mapa final'!$AJ$50="Leve"),CONCATENATE("R2C",'Mapa final'!$R$50),"")</f>
        <v/>
      </c>
      <c r="L36" s="54" t="str">
        <f>IF(AND('Mapa final'!$AH$51="Media",'Mapa final'!$AJ$51="Leve"),CONCATENATE("R2C",'Mapa final'!$R$51),"")</f>
        <v/>
      </c>
      <c r="M36" s="54" t="str">
        <f>IF(AND('Mapa final'!$AH$52="Media",'Mapa final'!$AJ$52="Leve"),CONCATENATE("R2C",'Mapa final'!$R$52),"")</f>
        <v/>
      </c>
      <c r="N36" s="54" t="str">
        <f>IF(AND('Mapa final'!$AH$53="Media",'Mapa final'!$AJ$53="Leve"),CONCATENATE("R2C",'Mapa final'!$R$53),"")</f>
        <v/>
      </c>
      <c r="O36" s="54" t="str">
        <f>IF(AND('Mapa final'!$AH$54="Media",'Mapa final'!$AJ$54="Leve"),CONCATENATE("R2C",'Mapa final'!$R$54),"")</f>
        <v/>
      </c>
      <c r="P36" s="55" t="str">
        <f>IF(AND('Mapa final'!$AH$55="Media",'Mapa final'!$AJ$55="Leve"),CONCATENATE("R2C",'Mapa final'!$R$55),"")</f>
        <v/>
      </c>
      <c r="Q36" s="53" t="str">
        <f>IF(AND('Mapa final'!$AH$50="Media",'Mapa final'!$AJ$50="Menor"),CONCATENATE("R2C",'Mapa final'!$R$50),"")</f>
        <v/>
      </c>
      <c r="R36" s="54" t="str">
        <f>IF(AND('Mapa final'!$AH$51="Media",'Mapa final'!$AJ$51="Menor"),CONCATENATE("R2C",'Mapa final'!$R$51),"")</f>
        <v/>
      </c>
      <c r="S36" s="54" t="str">
        <f>IF(AND('Mapa final'!$AH$52="Media",'Mapa final'!$AJ$52="Menor"),CONCATENATE("R2C",'Mapa final'!$R$52),"")</f>
        <v/>
      </c>
      <c r="T36" s="54" t="str">
        <f>IF(AND('Mapa final'!$AH$53="Media",'Mapa final'!$AJ$53="Menor"),CONCATENATE("R2C",'Mapa final'!$R$53),"")</f>
        <v/>
      </c>
      <c r="U36" s="54" t="str">
        <f>IF(AND('Mapa final'!$AH$54="Media",'Mapa final'!$AJ$54="Menor"),CONCATENATE("R2C",'Mapa final'!$R$54),"")</f>
        <v/>
      </c>
      <c r="V36" s="55" t="str">
        <f>IF(AND('Mapa final'!$AH$55="Media",'Mapa final'!$AJ$55="Menor"),CONCATENATE("R2C",'Mapa final'!$R$55),"")</f>
        <v/>
      </c>
      <c r="W36" s="53" t="str">
        <f>IF(AND('Mapa final'!$AH$50="Media",'Mapa final'!$AJ$50="Moderado"),CONCATENATE("R2C",'Mapa final'!$R$50),"")</f>
        <v/>
      </c>
      <c r="X36" s="54" t="str">
        <f>IF(AND('Mapa final'!$AH$51="Media",'Mapa final'!$AJ$51="Moderado"),CONCATENATE("R2C",'Mapa final'!$R$51),"")</f>
        <v/>
      </c>
      <c r="Y36" s="54" t="str">
        <f>IF(AND('Mapa final'!$AH$52="Media",'Mapa final'!$AJ$52="Moderado"),CONCATENATE("R2C",'Mapa final'!$R$52),"")</f>
        <v/>
      </c>
      <c r="Z36" s="54" t="str">
        <f>IF(AND('Mapa final'!$AH$53="Media",'Mapa final'!$AJ$53="Moderado"),CONCATENATE("R2C",'Mapa final'!$R$53),"")</f>
        <v/>
      </c>
      <c r="AA36" s="54" t="str">
        <f>IF(AND('Mapa final'!$AH$54="Media",'Mapa final'!$AJ$54="Moderado"),CONCATENATE("R2C",'Mapa final'!$R$54),"")</f>
        <v/>
      </c>
      <c r="AB36" s="55" t="str">
        <f>IF(AND('Mapa final'!$AH$55="Media",'Mapa final'!$AJ$55="Moderado"),CONCATENATE("R2C",'Mapa final'!$R$55),"")</f>
        <v/>
      </c>
      <c r="AC36" s="38" t="str">
        <f>IF(AND('Mapa final'!$AH$50="Media",'Mapa final'!$AJ$50="Mayor"),CONCATENATE("R2C",'Mapa final'!$R$50),"")</f>
        <v/>
      </c>
      <c r="AD36" s="39" t="str">
        <f>IF(AND('Mapa final'!$AH$51="Media",'Mapa final'!$AJ$51="Mayor"),CONCATENATE("R2C",'Mapa final'!$R$51),"")</f>
        <v/>
      </c>
      <c r="AE36" s="39" t="str">
        <f>IF(AND('Mapa final'!$AH$52="Media",'Mapa final'!$AJ$52="Mayor"),CONCATENATE("R2C",'Mapa final'!$R$52),"")</f>
        <v/>
      </c>
      <c r="AF36" s="39" t="str">
        <f>IF(AND('Mapa final'!$AH$53="Media",'Mapa final'!$AJ$53="Mayor"),CONCATENATE("R2C",'Mapa final'!$R$53),"")</f>
        <v/>
      </c>
      <c r="AG36" s="39" t="str">
        <f>IF(AND('Mapa final'!$AH$54="Media",'Mapa final'!$AJ$54="Mayor"),CONCATENATE("R2C",'Mapa final'!$R$54),"")</f>
        <v/>
      </c>
      <c r="AH36" s="40" t="str">
        <f>IF(AND('Mapa final'!$AH$55="Media",'Mapa final'!$AJ$55="Mayor"),CONCATENATE("R2C",'Mapa final'!$R$55),"")</f>
        <v/>
      </c>
      <c r="AI36" s="41" t="str">
        <f>IF(AND('Mapa final'!$AH$50="Media",'Mapa final'!$AJ$50="Catastrófico"),CONCATENATE("R2C",'Mapa final'!$R$50),"")</f>
        <v/>
      </c>
      <c r="AJ36" s="42" t="str">
        <f>IF(AND('Mapa final'!$AH$51="Media",'Mapa final'!$AJ$51="Catastrófico"),CONCATENATE("R2C",'Mapa final'!$R$51),"")</f>
        <v/>
      </c>
      <c r="AK36" s="42" t="str">
        <f>IF(AND('Mapa final'!$AH$52="Media",'Mapa final'!$AJ$52="Catastrófico"),CONCATENATE("R2C",'Mapa final'!$R$52),"")</f>
        <v/>
      </c>
      <c r="AL36" s="42" t="str">
        <f>IF(AND('Mapa final'!$AH$53="Media",'Mapa final'!$AJ$53="Catastrófico"),CONCATENATE("R2C",'Mapa final'!$R$53),"")</f>
        <v/>
      </c>
      <c r="AM36" s="42" t="str">
        <f>IF(AND('Mapa final'!$AH$54="Media",'Mapa final'!$AJ$54="Catastrófico"),CONCATENATE("R2C",'Mapa final'!$R$54),"")</f>
        <v/>
      </c>
      <c r="AN36" s="43" t="str">
        <f>IF(AND('Mapa final'!$AH$55="Media",'Mapa final'!$AJ$55="Catastrófico"),CONCATENATE("R2C",'Mapa final'!$R$55),"")</f>
        <v/>
      </c>
      <c r="AO36" s="68"/>
      <c r="AP36" s="455"/>
      <c r="AQ36" s="456"/>
      <c r="AR36" s="456"/>
      <c r="AS36" s="456"/>
      <c r="AT36" s="456"/>
      <c r="AU36" s="457"/>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x14ac:dyDescent="0.25">
      <c r="B37" s="68"/>
      <c r="C37" s="371"/>
      <c r="D37" s="371"/>
      <c r="E37" s="372"/>
      <c r="F37" s="414"/>
      <c r="G37" s="415"/>
      <c r="H37" s="415"/>
      <c r="I37" s="415"/>
      <c r="J37" s="416"/>
      <c r="K37" s="53" t="str">
        <f>IF(AND('Mapa final'!$AH$56="Media",'Mapa final'!$AJ$56="Leve"),CONCATENATE("R2C",'Mapa final'!$R$56),"")</f>
        <v/>
      </c>
      <c r="L37" s="54" t="str">
        <f>IF(AND('Mapa final'!$AH$57="Media",'Mapa final'!$AJ$57="Leve"),CONCATENATE("R2C",'Mapa final'!$R$57),"")</f>
        <v/>
      </c>
      <c r="M37" s="54" t="str">
        <f>IF(AND('Mapa final'!$AH$58="Media",'Mapa final'!$AJ$58="Leve"),CONCATENATE("R2C",'Mapa final'!$R$58),"")</f>
        <v/>
      </c>
      <c r="N37" s="54" t="str">
        <f>IF(AND('Mapa final'!$AH$59="Media",'Mapa final'!$AJ$59="Leve"),CONCATENATE("R2C",'Mapa final'!$R$59),"")</f>
        <v/>
      </c>
      <c r="O37" s="54" t="str">
        <f>IF(AND('Mapa final'!$AH$60="Media",'Mapa final'!$AJ$60="Leve"),CONCATENATE("R2C",'Mapa final'!$R$60),"")</f>
        <v/>
      </c>
      <c r="P37" s="55" t="str">
        <f>IF(AND('Mapa final'!$AH$71="Media",'Mapa final'!$AJ$61="Leve"),CONCATENATE("R2C",'Mapa final'!$R$61),"")</f>
        <v/>
      </c>
      <c r="Q37" s="53" t="str">
        <f>IF(AND('Mapa final'!$AH$56="Media",'Mapa final'!$AJ$56="Menor"),CONCATENATE("R2C",'Mapa final'!$R$56),"")</f>
        <v/>
      </c>
      <c r="R37" s="54" t="str">
        <f>IF(AND('Mapa final'!$AH$57="Media",'Mapa final'!$AJ$57="Menor"),CONCATENATE("R2C",'Mapa final'!$R$57),"")</f>
        <v/>
      </c>
      <c r="S37" s="54" t="str">
        <f>IF(AND('Mapa final'!$AH$58="Media",'Mapa final'!$AJ$58="Menor"),CONCATENATE("R2C",'Mapa final'!$R$58),"")</f>
        <v/>
      </c>
      <c r="T37" s="54" t="str">
        <f>IF(AND('Mapa final'!$AH$59="Media",'Mapa final'!$AJ$59="Menor"),CONCATENATE("R2C",'Mapa final'!$R$59),"")</f>
        <v/>
      </c>
      <c r="U37" s="54" t="str">
        <f>IF(AND('Mapa final'!$AH$60="Media",'Mapa final'!$AJ$60="Menor"),CONCATENATE("R2C",'Mapa final'!$R$60),"")</f>
        <v/>
      </c>
      <c r="V37" s="55" t="str">
        <f>IF(AND('Mapa final'!$AH$71="Media",'Mapa final'!$AJ$61="Menor"),CONCATENATE("R2C",'Mapa final'!$R$61),"")</f>
        <v/>
      </c>
      <c r="W37" s="53" t="str">
        <f>IF(AND('Mapa final'!$AH$56="Media",'Mapa final'!$AJ$56="Moderado"),CONCATENATE("R2C",'Mapa final'!$R$56),"")</f>
        <v/>
      </c>
      <c r="X37" s="54" t="str">
        <f>IF(AND('Mapa final'!$AH$57="Media",'Mapa final'!$AJ$57="Moderado"),CONCATENATE("R2C",'Mapa final'!$R$57),"")</f>
        <v/>
      </c>
      <c r="Y37" s="54" t="str">
        <f>IF(AND('Mapa final'!$AH$58="Media",'Mapa final'!$AJ$58="Moderado"),CONCATENATE("R2C",'Mapa final'!$R$58),"")</f>
        <v/>
      </c>
      <c r="Z37" s="54" t="str">
        <f>IF(AND('Mapa final'!$AH$59="Media",'Mapa final'!$AJ$59="Moderado"),CONCATENATE("R2C",'Mapa final'!$R$59),"")</f>
        <v/>
      </c>
      <c r="AA37" s="54" t="str">
        <f>IF(AND('Mapa final'!$AH$60="Media",'Mapa final'!$AJ$60="Moderado"),CONCATENATE("R2C",'Mapa final'!$R$60),"")</f>
        <v/>
      </c>
      <c r="AB37" s="55" t="str">
        <f>IF(AND('Mapa final'!$AH$71="Media",'Mapa final'!$AJ$61="Moderado"),CONCATENATE("R2C",'Mapa final'!$R$61),"")</f>
        <v/>
      </c>
      <c r="AC37" s="38" t="str">
        <f>IF(AND('Mapa final'!$AH$56="Media",'Mapa final'!$AJ$56="Mayor"),CONCATENATE("R2C",'Mapa final'!$R$56),"")</f>
        <v/>
      </c>
      <c r="AD37" s="39" t="str">
        <f>IF(AND('Mapa final'!$AH$57="Media",'Mapa final'!$AJ$57="Mayor"),CONCATENATE("R2C",'Mapa final'!$R$57),"")</f>
        <v/>
      </c>
      <c r="AE37" s="39" t="str">
        <f>IF(AND('Mapa final'!$AH$58="Media",'Mapa final'!$AJ$58="Mayor"),CONCATENATE("R2C",'Mapa final'!$R$58),"")</f>
        <v/>
      </c>
      <c r="AF37" s="39" t="str">
        <f>IF(AND('Mapa final'!$AH$59="Media",'Mapa final'!$AJ$59="Mayor"),CONCATENATE("R2C",'Mapa final'!$R$59),"")</f>
        <v/>
      </c>
      <c r="AG37" s="39" t="str">
        <f>IF(AND('Mapa final'!$AH$60="Media",'Mapa final'!$AJ$60="Mayor"),CONCATENATE("R2C",'Mapa final'!$R$60),"")</f>
        <v/>
      </c>
      <c r="AH37" s="40" t="str">
        <f>IF(AND('Mapa final'!$AH$71="Media",'Mapa final'!$AJ$61="Mayor"),CONCATENATE("R2C",'Mapa final'!$R$61),"")</f>
        <v/>
      </c>
      <c r="AI37" s="41" t="str">
        <f>IF(AND('Mapa final'!$AH$56="Media",'Mapa final'!$AJ$56="Catastrófico"),CONCATENATE("R2C",'Mapa final'!$R$56),"")</f>
        <v/>
      </c>
      <c r="AJ37" s="42" t="str">
        <f>IF(AND('Mapa final'!$AH$57="Media",'Mapa final'!$AJ$57="Catastrófico"),CONCATENATE("R2C",'Mapa final'!$R$57),"")</f>
        <v/>
      </c>
      <c r="AK37" s="42" t="str">
        <f>IF(AND('Mapa final'!$AH$58="Media",'Mapa final'!$AJ$58="Catastrófico"),CONCATENATE("R2C",'Mapa final'!$R$58),"")</f>
        <v/>
      </c>
      <c r="AL37" s="42" t="str">
        <f>IF(AND('Mapa final'!$AH$59="Media",'Mapa final'!$AJ$59="Catastrófico"),CONCATENATE("R2C",'Mapa final'!$R$59),"")</f>
        <v/>
      </c>
      <c r="AM37" s="42" t="str">
        <f>IF(AND('Mapa final'!$AH$60="Media",'Mapa final'!$AJ$60="Catastrófico"),CONCATENATE("R2C",'Mapa final'!$R$60),"")</f>
        <v/>
      </c>
      <c r="AN37" s="43" t="str">
        <f>IF(AND('Mapa final'!$AH$71="Media",'Mapa final'!$AJ$61="Catastrófico"),CONCATENATE("R2C",'Mapa final'!$R$61),"")</f>
        <v/>
      </c>
      <c r="AO37" s="68"/>
      <c r="AP37" s="455"/>
      <c r="AQ37" s="456"/>
      <c r="AR37" s="456"/>
      <c r="AS37" s="456"/>
      <c r="AT37" s="456"/>
      <c r="AU37" s="457"/>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x14ac:dyDescent="0.25">
      <c r="B38" s="68"/>
      <c r="C38" s="371"/>
      <c r="D38" s="371"/>
      <c r="E38" s="372"/>
      <c r="F38" s="414"/>
      <c r="G38" s="415"/>
      <c r="H38" s="415"/>
      <c r="I38" s="415"/>
      <c r="J38" s="416"/>
      <c r="K38" s="53" t="str">
        <f>IF(AND('Mapa final'!$AH$62="Media",'Mapa final'!$AJ$62="Leve"),CONCATENATE("R2C",'Mapa final'!$R$62),"")</f>
        <v/>
      </c>
      <c r="L38" s="54" t="str">
        <f>IF(AND('Mapa final'!$AH$63="Media",'Mapa final'!$AJ$63="Leve"),CONCATENATE("R2C",'Mapa final'!$R$63),"")</f>
        <v/>
      </c>
      <c r="M38" s="54" t="str">
        <f>IF(AND('Mapa final'!$AH$64="Media",'Mapa final'!$AJ$64="Leve"),CONCATENATE("R2C",'Mapa final'!$R$64),"")</f>
        <v/>
      </c>
      <c r="N38" s="54" t="str">
        <f>IF(AND('Mapa final'!$AH$65="Media",'Mapa final'!$AJ$65="Leve"),CONCATENATE("R2C",'Mapa final'!$R$65),"")</f>
        <v/>
      </c>
      <c r="O38" s="54" t="str">
        <f>IF(AND('Mapa final'!$AH$66="Media",'Mapa final'!$AJ$66="Leve"),CONCATENATE("R2C",'Mapa final'!$R$66),"")</f>
        <v/>
      </c>
      <c r="P38" s="55" t="str">
        <f>IF(AND('Mapa final'!$AH$67="Media",'Mapa final'!$AJ$67="Leve"),CONCATENATE("R2C",'Mapa final'!$R$67),"")</f>
        <v/>
      </c>
      <c r="Q38" s="53" t="str">
        <f>IF(AND('Mapa final'!$AH$62="Media",'Mapa final'!$AJ$62="Menor"),CONCATENATE("R2C",'Mapa final'!$R$62),"")</f>
        <v/>
      </c>
      <c r="R38" s="54" t="str">
        <f>IF(AND('Mapa final'!$AH$63="Media",'Mapa final'!$AJ$63="Menor"),CONCATENATE("R2C",'Mapa final'!$R$63),"")</f>
        <v/>
      </c>
      <c r="S38" s="54" t="str">
        <f>IF(AND('Mapa final'!$AH$64="Media",'Mapa final'!$AJ$64="Menor"),CONCATENATE("R2C",'Mapa final'!$R$64),"")</f>
        <v/>
      </c>
      <c r="T38" s="54" t="str">
        <f>IF(AND('Mapa final'!$AH$65="Media",'Mapa final'!$AJ$65="Menor"),CONCATENATE("R2C",'Mapa final'!$R$65),"")</f>
        <v/>
      </c>
      <c r="U38" s="54" t="str">
        <f>IF(AND('Mapa final'!$AH$66="Media",'Mapa final'!$AJ$66="Menor"),CONCATENATE("R2C",'Mapa final'!$R$66),"")</f>
        <v/>
      </c>
      <c r="V38" s="55" t="str">
        <f>IF(AND('Mapa final'!$AH$67="Media",'Mapa final'!$AJ$67="Menor"),CONCATENATE("R2C",'Mapa final'!$R$67),"")</f>
        <v/>
      </c>
      <c r="W38" s="53" t="str">
        <f>IF(AND('Mapa final'!$AH$62="Media",'Mapa final'!$AJ$62="Moderado"),CONCATENATE("R2C",'Mapa final'!$R$62),"")</f>
        <v/>
      </c>
      <c r="X38" s="54" t="str">
        <f>IF(AND('Mapa final'!$AH$63="Media",'Mapa final'!$AJ$63="Moderado"),CONCATENATE("R2C",'Mapa final'!$R$63),"")</f>
        <v/>
      </c>
      <c r="Y38" s="54" t="str">
        <f>IF(AND('Mapa final'!$AH$64="Media",'Mapa final'!$AJ$64="Moderado"),CONCATENATE("R2C",'Mapa final'!$R$64),"")</f>
        <v/>
      </c>
      <c r="Z38" s="54" t="str">
        <f>IF(AND('Mapa final'!$AH$65="Media",'Mapa final'!$AJ$65="Moderado"),CONCATENATE("R2C",'Mapa final'!$R$65),"")</f>
        <v/>
      </c>
      <c r="AA38" s="54" t="str">
        <f>IF(AND('Mapa final'!$AH$66="Media",'Mapa final'!$AJ$66="Moderado"),CONCATENATE("R2C",'Mapa final'!$R$66),"")</f>
        <v/>
      </c>
      <c r="AB38" s="55" t="str">
        <f>IF(AND('Mapa final'!$AH$67="Media",'Mapa final'!$AJ$67="Moderado"),CONCATENATE("R2C",'Mapa final'!$R$67),"")</f>
        <v/>
      </c>
      <c r="AC38" s="38" t="str">
        <f>IF(AND('Mapa final'!$AH$62="Media",'Mapa final'!$AJ$62="Mayor"),CONCATENATE("R2C",'Mapa final'!$R$62),"")</f>
        <v/>
      </c>
      <c r="AD38" s="39" t="str">
        <f>IF(AND('Mapa final'!$AH$63="Media",'Mapa final'!$AJ$63="Mayor"),CONCATENATE("R2C",'Mapa final'!$R$63),"")</f>
        <v/>
      </c>
      <c r="AE38" s="39" t="str">
        <f>IF(AND('Mapa final'!$AH$64="Media",'Mapa final'!$AJ$64="Mayor"),CONCATENATE("R2C",'Mapa final'!$R$64),"")</f>
        <v/>
      </c>
      <c r="AF38" s="39" t="str">
        <f>IF(AND('Mapa final'!$AH$65="Media",'Mapa final'!$AJ$65="Mayor"),CONCATENATE("R2C",'Mapa final'!$R$65),"")</f>
        <v/>
      </c>
      <c r="AG38" s="39" t="str">
        <f>IF(AND('Mapa final'!$AH$66="Media",'Mapa final'!$AJ$66="Mayor"),CONCATENATE("R2C",'Mapa final'!$R$66),"")</f>
        <v/>
      </c>
      <c r="AH38" s="40" t="str">
        <f>IF(AND('Mapa final'!$AH$67="Media",'Mapa final'!$AJ$67="Mayor"),CONCATENATE("R2C",'Mapa final'!$R$67),"")</f>
        <v/>
      </c>
      <c r="AI38" s="41" t="str">
        <f>IF(AND('Mapa final'!$AH$62="Media",'Mapa final'!$AJ$62="Catastrófico"),CONCATENATE("R2C",'Mapa final'!$R$62),"")</f>
        <v/>
      </c>
      <c r="AJ38" s="42" t="str">
        <f>IF(AND('Mapa final'!$AH$63="Media",'Mapa final'!$AJ$63="Catastrófico"),CONCATENATE("R2C",'Mapa final'!$R$63),"")</f>
        <v/>
      </c>
      <c r="AK38" s="42" t="str">
        <f>IF(AND('Mapa final'!$AH$64="Media",'Mapa final'!$AJ$64="Catastrófico"),CONCATENATE("R2C",'Mapa final'!$R$64),"")</f>
        <v/>
      </c>
      <c r="AL38" s="42" t="str">
        <f>IF(AND('Mapa final'!$AH$65="Media",'Mapa final'!$AJ$65="Catastrófico"),CONCATENATE("R2C",'Mapa final'!$R$65),"")</f>
        <v/>
      </c>
      <c r="AM38" s="42" t="str">
        <f>IF(AND('Mapa final'!$AH$66="Media",'Mapa final'!$AJ$66="Catastrófico"),CONCATENATE("R2C",'Mapa final'!$R$66),"")</f>
        <v/>
      </c>
      <c r="AN38" s="43" t="str">
        <f>IF(AND('Mapa final'!$AH$67="Media",'Mapa final'!$AJ$67="Catastrófico"),CONCATENATE("R2C",'Mapa final'!$R$67),"")</f>
        <v/>
      </c>
      <c r="AO38" s="68"/>
      <c r="AP38" s="455"/>
      <c r="AQ38" s="456"/>
      <c r="AR38" s="456"/>
      <c r="AS38" s="456"/>
      <c r="AT38" s="456"/>
      <c r="AU38" s="457"/>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x14ac:dyDescent="0.25">
      <c r="B39" s="68"/>
      <c r="C39" s="371"/>
      <c r="D39" s="371"/>
      <c r="E39" s="372"/>
      <c r="F39" s="414"/>
      <c r="G39" s="415"/>
      <c r="H39" s="415"/>
      <c r="I39" s="415"/>
      <c r="J39" s="416"/>
      <c r="K39" s="53" t="str">
        <f>IF(AND('Mapa final'!$AH$68="Media",'Mapa final'!$AJ$68="Leve"),CONCATENATE("R2C",'Mapa final'!$R$68),"")</f>
        <v/>
      </c>
      <c r="L39" s="54" t="str">
        <f>IF(AND('Mapa final'!$AH$69="Media",'Mapa final'!$AJ$69="Leve"),CONCATENATE("R2C",'Mapa final'!$R$69),"")</f>
        <v/>
      </c>
      <c r="M39" s="54" t="str">
        <f>IF(AND('Mapa final'!$AH$70="Media",'Mapa final'!$AJ$70="Leve"),CONCATENATE("R2C",'Mapa final'!$R$70),"")</f>
        <v/>
      </c>
      <c r="N39" s="54" t="str">
        <f>IF(AND('Mapa final'!$AH$71="Media",'Mapa final'!$AJ$71="Leve"),CONCATENATE("R2C",'Mapa final'!$R$71),"")</f>
        <v/>
      </c>
      <c r="O39" s="54" t="str">
        <f>IF(AND('Mapa final'!$AH$72="Media",'Mapa final'!$AJ$72="Leve"),CONCATENATE("R2C",'Mapa final'!$R$72),"")</f>
        <v/>
      </c>
      <c r="P39" s="55" t="str">
        <f>IF(AND('Mapa final'!$AH$73="Media",'Mapa final'!$AJ$73="Leve"),CONCATENATE("R2C",'Mapa final'!$R$73),"")</f>
        <v/>
      </c>
      <c r="Q39" s="53" t="str">
        <f>IF(AND('Mapa final'!$AH$68="Media",'Mapa final'!$AJ$68="Menor"),CONCATENATE("R2C",'Mapa final'!$R$68),"")</f>
        <v/>
      </c>
      <c r="R39" s="54" t="str">
        <f>IF(AND('Mapa final'!$AH$69="Media",'Mapa final'!$AJ$69="Menor"),CONCATENATE("R2C",'Mapa final'!$R$69),"")</f>
        <v/>
      </c>
      <c r="S39" s="54" t="str">
        <f>IF(AND('Mapa final'!$AH$70="Media",'Mapa final'!$AJ$70="Menor"),CONCATENATE("R2C",'Mapa final'!$R$70),"")</f>
        <v/>
      </c>
      <c r="T39" s="54" t="str">
        <f>IF(AND('Mapa final'!$AH$71="Media",'Mapa final'!$AJ$71="Menor"),CONCATENATE("R2C",'Mapa final'!$R$71),"")</f>
        <v/>
      </c>
      <c r="U39" s="54" t="str">
        <f>IF(AND('Mapa final'!$AH$72="Media",'Mapa final'!$AJ$72="Menor"),CONCATENATE("R2C",'Mapa final'!$R$72),"")</f>
        <v/>
      </c>
      <c r="V39" s="55" t="str">
        <f>IF(AND('Mapa final'!$AH$73="Media",'Mapa final'!$AJ$73="Menor"),CONCATENATE("R2C",'Mapa final'!$R$73),"")</f>
        <v/>
      </c>
      <c r="W39" s="53" t="str">
        <f>IF(AND('Mapa final'!$AH$68="Media",'Mapa final'!$AJ$68="Moderado"),CONCATENATE("R2C",'Mapa final'!$R$68),"")</f>
        <v/>
      </c>
      <c r="X39" s="54" t="str">
        <f>IF(AND('Mapa final'!$AH$69="Media",'Mapa final'!$AJ$69="Moderado"),CONCATENATE("R2C",'Mapa final'!$R$69),"")</f>
        <v/>
      </c>
      <c r="Y39" s="54" t="str">
        <f>IF(AND('Mapa final'!$AH$70="Media",'Mapa final'!$AJ$70="Moderado"),CONCATENATE("R2C",'Mapa final'!$R$70),"")</f>
        <v/>
      </c>
      <c r="Z39" s="54" t="str">
        <f>IF(AND('Mapa final'!$AH$71="Media",'Mapa final'!$AJ$71="Moderado"),CONCATENATE("R2C",'Mapa final'!$R$71),"")</f>
        <v/>
      </c>
      <c r="AA39" s="54" t="str">
        <f>IF(AND('Mapa final'!$AH$72="Media",'Mapa final'!$AJ$72="Moderado"),CONCATENATE("R2C",'Mapa final'!$R$72),"")</f>
        <v/>
      </c>
      <c r="AB39" s="55" t="str">
        <f>IF(AND('Mapa final'!$AH$73="Media",'Mapa final'!$AJ$73="Moderado"),CONCATENATE("R2C",'Mapa final'!$R$73),"")</f>
        <v/>
      </c>
      <c r="AC39" s="38" t="str">
        <f>IF(AND('Mapa final'!$AH$68="Media",'Mapa final'!$AJ$68="Mayor"),CONCATENATE("R2C",'Mapa final'!$R$68),"")</f>
        <v/>
      </c>
      <c r="AD39" s="39" t="str">
        <f>IF(AND('Mapa final'!$AH$69="Media",'Mapa final'!$AJ$69="Mayor"),CONCATENATE("R2C",'Mapa final'!$R$69),"")</f>
        <v/>
      </c>
      <c r="AE39" s="39" t="str">
        <f>IF(AND('Mapa final'!$AH$70="Media",'Mapa final'!$AJ$70="Mayor"),CONCATENATE("R2C",'Mapa final'!$R$70),"")</f>
        <v/>
      </c>
      <c r="AF39" s="39" t="str">
        <f>IF(AND('Mapa final'!$AH$71="Media",'Mapa final'!$AJ$71="Mayor"),CONCATENATE("R2C",'Mapa final'!$R$71),"")</f>
        <v/>
      </c>
      <c r="AG39" s="39" t="str">
        <f>IF(AND('Mapa final'!$AH$72="Media",'Mapa final'!$AJ$72="Mayor"),CONCATENATE("R2C",'Mapa final'!$R$72),"")</f>
        <v/>
      </c>
      <c r="AH39" s="40" t="str">
        <f>IF(AND('Mapa final'!$AH$73="Media",'Mapa final'!$AJ$73="Mayor"),CONCATENATE("R2C",'Mapa final'!$R$73),"")</f>
        <v/>
      </c>
      <c r="AI39" s="41" t="str">
        <f>IF(AND('Mapa final'!$AH$68="Media",'Mapa final'!$AJ$68="Catastrófico"),CONCATENATE("R2C",'Mapa final'!$R$68),"")</f>
        <v/>
      </c>
      <c r="AJ39" s="42" t="str">
        <f>IF(AND('Mapa final'!$AH$69="Media",'Mapa final'!$AJ$69="Catastrófico"),CONCATENATE("R2C",'Mapa final'!$R$69),"")</f>
        <v/>
      </c>
      <c r="AK39" s="42" t="str">
        <f>IF(AND('Mapa final'!$AH$70="Media",'Mapa final'!$AJ$70="Catastrófico"),CONCATENATE("R2C",'Mapa final'!$R$70),"")</f>
        <v/>
      </c>
      <c r="AL39" s="42" t="str">
        <f>IF(AND('Mapa final'!$AH$71="Media",'Mapa final'!$AJ$71="Catastrófico"),CONCATENATE("R2C",'Mapa final'!$R$71),"")</f>
        <v/>
      </c>
      <c r="AM39" s="42" t="str">
        <f>IF(AND('Mapa final'!$AH$72="Media",'Mapa final'!$AJ$72="Catastrófico"),CONCATENATE("R2C",'Mapa final'!$R$72),"")</f>
        <v/>
      </c>
      <c r="AN39" s="43" t="str">
        <f>IF(AND('Mapa final'!$AH$73="Media",'Mapa final'!$AJ$73="Catastrófico"),CONCATENATE("R2C",'Mapa final'!$R$73),"")</f>
        <v/>
      </c>
      <c r="AO39" s="68"/>
      <c r="AP39" s="455"/>
      <c r="AQ39" s="456"/>
      <c r="AR39" s="456"/>
      <c r="AS39" s="456"/>
      <c r="AT39" s="456"/>
      <c r="AU39" s="457"/>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x14ac:dyDescent="0.25">
      <c r="B40" s="68"/>
      <c r="C40" s="371"/>
      <c r="D40" s="371"/>
      <c r="E40" s="372"/>
      <c r="F40" s="414"/>
      <c r="G40" s="415"/>
      <c r="H40" s="415"/>
      <c r="I40" s="415"/>
      <c r="J40" s="416"/>
      <c r="K40" s="53" t="str">
        <f>IF(AND('Mapa final'!$AH$74="Media",'Mapa final'!$AJ$74="Leve"),CONCATENATE("R2C",'Mapa final'!$R$74),"")</f>
        <v/>
      </c>
      <c r="L40" s="54" t="str">
        <f>IF(AND('Mapa final'!$AH$75="Media",'Mapa final'!$AJ$75="Leve"),CONCATENATE("R2C",'Mapa final'!$R$75),"")</f>
        <v/>
      </c>
      <c r="M40" s="54" t="str">
        <f>IF(AND('Mapa final'!$AH$76="Media",'Mapa final'!$AJ$76="Leve"),CONCATENATE("R2C",'Mapa final'!$R$76),"")</f>
        <v/>
      </c>
      <c r="N40" s="54" t="str">
        <f>IF(AND('Mapa final'!$AH$77="Media",'Mapa final'!$AJ$77="Leve"),CONCATENATE("R2C",'Mapa final'!$R$77),"")</f>
        <v/>
      </c>
      <c r="O40" s="54" t="str">
        <f>IF(AND('Mapa final'!$AH$78="Media",'Mapa final'!$AJ$78="Leve"),CONCATENATE("R2C",'Mapa final'!$R$78),"")</f>
        <v/>
      </c>
      <c r="P40" s="55" t="str">
        <f>IF(AND('Mapa final'!$AH$79="Media",'Mapa final'!$AJ$79="Leve"),CONCATENATE("R2C",'Mapa final'!$R$79),"")</f>
        <v/>
      </c>
      <c r="Q40" s="53" t="str">
        <f>IF(AND('Mapa final'!$AH$74="Media",'Mapa final'!$AJ$74="Menor"),CONCATENATE("R2C",'Mapa final'!$R$74),"")</f>
        <v/>
      </c>
      <c r="R40" s="54" t="str">
        <f>IF(AND('Mapa final'!$AH$75="Media",'Mapa final'!$AJ$75="Menor"),CONCATENATE("R2C",'Mapa final'!$R$75),"")</f>
        <v/>
      </c>
      <c r="S40" s="54" t="str">
        <f>IF(AND('Mapa final'!$AH$76="Media",'Mapa final'!$AJ$76="Menor"),CONCATENATE("R2C",'Mapa final'!$R$76),"")</f>
        <v/>
      </c>
      <c r="T40" s="54" t="str">
        <f>IF(AND('Mapa final'!$AH$77="Media",'Mapa final'!$AJ$77="Menor"),CONCATENATE("R2C",'Mapa final'!$R$77),"")</f>
        <v/>
      </c>
      <c r="U40" s="54" t="str">
        <f>IF(AND('Mapa final'!$AH$78="Media",'Mapa final'!$AJ$78="Menor"),CONCATENATE("R2C",'Mapa final'!$R$78),"")</f>
        <v/>
      </c>
      <c r="V40" s="55" t="str">
        <f>IF(AND('Mapa final'!$AH$79="Media",'Mapa final'!$AJ$79="Menor"),CONCATENATE("R2C",'Mapa final'!$R$79),"")</f>
        <v/>
      </c>
      <c r="W40" s="53" t="str">
        <f>IF(AND('Mapa final'!$AH$74="Media",'Mapa final'!$AJ$74="Moderado"),CONCATENATE("R2C",'Mapa final'!$R$74),"")</f>
        <v/>
      </c>
      <c r="X40" s="54" t="str">
        <f>IF(AND('Mapa final'!$AH$75="Media",'Mapa final'!$AJ$75="Moderado"),CONCATENATE("R2C",'Mapa final'!$R$75),"")</f>
        <v/>
      </c>
      <c r="Y40" s="54" t="str">
        <f>IF(AND('Mapa final'!$AH$76="Media",'Mapa final'!$AJ$76="Moderado"),CONCATENATE("R2C",'Mapa final'!$R$76),"")</f>
        <v/>
      </c>
      <c r="Z40" s="54" t="str">
        <f>IF(AND('Mapa final'!$AH$77="Media",'Mapa final'!$AJ$77="Moderado"),CONCATENATE("R2C",'Mapa final'!$R$77),"")</f>
        <v/>
      </c>
      <c r="AA40" s="54" t="str">
        <f>IF(AND('Mapa final'!$AH$78="Media",'Mapa final'!$AJ$78="Moderado"),CONCATENATE("R2C",'Mapa final'!$R$78),"")</f>
        <v/>
      </c>
      <c r="AB40" s="55" t="str">
        <f>IF(AND('Mapa final'!$AH$79="Media",'Mapa final'!$AJ$79="Moderado"),CONCATENATE("R2C",'Mapa final'!$R$79),"")</f>
        <v/>
      </c>
      <c r="AC40" s="38" t="str">
        <f>IF(AND('Mapa final'!$AH$74="Media",'Mapa final'!$AJ$74="Mayor"),CONCATENATE("R2C",'Mapa final'!$R$74),"")</f>
        <v/>
      </c>
      <c r="AD40" s="39" t="str">
        <f>IF(AND('Mapa final'!$AH$75="Media",'Mapa final'!$AJ$75="Mayor"),CONCATENATE("R2C",'Mapa final'!$R$75),"")</f>
        <v/>
      </c>
      <c r="AE40" s="39" t="str">
        <f>IF(AND('Mapa final'!$AH$76="Media",'Mapa final'!$AJ$76="Mayor"),CONCATENATE("R2C",'Mapa final'!$R$76),"")</f>
        <v/>
      </c>
      <c r="AF40" s="39" t="str">
        <f>IF(AND('Mapa final'!$AH$77="Media",'Mapa final'!$AJ$77="Mayor"),CONCATENATE("R2C",'Mapa final'!$R$77),"")</f>
        <v/>
      </c>
      <c r="AG40" s="39" t="str">
        <f>IF(AND('Mapa final'!$AH$78="Media",'Mapa final'!$AJ$78="Mayor"),CONCATENATE("R2C",'Mapa final'!$R$78),"")</f>
        <v/>
      </c>
      <c r="AH40" s="40" t="str">
        <f>IF(AND('Mapa final'!$AH$79="Media",'Mapa final'!$AJ$79="Mayor"),CONCATENATE("R2C",'Mapa final'!$R$79),"")</f>
        <v/>
      </c>
      <c r="AI40" s="41" t="str">
        <f>IF(AND('Mapa final'!$AH$74="Media",'Mapa final'!$AJ$74="Catastrófico"),CONCATENATE("R2C",'Mapa final'!$R$74),"")</f>
        <v/>
      </c>
      <c r="AJ40" s="42" t="str">
        <f>IF(AND('Mapa final'!$AH$75="Media",'Mapa final'!$AJ$75="Catastrófico"),CONCATENATE("R2C",'Mapa final'!$R$75),"")</f>
        <v/>
      </c>
      <c r="AK40" s="42" t="str">
        <f>IF(AND('Mapa final'!$AH$76="Media",'Mapa final'!$AJ$76="Catastrófico"),CONCATENATE("R2C",'Mapa final'!$R$76),"")</f>
        <v/>
      </c>
      <c r="AL40" s="42" t="str">
        <f>IF(AND('Mapa final'!$AH$77="Media",'Mapa final'!$AJ$77="Catastrófico"),CONCATENATE("R2C",'Mapa final'!$R$77),"")</f>
        <v/>
      </c>
      <c r="AM40" s="42" t="str">
        <f>IF(AND('Mapa final'!$AH$78="Media",'Mapa final'!$AJ$78="Catastrófico"),CONCATENATE("R2C",'Mapa final'!$R$78),"")</f>
        <v/>
      </c>
      <c r="AN40" s="43" t="str">
        <f>IF(AND('Mapa final'!$AH$79="Media",'Mapa final'!$AJ$79="Catastrófico"),CONCATENATE("R2C",'Mapa final'!$R$79),"")</f>
        <v/>
      </c>
      <c r="AO40" s="68"/>
      <c r="AP40" s="455"/>
      <c r="AQ40" s="456"/>
      <c r="AR40" s="456"/>
      <c r="AS40" s="456"/>
      <c r="AT40" s="456"/>
      <c r="AU40" s="457"/>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x14ac:dyDescent="0.3">
      <c r="B41" s="68"/>
      <c r="C41" s="371"/>
      <c r="D41" s="371"/>
      <c r="E41" s="372"/>
      <c r="F41" s="417"/>
      <c r="G41" s="418"/>
      <c r="H41" s="418"/>
      <c r="I41" s="418"/>
      <c r="J41" s="419"/>
      <c r="K41" s="53" t="str">
        <f>IF(AND('Mapa final'!$AH$80="Media",'Mapa final'!$AJ$80="Leve"),CONCATENATE("R2C",'Mapa final'!$R$80),"")</f>
        <v/>
      </c>
      <c r="L41" s="54" t="str">
        <f>IF(AND('Mapa final'!$AH$81="Media",'Mapa final'!$AJ$81="Leve"),CONCATENATE("R2C",'Mapa final'!$R$81),"")</f>
        <v/>
      </c>
      <c r="M41" s="54" t="str">
        <f>IF(AND('Mapa final'!$AH$82="Media",'Mapa final'!$AJ$82="Leve"),CONCATENATE("R2C",'Mapa final'!$R$82),"")</f>
        <v/>
      </c>
      <c r="N41" s="54" t="str">
        <f>IF(AND('Mapa final'!$AH$83="Media",'Mapa final'!$AJ$83="Leve"),CONCATENATE("R2C",'Mapa final'!$R$83),"")</f>
        <v/>
      </c>
      <c r="O41" s="54" t="str">
        <f>IF(AND('Mapa final'!$AH$85="Media",'Mapa final'!$AJ$85="Leve"),CONCATENATE("R2C",'Mapa final'!$R$85),"")</f>
        <v/>
      </c>
      <c r="P41" s="55" t="str">
        <f>IF(AND('Mapa final'!$AH$86="Media",'Mapa final'!$AJ$86="Leve"),CONCATENATE("R2C",'Mapa final'!$R$86),"")</f>
        <v/>
      </c>
      <c r="Q41" s="53" t="str">
        <f>IF(AND('Mapa final'!$AH$80="Media",'Mapa final'!$AJ$80="Menor"),CONCATENATE("R2C",'Mapa final'!$R$80),"")</f>
        <v/>
      </c>
      <c r="R41" s="54" t="str">
        <f>IF(AND('Mapa final'!$AH$81="Media",'Mapa final'!$AJ$81="Menor"),CONCATENATE("R2C",'Mapa final'!$R$81),"")</f>
        <v/>
      </c>
      <c r="S41" s="54" t="str">
        <f>IF(AND('Mapa final'!$AH$82="Media",'Mapa final'!$AJ$82="Menor"),CONCATENATE("R2C",'Mapa final'!$R$82),"")</f>
        <v/>
      </c>
      <c r="T41" s="54" t="str">
        <f>IF(AND('Mapa final'!$AH$83="Media",'Mapa final'!$AJ$83="Menor"),CONCATENATE("R2C",'Mapa final'!$R$83),"")</f>
        <v/>
      </c>
      <c r="U41" s="54" t="str">
        <f>IF(AND('Mapa final'!$AH$85="Media",'Mapa final'!$AJ$85="Menor"),CONCATENATE("R2C",'Mapa final'!$R$85),"")</f>
        <v/>
      </c>
      <c r="V41" s="55" t="str">
        <f>IF(AND('Mapa final'!$AH$86="Media",'Mapa final'!$AJ$86="Menor"),CONCATENATE("R2C",'Mapa final'!$R$86),"")</f>
        <v/>
      </c>
      <c r="W41" s="53" t="str">
        <f>IF(AND('Mapa final'!$AH$80="Media",'Mapa final'!$AJ$80="Moderado"),CONCATENATE("R2C",'Mapa final'!$R$80),"")</f>
        <v/>
      </c>
      <c r="X41" s="54" t="str">
        <f>IF(AND('Mapa final'!$AH$81="Media",'Mapa final'!$AJ$81="Moderado"),CONCATENATE("R2C",'Mapa final'!$R$81),"")</f>
        <v/>
      </c>
      <c r="Y41" s="54" t="str">
        <f>IF(AND('Mapa final'!$AH$82="Media",'Mapa final'!$AJ$82="Moderado"),CONCATENATE("R2C",'Mapa final'!$R$82),"")</f>
        <v/>
      </c>
      <c r="Z41" s="54" t="str">
        <f>IF(AND('Mapa final'!$AH$83="Media",'Mapa final'!$AJ$83="Moderado"),CONCATENATE("R2C",'Mapa final'!$R$83),"")</f>
        <v/>
      </c>
      <c r="AA41" s="54" t="str">
        <f>IF(AND('Mapa final'!$AH$85="Media",'Mapa final'!$AJ$85="Moderado"),CONCATENATE("R2C",'Mapa final'!$R$85),"")</f>
        <v/>
      </c>
      <c r="AB41" s="55" t="str">
        <f>IF(AND('Mapa final'!$AH$86="Media",'Mapa final'!$AJ$86="Moderado"),CONCATENATE("R2C",'Mapa final'!$R$86),"")</f>
        <v/>
      </c>
      <c r="AC41" s="44" t="str">
        <f>IF(AND('Mapa final'!$AH$80="Media",'Mapa final'!$AJ$80="Mayor"),CONCATENATE("R2C",'Mapa final'!$R$80),"")</f>
        <v/>
      </c>
      <c r="AD41" s="45" t="str">
        <f>IF(AND('Mapa final'!$AH$81="Media",'Mapa final'!$AJ$81="Mayor"),CONCATENATE("R2C",'Mapa final'!$R$81),"")</f>
        <v/>
      </c>
      <c r="AE41" s="45" t="str">
        <f>IF(AND('Mapa final'!$AH$82="Media",'Mapa final'!$AJ$82="Mayor"),CONCATENATE("R2C",'Mapa final'!$R$82),"")</f>
        <v/>
      </c>
      <c r="AF41" s="45" t="str">
        <f>IF(AND('Mapa final'!$AH$83="Media",'Mapa final'!$AJ$83="Mayor"),CONCATENATE("R2C",'Mapa final'!$R$83),"")</f>
        <v/>
      </c>
      <c r="AG41" s="45" t="str">
        <f>IF(AND('Mapa final'!$AH$85="Media",'Mapa final'!$AJ$85="Mayor"),CONCATENATE("R2C",'Mapa final'!$R$85),"")</f>
        <v/>
      </c>
      <c r="AH41" s="46" t="str">
        <f>IF(AND('Mapa final'!$AH$86="Media",'Mapa final'!$AJ$86="Mayor"),CONCATENATE("R2C",'Mapa final'!$R$86),"")</f>
        <v/>
      </c>
      <c r="AI41" s="47" t="str">
        <f>IF(AND('Mapa final'!$AH$80="Media",'Mapa final'!$AJ$80="Catastrófico"),CONCATENATE("R2C",'Mapa final'!$R$80),"")</f>
        <v/>
      </c>
      <c r="AJ41" s="48" t="str">
        <f>IF(AND('Mapa final'!$AH$81="Media",'Mapa final'!$AJ$81="Catastrófico"),CONCATENATE("R2C",'Mapa final'!$R$81),"")</f>
        <v/>
      </c>
      <c r="AK41" s="48" t="str">
        <f>IF(AND('Mapa final'!$AH$82="Media",'Mapa final'!$AJ$82="Catastrófico"),CONCATENATE("R2C",'Mapa final'!$R$82),"")</f>
        <v/>
      </c>
      <c r="AL41" s="48" t="str">
        <f>IF(AND('Mapa final'!$AH$83="Media",'Mapa final'!$AJ$83="Catastrófico"),CONCATENATE("R2C",'Mapa final'!$R$83),"")</f>
        <v/>
      </c>
      <c r="AM41" s="48" t="str">
        <f>IF(AND('Mapa final'!$AH$85="Media",'Mapa final'!$AJ$85="Catastrófico"),CONCATENATE("R2C",'Mapa final'!$R$85),"")</f>
        <v/>
      </c>
      <c r="AN41" s="49" t="str">
        <f>IF(AND('Mapa final'!$AH$86="Muy Alta",'Mapa final'!$AJ$86="Catastrófico"),CONCATENATE("R2C",'Mapa final'!$R$86),"")</f>
        <v/>
      </c>
      <c r="AO41" s="68"/>
      <c r="AP41" s="458"/>
      <c r="AQ41" s="459"/>
      <c r="AR41" s="459"/>
      <c r="AS41" s="459"/>
      <c r="AT41" s="459"/>
      <c r="AU41" s="460"/>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x14ac:dyDescent="0.25">
      <c r="B42" s="68"/>
      <c r="C42" s="371"/>
      <c r="D42" s="371"/>
      <c r="E42" s="372"/>
      <c r="F42" s="411" t="s">
        <v>263</v>
      </c>
      <c r="G42" s="412"/>
      <c r="H42" s="412"/>
      <c r="I42" s="412"/>
      <c r="J42" s="412"/>
      <c r="K42" s="59"/>
      <c r="L42" s="60" t="str">
        <f>IF(AND('Mapa final'!$AH$16="Baja",'Mapa final'!$AJ$16="Leve"),CONCATENATE("R2C",'Mapa final'!$R$15),"")</f>
        <v/>
      </c>
      <c r="M42" s="60" t="str">
        <f>IF(AND('Mapa final'!$AH$17="Baja",'Mapa final'!$AJ$17="Leve"),CONCATENATE("R2C",'Mapa final'!$R$17),"")</f>
        <v/>
      </c>
      <c r="N42" s="60" t="str">
        <f>IF(AND('Mapa final'!$AH$20="Baja",'Mapa final'!$AJ$20="Leve"),CONCATENATE("R2C",'Mapa final'!$R$20),"")</f>
        <v/>
      </c>
      <c r="O42" s="60" t="str">
        <f>IF(AND('Mapa final'!$AH$21="Baja",'Mapa final'!$AJ$21="Leve"),CONCATENATE("R2C",'Mapa final'!$R$21),"")</f>
        <v/>
      </c>
      <c r="P42" s="61" t="str">
        <f>IF(AND('Mapa final'!$AH$23="Baja",'Mapa final'!$AJ$23="Leve"),CONCATENATE("R2C",'Mapa final'!$R$23),"")</f>
        <v/>
      </c>
      <c r="Q42" s="50"/>
      <c r="R42" s="51" t="str">
        <f>IF(AND('Mapa final'!$AH$16="Baja",'Mapa final'!$AJ$16="Menore"),CONCATENATE("R2C",'Mapa final'!$R$15),"")</f>
        <v/>
      </c>
      <c r="S42" s="51" t="str">
        <f>IF(AND('Mapa final'!$AH$17="Baja",'Mapa final'!$AJ$17="Menor"),CONCATENATE("R2C",'Mapa final'!$R$17),"")</f>
        <v/>
      </c>
      <c r="T42" s="51" t="str">
        <f>IF(AND('Mapa final'!$AH$20="Baja",'Mapa final'!$AJ$20="Menor"),CONCATENATE("R2C",'Mapa final'!$R$20),"")</f>
        <v/>
      </c>
      <c r="U42" s="51" t="str">
        <f>IF(AND('Mapa final'!$AH$21="Baja",'Mapa final'!$AJ$21="Menor"),CONCATENATE("R2C",'Mapa final'!$R$21),"")</f>
        <v/>
      </c>
      <c r="V42" s="52" t="str">
        <f>IF(AND('Mapa final'!$AH$23="Baja",'Mapa final'!$AJ$23="Menor"),CONCATENATE("R2C",'Mapa final'!$R$23),"")</f>
        <v/>
      </c>
      <c r="W42" s="50"/>
      <c r="X42" s="51" t="str">
        <f>IF(AND('Mapa final'!$AH$16="Baja",'Mapa final'!$AJ$16="Moderado"),CONCATENATE("R2C",'Mapa final'!$R$15),"")</f>
        <v/>
      </c>
      <c r="Y42" s="51"/>
      <c r="Z42" s="51" t="str">
        <f>IF(AND('Mapa final'!$AH$20="Baja",'Mapa final'!$AJ$20="Moderado"),CONCATENATE("R2C",'Mapa final'!$D$19),"")</f>
        <v/>
      </c>
      <c r="AA42" s="51" t="str">
        <f>IF(AND('Mapa final'!$AH$21="Baja",'Mapa final'!$AJ$21="Moderado"),CONCATENATE("R2C",'Mapa final'!$R$21),"")</f>
        <v/>
      </c>
      <c r="AB42" s="52" t="str">
        <f>IF(AND('Mapa final'!$AH$23="Baja",'Mapa final'!$AJ$23="Moderado"),CONCATENATE("R2C",'Mapa final'!$R$23),"")</f>
        <v/>
      </c>
      <c r="AC42" s="32"/>
      <c r="AD42" s="33" t="str">
        <f>IF(AND('Mapa final'!$AH$16="Baja",'Mapa final'!$AJ$16="Mayor"),CONCATENATE("R2C",'Mapa final'!$R$15),"")</f>
        <v/>
      </c>
      <c r="AE42" s="33" t="str">
        <f>IF(AND('Mapa final'!$AH$17="Baja",'Mapa final'!$AJ$17="Mayor"),CONCATENATE("R2C",'Mapa final'!$R$17),"")</f>
        <v xml:space="preserve">R2C     Entre 100 y 500 SMLMV </v>
      </c>
      <c r="AF42" s="33" t="str">
        <f>IF(AND('Mapa final'!$AH$20="Baja",'Mapa final'!$AJ$20="Mayor"),CONCATENATE("R2C",'Mapa final'!$R$20),"")</f>
        <v/>
      </c>
      <c r="AG42" s="33" t="str">
        <f>IF(AND('Mapa final'!$AH$21="Baja",'Mapa final'!$AJ$21="Mayor"),CONCATENATE("R2C",'Mapa final'!$R$21),"")</f>
        <v xml:space="preserve">R2C     Entre 100 y 500 SMLMV </v>
      </c>
      <c r="AH42" s="34" t="str">
        <f>IF(AND('Mapa final'!$AH$23="Baja",'Mapa final'!$AJ$23="Mayor"),CONCATENATE("R2C",'Mapa final'!$R$23),"")</f>
        <v/>
      </c>
      <c r="AI42" s="35"/>
      <c r="AJ42" s="36" t="str">
        <f>IF(AND('Mapa final'!$AH$16="Baja",'Mapa final'!$AJ$16="Catastrófico"),CONCATENATE("R2C",'Mapa final'!$R$15),"")</f>
        <v/>
      </c>
      <c r="AK42" s="36" t="str">
        <f>IF(AND('Mapa final'!$AH$17="Baja",'Mapa final'!$AJ$17="Catastrófico"),CONCATENATE("R2C",'Mapa final'!$R$17),"")</f>
        <v/>
      </c>
      <c r="AL42" s="36" t="str">
        <f>IF(AND('Mapa final'!$AH$20="Baja",'Mapa final'!$AJ$20="Catastrófico"),CONCATENATE("R2C",'Mapa final'!$R$20),"")</f>
        <v/>
      </c>
      <c r="AM42" s="36" t="str">
        <f>IF(AND('Mapa final'!$AH$21="Baja",'Mapa final'!$AJ$21="Catastrófico"),CONCATENATE("R2C",'Mapa final'!$R$21),"")</f>
        <v/>
      </c>
      <c r="AN42" s="37" t="str">
        <f>IF(AND('Mapa final'!$AH$23="Baja",'Mapa final'!$AJ$23="Catastrófico"),CONCATENATE("R2C",'Mapa final'!$R$23),"")</f>
        <v/>
      </c>
      <c r="AO42" s="68"/>
      <c r="AP42" s="443" t="s">
        <v>264</v>
      </c>
      <c r="AQ42" s="444"/>
      <c r="AR42" s="444"/>
      <c r="AS42" s="444"/>
      <c r="AT42" s="444"/>
      <c r="AU42" s="445"/>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x14ac:dyDescent="0.25">
      <c r="B43" s="68"/>
      <c r="C43" s="371"/>
      <c r="D43" s="371"/>
      <c r="E43" s="372"/>
      <c r="F43" s="430"/>
      <c r="G43" s="415"/>
      <c r="H43" s="415"/>
      <c r="I43" s="415"/>
      <c r="J43" s="415"/>
      <c r="K43" s="62" t="str">
        <f>IF(AND('Mapa final'!$AH$24="Baja",'Mapa final'!$AJ$24="Leve"),CONCATENATE("R2C",'Mapa final'!$R$24),"")</f>
        <v/>
      </c>
      <c r="L43" s="63" t="e">
        <f>IF(AND('Mapa final'!#REF!="Baja",'Mapa final'!#REF!="Leve"),CONCATENATE("R2C",'Mapa final'!#REF!),"")</f>
        <v>#REF!</v>
      </c>
      <c r="M43" s="63" t="str">
        <f>IF(AND('Mapa final'!$AH$34="Baja",'Mapa final'!$AJ$34="Leve"),CONCATENATE("R2C",'Mapa final'!$R$34),"")</f>
        <v/>
      </c>
      <c r="N43" s="63" t="str">
        <f>IF(AND('Mapa final'!$AH$35="Baja",'Mapa final'!$AJ$35="Leve"),CONCATENATE("R2C",'Mapa final'!$R$35),"")</f>
        <v/>
      </c>
      <c r="O43" s="63" t="str">
        <f>IF(AND('Mapa final'!$AH$36="Baja",'Mapa final'!$AJ$36="Leve"),CONCATENATE("R2C",'Mapa final'!$R$36),"")</f>
        <v/>
      </c>
      <c r="P43" s="64" t="str">
        <f>IF(AND('Mapa final'!$AH$37="Baja",'Mapa final'!$AJ$37="Leve"),CONCATENATE("R2C",'Mapa final'!$R$37),"")</f>
        <v/>
      </c>
      <c r="Q43" s="53" t="str">
        <f>IF(AND('Mapa final'!$AH$24="Baja",'Mapa final'!$AJ$24="Menor"),CONCATENATE("R2C",'Mapa final'!$R$24),"")</f>
        <v/>
      </c>
      <c r="R43" s="54" t="e">
        <f>IF(AND('Mapa final'!#REF!="Baja",'Mapa final'!#REF!="Menor"),CONCATENATE("R2C",'Mapa final'!#REF!),"")</f>
        <v>#REF!</v>
      </c>
      <c r="S43" s="54" t="str">
        <f>IF(AND('Mapa final'!$AH$34="Baja",'Mapa final'!$AJ$34="Menor"),CONCATENATE("R2C",'Mapa final'!$R$34),"")</f>
        <v/>
      </c>
      <c r="T43" s="54" t="str">
        <f>IF(AND('Mapa final'!$AH$35="Baja",'Mapa final'!$AJ$35="Menor"),CONCATENATE("R2C",'Mapa final'!$R$35),"")</f>
        <v/>
      </c>
      <c r="U43" s="54" t="str">
        <f>IF(AND('Mapa final'!$AH$36="Baja",'Mapa final'!$AJ$36="Menor"),CONCATENATE("R2C",'Mapa final'!$R$36),"")</f>
        <v/>
      </c>
      <c r="V43" s="55" t="str">
        <f>IF(AND('Mapa final'!$AH$37="Baja",'Mapa final'!$AJ$37="Menor"),CONCATENATE("R2C",'Mapa final'!$R$37),"")</f>
        <v/>
      </c>
      <c r="W43" s="53" t="str">
        <f>IF(AND('Mapa final'!$AH$24="Baja",'Mapa final'!$AJ$24="Moderado"),CONCATENATE("R2C",'Mapa final'!$R$24),"")</f>
        <v/>
      </c>
      <c r="X43" s="54" t="e">
        <f>IF(AND('Mapa final'!#REF!="Baja",'Mapa final'!#REF!="Moderado"),CONCATENATE("R2C",'Mapa final'!#REF!),"")</f>
        <v>#REF!</v>
      </c>
      <c r="Y43" s="54" t="str">
        <f>IF(AND('Mapa final'!$AH$34="Baja",'Mapa final'!$AJ$34="Moderado"),CONCATENATE("R2C",'Mapa final'!$R$34),"")</f>
        <v/>
      </c>
      <c r="Z43" s="54" t="str">
        <f>IF(AND('Mapa final'!$AH$35="Baja",'Mapa final'!$AJ$35="Moderado"),CONCATENATE("R2C",'Mapa final'!$R$35),"")</f>
        <v/>
      </c>
      <c r="AA43" s="54" t="str">
        <f>IF(AND('Mapa final'!$AH$36="Baja",'Mapa final'!$AJ$36="Moderado"),CONCATENATE("R2C",'Mapa final'!$R$36),"")</f>
        <v/>
      </c>
      <c r="AB43" s="55" t="str">
        <f>IF(AND('Mapa final'!$AH$37="Baja",'Mapa final'!$AJ$37="Moderado"),CONCATENATE("R2C",'Mapa final'!$R$37),"")</f>
        <v/>
      </c>
      <c r="AC43" s="38" t="str">
        <f>IF(AND('Mapa final'!$AH$24="Baja",'Mapa final'!$AJ$24="Mayor"),CONCATENATE("R2C",'Mapa final'!$R$24),"")</f>
        <v/>
      </c>
      <c r="AD43" s="39" t="e">
        <f>IF(AND('Mapa final'!#REF!="Baja",'Mapa final'!#REF!="Mayor"),CONCATENATE("R2C",'Mapa final'!#REF!),"")</f>
        <v>#REF!</v>
      </c>
      <c r="AE43" s="39" t="str">
        <f>IF(AND('Mapa final'!$AH$34="Baja",'Mapa final'!$AJ$34="Mayor"),CONCATENATE("R2C",'Mapa final'!$R$34),"")</f>
        <v/>
      </c>
      <c r="AF43" s="39" t="str">
        <f>IF(AND('Mapa final'!$AH$35="Baja",'Mapa final'!$AJ$35="Mayor"),CONCATENATE("R2C",'Mapa final'!$R$35),"")</f>
        <v/>
      </c>
      <c r="AG43" s="39" t="str">
        <f>IF(AND('Mapa final'!$AH$36="Baja",'Mapa final'!$AJ$36="Mayor"),CONCATENATE("R2C",'Mapa final'!$R$36),"")</f>
        <v/>
      </c>
      <c r="AH43" s="40" t="str">
        <f>IF(AND('Mapa final'!$AH$37="Baja",'Mapa final'!$AJ$37="Mayor"),CONCATENATE("R2C",'Mapa final'!$R$37),"")</f>
        <v/>
      </c>
      <c r="AI43" s="41" t="str">
        <f>IF(AND('Mapa final'!$AH$24="Baja",'Mapa final'!$AJ$24="Catastrófico"),CONCATENATE("R2C",'Mapa final'!$R$24),"")</f>
        <v/>
      </c>
      <c r="AJ43" s="42" t="e">
        <f>IF(AND('Mapa final'!#REF!="Baja",'Mapa final'!#REF!="Catastrófico"),CONCATENATE("R2C",'Mapa final'!#REF!),"")</f>
        <v>#REF!</v>
      </c>
      <c r="AK43" s="42" t="str">
        <f>IF(AND('Mapa final'!$AH$34="Baja",'Mapa final'!$AJ$34="Catastrófico"),CONCATENATE("R2C",'Mapa final'!$R$34),"")</f>
        <v/>
      </c>
      <c r="AL43" s="42" t="str">
        <f>IF(AND('Mapa final'!$AH$35="Baja",'Mapa final'!$AJ$35="Catastrófico"),CONCATENATE("R2C",'Mapa final'!$R$35),"")</f>
        <v/>
      </c>
      <c r="AM43" s="42" t="str">
        <f>IF(AND('Mapa final'!$AH$36="Baja",'Mapa final'!$AJ$36="Catastrófico"),CONCATENATE("R2C",'Mapa final'!$R$36),"")</f>
        <v/>
      </c>
      <c r="AN43" s="43" t="str">
        <f>IF(AND('Mapa final'!$AH$37="Baja",'Mapa final'!$AJ$37="Catastrófico"),CONCATENATE("R2C",'Mapa final'!$R$37),"")</f>
        <v/>
      </c>
      <c r="AO43" s="68"/>
      <c r="AP43" s="446"/>
      <c r="AQ43" s="447"/>
      <c r="AR43" s="447"/>
      <c r="AS43" s="447"/>
      <c r="AT43" s="447"/>
      <c r="AU43" s="44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x14ac:dyDescent="0.25">
      <c r="B44" s="68"/>
      <c r="C44" s="371"/>
      <c r="D44" s="371"/>
      <c r="E44" s="372"/>
      <c r="F44" s="414"/>
      <c r="G44" s="415"/>
      <c r="H44" s="415"/>
      <c r="I44" s="415"/>
      <c r="J44" s="415"/>
      <c r="K44" s="62" t="str">
        <f>IF(AND('Mapa final'!$AH$38="Baja",'Mapa final'!$AJ$38="Leve"),CONCATENATE("R2C",'Mapa final'!$R$38),"")</f>
        <v/>
      </c>
      <c r="L44" s="63" t="str">
        <f>IF(AND('Mapa final'!$AH$39="Baja",'Mapa final'!$AJ$39="Leve"),CONCATENATE("R2C",'Mapa final'!$R$39),"")</f>
        <v/>
      </c>
      <c r="M44" s="63" t="str">
        <f>IF(AND('Mapa final'!$AH$40="Baja",'Mapa final'!$AJ$40="Leve"),CONCATENATE("R2C",'Mapa final'!$R$40),"")</f>
        <v/>
      </c>
      <c r="N44" s="63" t="str">
        <f>IF(AND('Mapa final'!$AH$41="Baja",'Mapa final'!$AJ$41="Leve"),CONCATENATE("R2C",'Mapa final'!$R$41),"")</f>
        <v/>
      </c>
      <c r="O44" s="63" t="str">
        <f>IF(AND('Mapa final'!$AH$42="Baja",'Mapa final'!$AJ$42="Leve"),CONCATENATE("R2C",'Mapa final'!$R$42),"")</f>
        <v/>
      </c>
      <c r="P44" s="64" t="str">
        <f>IF(AND('Mapa final'!$AH$43="Baja",'Mapa final'!$AJ$43="Leve"),CONCATENATE("R2C",'Mapa final'!$R$43),"")</f>
        <v/>
      </c>
      <c r="Q44" s="53" t="str">
        <f>IF(AND('Mapa final'!$AH$38="Baja",'Mapa final'!$AJ$38="Menor"),CONCATENATE("R2C",'Mapa final'!$R$38),"")</f>
        <v/>
      </c>
      <c r="R44" s="54" t="str">
        <f>IF(AND('Mapa final'!$AH$39="Baja",'Mapa final'!$AJ$39="Menor"),CONCATENATE("R2C",'Mapa final'!$R$39),"")</f>
        <v/>
      </c>
      <c r="S44" s="54" t="str">
        <f>IF(AND('Mapa final'!$AH$40="Baja",'Mapa final'!$AJ$40="Menor"),CONCATENATE("R2C",'Mapa final'!$R$40),"")</f>
        <v/>
      </c>
      <c r="T44" s="54" t="str">
        <f>IF(AND('Mapa final'!$AH$41="Baja",'Mapa final'!$AJ$41="Menor"),CONCATENATE("R2C",'Mapa final'!$R$41),"")</f>
        <v/>
      </c>
      <c r="U44" s="54" t="str">
        <f>IF(AND('Mapa final'!$AH$42="Baja",'Mapa final'!$AJ$42="Menor"),CONCATENATE("R2C",'Mapa final'!$R$42),"")</f>
        <v/>
      </c>
      <c r="V44" s="55" t="str">
        <f>IF(AND('Mapa final'!$AH$43="Baja",'Mapa final'!$AJ$43="Menor"),CONCATENATE("R2C",'Mapa final'!$R$43),"")</f>
        <v/>
      </c>
      <c r="W44" s="53" t="str">
        <f>IF(AND('Mapa final'!$AH$38="Baja",'Mapa final'!$AJ$38="Moderado"),CONCATENATE("R2C",'Mapa final'!$R$38),"")</f>
        <v/>
      </c>
      <c r="X44" s="54" t="str">
        <f>IF(AND('Mapa final'!$AH$39="Baja",'Mapa final'!$AJ$39="Moderado"),CONCATENATE("R2C",'Mapa final'!$R$39),"")</f>
        <v/>
      </c>
      <c r="Y44" s="54" t="str">
        <f>IF(AND('Mapa final'!$AH$40="Baja",'Mapa final'!$AJ$40="Moderado"),CONCATENATE("R2C",'Mapa final'!$R$40),"")</f>
        <v/>
      </c>
      <c r="Z44" s="54" t="str">
        <f>IF(AND('Mapa final'!$AH$41="Baja",'Mapa final'!$AJ$41="Moderado"),CONCATENATE("R2C",'Mapa final'!$R$41),"")</f>
        <v/>
      </c>
      <c r="AA44" s="54" t="str">
        <f>IF(AND('Mapa final'!$AH$42="Baja",'Mapa final'!$AJ$42="Moderado"),CONCATENATE("R2C",'Mapa final'!$R$42),"")</f>
        <v/>
      </c>
      <c r="AB44" s="55" t="str">
        <f>IF(AND('Mapa final'!$AH$43="Baja",'Mapa final'!$AJ$43="Moderado"),CONCATENATE("R2C",'Mapa final'!$R$43),"")</f>
        <v/>
      </c>
      <c r="AC44" s="38" t="str">
        <f>IF(AND('Mapa final'!$AH$38="Baja",'Mapa final'!$AJ$38="Mayor"),CONCATENATE("R2C",'Mapa final'!$R$38),"")</f>
        <v/>
      </c>
      <c r="AD44" s="39" t="str">
        <f>IF(AND('Mapa final'!$AH$39="Baja",'Mapa final'!$AJ$39="Mayor"),CONCATENATE("R2C",'Mapa final'!$R$39),"")</f>
        <v/>
      </c>
      <c r="AE44" s="39" t="str">
        <f>IF(AND('Mapa final'!$AH$40="Baja",'Mapa final'!$AJ$40="Mayor"),CONCATENATE("R2C",'Mapa final'!$R$40),"")</f>
        <v/>
      </c>
      <c r="AF44" s="39" t="str">
        <f>IF(AND('Mapa final'!$AH$41="Baja",'Mapa final'!$AJ$41="Mayor"),CONCATENATE("R2C",'Mapa final'!$R$41),"")</f>
        <v/>
      </c>
      <c r="AG44" s="39" t="str">
        <f>IF(AND('Mapa final'!$AH$42="Baja",'Mapa final'!$AJ$42="Mayor"),CONCATENATE("R2C",'Mapa final'!$R$42),"")</f>
        <v/>
      </c>
      <c r="AH44" s="40" t="str">
        <f>IF(AND('Mapa final'!$AH$43="Baja",'Mapa final'!$AJ$43="Mayor"),CONCATENATE("R2C",'Mapa final'!$R$43),"")</f>
        <v/>
      </c>
      <c r="AI44" s="41" t="str">
        <f>IF(AND('Mapa final'!$AH$38="Baja",'Mapa final'!$AJ$38="Catastrófico"),CONCATENATE("R2C",'Mapa final'!$R$38),"")</f>
        <v/>
      </c>
      <c r="AJ44" s="42" t="str">
        <f>IF(AND('Mapa final'!$AH$39="Baja",'Mapa final'!$AJ$39="Catastrófico"),CONCATENATE("R2C",'Mapa final'!$R$39),"")</f>
        <v/>
      </c>
      <c r="AK44" s="42" t="str">
        <f>IF(AND('Mapa final'!$AH$40="Baja",'Mapa final'!$AJ$40="Catastrófico"),CONCATENATE("R2C",'Mapa final'!$R$40),"")</f>
        <v/>
      </c>
      <c r="AL44" s="42" t="str">
        <f>IF(AND('Mapa final'!$AH$41="Baja",'Mapa final'!$AJ$41="Catastrófico"),CONCATENATE("R2C",'Mapa final'!$R$41),"")</f>
        <v/>
      </c>
      <c r="AM44" s="42" t="str">
        <f>IF(AND('Mapa final'!$AH$42="Baja",'Mapa final'!$AJ$42="Catastrófico"),CONCATENATE("R2C",'Mapa final'!$R$42),"")</f>
        <v/>
      </c>
      <c r="AN44" s="43" t="str">
        <f>IF(AND('Mapa final'!$AH$43="Baja",'Mapa final'!$AJ$43="Catastrófico"),CONCATENATE("R2C",'Mapa final'!$R$43),"")</f>
        <v/>
      </c>
      <c r="AO44" s="68"/>
      <c r="AP44" s="446"/>
      <c r="AQ44" s="447"/>
      <c r="AR44" s="447"/>
      <c r="AS44" s="447"/>
      <c r="AT44" s="447"/>
      <c r="AU44" s="44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x14ac:dyDescent="0.25">
      <c r="B45" s="68"/>
      <c r="C45" s="371"/>
      <c r="D45" s="371"/>
      <c r="E45" s="372"/>
      <c r="F45" s="414"/>
      <c r="G45" s="415"/>
      <c r="H45" s="415"/>
      <c r="I45" s="415"/>
      <c r="J45" s="415"/>
      <c r="K45" s="62" t="str">
        <f>IF(AND('Mapa final'!$AH$44="Baja",'Mapa final'!$AJ$44="Leve"),CONCATENATE("R2C",'Mapa final'!$R$44),"")</f>
        <v/>
      </c>
      <c r="L45" s="63" t="str">
        <f>IF(AND('Mapa final'!$AH$45="Baja",'Mapa final'!$AJ$45="Leve"),CONCATENATE("R2C",'Mapa final'!$R$45),"")</f>
        <v/>
      </c>
      <c r="M45" s="63" t="str">
        <f>IF(AND('Mapa final'!$AH$46="Baja",'Mapa final'!$AJ$46="Leve"),CONCATENATE("R2C",'Mapa final'!$R$46),"")</f>
        <v/>
      </c>
      <c r="N45" s="63" t="str">
        <f>IF(AND('Mapa final'!$AH$47="Baja",'Mapa final'!$AJ$47="Leve"),CONCATENATE("R2C",'Mapa final'!$R$47),"")</f>
        <v/>
      </c>
      <c r="O45" s="63" t="str">
        <f>IF(AND('Mapa final'!$AH$48="Baja",'Mapa final'!$AJ$48="Leve"),CONCATENATE("R2C",'Mapa final'!$R$48),"")</f>
        <v/>
      </c>
      <c r="P45" s="64" t="str">
        <f>IF(AND('Mapa final'!$AH$49="Baja",'Mapa final'!$AJ$49="Leve"),CONCATENATE("R2C",'Mapa final'!$R$49),"")</f>
        <v/>
      </c>
      <c r="Q45" s="53" t="str">
        <f>IF(AND('Mapa final'!$AH$44="Baja",'Mapa final'!$AJ$44="Menor"),CONCATENATE("R2C",'Mapa final'!$R$44),"")</f>
        <v/>
      </c>
      <c r="R45" s="54" t="str">
        <f>IF(AND('Mapa final'!$AH$45="Baja",'Mapa final'!$AJ$45="Menor"),CONCATENATE("R2C",'Mapa final'!$R$45),"")</f>
        <v/>
      </c>
      <c r="S45" s="54" t="str">
        <f>IF(AND('Mapa final'!$AH$46="Baja",'Mapa final'!$AJ$46="Menor"),CONCATENATE("R2C",'Mapa final'!$R$46),"")</f>
        <v/>
      </c>
      <c r="T45" s="54" t="str">
        <f>IF(AND('Mapa final'!$AH$47="Baja",'Mapa final'!$AJ$47="Menor"),CONCATENATE("R2C",'Mapa final'!$R$47),"")</f>
        <v/>
      </c>
      <c r="U45" s="54" t="str">
        <f>IF(AND('Mapa final'!$AH$48="Baja",'Mapa final'!$AJ$48="LMenor"),CONCATENATE("R2C",'Mapa final'!$R$48),"")</f>
        <v/>
      </c>
      <c r="V45" s="55" t="str">
        <f>IF(AND('Mapa final'!$AH$49="Baja",'Mapa final'!$AJ$49="Menor"),CONCATENATE("R2C",'Mapa final'!$R$49),"")</f>
        <v/>
      </c>
      <c r="W45" s="53" t="str">
        <f>IF(AND('Mapa final'!$AH$44="Baja",'Mapa final'!$AJ$44="Moderado"),CONCATENATE("R2C",'Mapa final'!$R$44),"")</f>
        <v/>
      </c>
      <c r="X45" s="54" t="str">
        <f>IF(AND('Mapa final'!$AH$45="Baja",'Mapa final'!$AJ$45="Moderado"),CONCATENATE("R2C",'Mapa final'!$R$45),"")</f>
        <v/>
      </c>
      <c r="Y45" s="54" t="str">
        <f>IF(AND('Mapa final'!$AH$46="Baja",'Mapa final'!$AJ$46="Moderado"),CONCATENATE("R2C",'Mapa final'!$R$46),"")</f>
        <v/>
      </c>
      <c r="Z45" s="54" t="str">
        <f>IF(AND('Mapa final'!$AH$47="Baja",'Mapa final'!$AJ$47="Moderado"),CONCATENATE("R2C",'Mapa final'!$R$47),"")</f>
        <v/>
      </c>
      <c r="AA45" s="54" t="str">
        <f>IF(AND('Mapa final'!$AH$48="Baja",'Mapa final'!$AJ$48="Moderado"),CONCATENATE("R2C",'Mapa final'!$R$48),"")</f>
        <v/>
      </c>
      <c r="AB45" s="55" t="str">
        <f>IF(AND('Mapa final'!$AH$49="Baja",'Mapa final'!$AJ$49="Moderado"),CONCATENATE("R2C",'Mapa final'!$R$49),"")</f>
        <v/>
      </c>
      <c r="AC45" s="38" t="str">
        <f>IF(AND('Mapa final'!$AH$44="Baja",'Mapa final'!$AJ$44="Mayor"),CONCATENATE("R2C",'Mapa final'!$R$44),"")</f>
        <v/>
      </c>
      <c r="AD45" s="39" t="str">
        <f>IF(AND('Mapa final'!$AH$45="Baja",'Mapa final'!$AJ$45="Mayor"),CONCATENATE("R2C",'Mapa final'!$R$45),"")</f>
        <v/>
      </c>
      <c r="AE45" s="39" t="str">
        <f>IF(AND('Mapa final'!$AH$46="Baja",'Mapa final'!$AJ$46="Mayor"),CONCATENATE("R2C",'Mapa final'!$R$46),"")</f>
        <v/>
      </c>
      <c r="AF45" s="39" t="str">
        <f>IF(AND('Mapa final'!$AH$47="Baja",'Mapa final'!$AJ$47="Mayor"),CONCATENATE("R2C",'Mapa final'!$R$47),"")</f>
        <v/>
      </c>
      <c r="AG45" s="39" t="str">
        <f>IF(AND('Mapa final'!$AH$48="Baja",'Mapa final'!$AJ$48="Mayor"),CONCATENATE("R2C",'Mapa final'!$R$48),"")</f>
        <v/>
      </c>
      <c r="AH45" s="40" t="str">
        <f>IF(AND('Mapa final'!$AH$49="Baja",'Mapa final'!$AJ$49="Mayor"),CONCATENATE("R2C",'Mapa final'!$R$49),"")</f>
        <v/>
      </c>
      <c r="AI45" s="41" t="str">
        <f>IF(AND('Mapa final'!$AH$44="Baja",'Mapa final'!$AJ$44="Catastrófico"),CONCATENATE("R2C",'Mapa final'!$R$44),"")</f>
        <v/>
      </c>
      <c r="AJ45" s="42" t="str">
        <f>IF(AND('Mapa final'!$AH$45="Baja",'Mapa final'!$AJ$45="Catastrófico"),CONCATENATE("R2C",'Mapa final'!$R$45),"")</f>
        <v/>
      </c>
      <c r="AK45" s="42" t="str">
        <f>IF(AND('Mapa final'!$AH$46="Baja",'Mapa final'!$AJ$46="Catastrófico"),CONCATENATE("R2C",'Mapa final'!$R$46),"")</f>
        <v/>
      </c>
      <c r="AL45" s="42" t="str">
        <f>IF(AND('Mapa final'!$AH$47="Baja",'Mapa final'!$AJ$47="Catastrófico"),CONCATENATE("R2C",'Mapa final'!$R$47),"")</f>
        <v/>
      </c>
      <c r="AM45" s="42" t="str">
        <f>IF(AND('Mapa final'!$AH$48="Baja",'Mapa final'!$AJ$48="LCatastrófico"),CONCATENATE("R2C",'Mapa final'!$R$48),"")</f>
        <v/>
      </c>
      <c r="AN45" s="43" t="str">
        <f>IF(AND('Mapa final'!$AH$49="Baja",'Mapa final'!$AJ$49="Catastrófico"),CONCATENATE("R2C",'Mapa final'!$R$49),"")</f>
        <v/>
      </c>
      <c r="AO45" s="68"/>
      <c r="AP45" s="446"/>
      <c r="AQ45" s="447"/>
      <c r="AR45" s="447"/>
      <c r="AS45" s="447"/>
      <c r="AT45" s="447"/>
      <c r="AU45" s="44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x14ac:dyDescent="0.25">
      <c r="B46" s="68"/>
      <c r="C46" s="371"/>
      <c r="D46" s="371"/>
      <c r="E46" s="372"/>
      <c r="F46" s="414"/>
      <c r="G46" s="415"/>
      <c r="H46" s="415"/>
      <c r="I46" s="415"/>
      <c r="J46" s="415"/>
      <c r="K46" s="62" t="str">
        <f>IF(AND('Mapa final'!$AH$50="Baja",'Mapa final'!$AJ$50="Leve"),CONCATENATE("R2C",'Mapa final'!$R$50),"")</f>
        <v/>
      </c>
      <c r="L46" s="63" t="str">
        <f>IF(AND('Mapa final'!$AH$51="Baja",'Mapa final'!$AJ$51="Leve"),CONCATENATE("R2C",'Mapa final'!$R$51),"")</f>
        <v/>
      </c>
      <c r="M46" s="63" t="str">
        <f>IF(AND('Mapa final'!$AH$52="Baja",'Mapa final'!$AJ$52="Leve"),CONCATENATE("R2C",'Mapa final'!$R$52),"")</f>
        <v/>
      </c>
      <c r="N46" s="63" t="str">
        <f>IF(AND('Mapa final'!$AH$53="Baja",'Mapa final'!$AJ$53="Leve"),CONCATENATE("R2C",'Mapa final'!$R$53),"")</f>
        <v/>
      </c>
      <c r="O46" s="63" t="str">
        <f>IF(AND('Mapa final'!$AH$54="Baja",'Mapa final'!$AJ$54="Leve"),CONCATENATE("R2C",'Mapa final'!$R$54),"")</f>
        <v/>
      </c>
      <c r="P46" s="64" t="str">
        <f>IF(AND('Mapa final'!$AH$55="Baja",'Mapa final'!$AJ$55="Leve"),CONCATENATE("R2C",'Mapa final'!$R$55),"")</f>
        <v/>
      </c>
      <c r="Q46" s="53" t="str">
        <f>IF(AND('Mapa final'!$AH$50="Baja",'Mapa final'!$AJ$50="Menor"),CONCATENATE("R2C",'Mapa final'!$R$50),"")</f>
        <v/>
      </c>
      <c r="R46" s="54" t="str">
        <f>IF(AND('Mapa final'!$AH$51="Baja",'Mapa final'!$AJ$51="Menor"),CONCATENATE("R2C",'Mapa final'!$R$51),"")</f>
        <v/>
      </c>
      <c r="S46" s="54" t="str">
        <f>IF(AND('Mapa final'!$AH$52="Baja",'Mapa final'!$AJ$52="Menor"),CONCATENATE("R2C",'Mapa final'!$R$52),"")</f>
        <v/>
      </c>
      <c r="T46" s="54" t="str">
        <f>IF(AND('Mapa final'!$AH$53="Baja",'Mapa final'!$AJ$53="Menor"),CONCATENATE("R2C",'Mapa final'!$R$53),"")</f>
        <v/>
      </c>
      <c r="U46" s="54" t="str">
        <f>IF(AND('Mapa final'!$AH$54="Baja",'Mapa final'!$AJ$54="Menor"),CONCATENATE("R2C",'Mapa final'!$R$54),"")</f>
        <v/>
      </c>
      <c r="V46" s="55" t="str">
        <f>IF(AND('Mapa final'!$AH$55="Baja",'Mapa final'!$AJ$55="Menor"),CONCATENATE("R2C",'Mapa final'!$R$55),"")</f>
        <v/>
      </c>
      <c r="W46" s="53" t="str">
        <f>IF(AND('Mapa final'!$AH$50="Baja",'Mapa final'!$AJ$50="Moderado"),CONCATENATE("R2C",'Mapa final'!$R$50),"")</f>
        <v/>
      </c>
      <c r="X46" s="54" t="str">
        <f>IF(AND('Mapa final'!$AH$51="Baja",'Mapa final'!$AJ$51="Moderado"),CONCATENATE("R2C",'Mapa final'!$R$51),"")</f>
        <v/>
      </c>
      <c r="Y46" s="54" t="str">
        <f>IF(AND('Mapa final'!$AH$52="Baja",'Mapa final'!$AJ$52="Moderado"),CONCATENATE("R2C",'Mapa final'!$R$52),"")</f>
        <v/>
      </c>
      <c r="Z46" s="54" t="str">
        <f>IF(AND('Mapa final'!$AH$53="Baja",'Mapa final'!$AJ$53="Moderado"),CONCATENATE("R2C",'Mapa final'!$R$53),"")</f>
        <v/>
      </c>
      <c r="AA46" s="54" t="str">
        <f>IF(AND('Mapa final'!$AH$54="Baja",'Mapa final'!$AJ$54="Moderado"),CONCATENATE("R2C",'Mapa final'!$R$54),"")</f>
        <v/>
      </c>
      <c r="AB46" s="55" t="str">
        <f>IF(AND('Mapa final'!$AH$55="Baja",'Mapa final'!$AJ$55="Moderado"),CONCATENATE("R2C",'Mapa final'!$R$55),"")</f>
        <v/>
      </c>
      <c r="AC46" s="38" t="str">
        <f>IF(AND('Mapa final'!$AH$50="Baja",'Mapa final'!$AJ$50="Mayor"),CONCATENATE("R2C",'Mapa final'!$R$50),"")</f>
        <v/>
      </c>
      <c r="AD46" s="39" t="str">
        <f>IF(AND('Mapa final'!$AH$51="Baja",'Mapa final'!$AJ$51="Mayor"),CONCATENATE("R2C",'Mapa final'!$R$51),"")</f>
        <v/>
      </c>
      <c r="AE46" s="39" t="str">
        <f>IF(AND('Mapa final'!$AH$52="Baja",'Mapa final'!$AJ$52="Mayor"),CONCATENATE("R2C",'Mapa final'!$R$52),"")</f>
        <v/>
      </c>
      <c r="AF46" s="39" t="str">
        <f>IF(AND('Mapa final'!$AH$53="Baja",'Mapa final'!$AJ$53="Mayor"),CONCATENATE("R2C",'Mapa final'!$R$53),"")</f>
        <v/>
      </c>
      <c r="AG46" s="39" t="str">
        <f>IF(AND('Mapa final'!$AH$54="Baja",'Mapa final'!$AJ$54="Mayor"),CONCATENATE("R2C",'Mapa final'!$R$54),"")</f>
        <v/>
      </c>
      <c r="AH46" s="40" t="str">
        <f>IF(AND('Mapa final'!$AH$55="Baja",'Mapa final'!$AJ$55="Mayor"),CONCATENATE("R2C",'Mapa final'!$R$55),"")</f>
        <v/>
      </c>
      <c r="AI46" s="41" t="str">
        <f>IF(AND('Mapa final'!$AH$50="Baja",'Mapa final'!$AJ$50="Catastrófico"),CONCATENATE("R2C",'Mapa final'!$R$50),"")</f>
        <v/>
      </c>
      <c r="AJ46" s="42" t="str">
        <f>IF(AND('Mapa final'!$AH$51="Baja",'Mapa final'!$AJ$51="Catastrófico"),CONCATENATE("R2C",'Mapa final'!$R$51),"")</f>
        <v/>
      </c>
      <c r="AK46" s="42" t="str">
        <f>IF(AND('Mapa final'!$AH$52="Baja",'Mapa final'!$AJ$52="Catastrófico"),CONCATENATE("R2C",'Mapa final'!$R$52),"")</f>
        <v/>
      </c>
      <c r="AL46" s="42" t="str">
        <f>IF(AND('Mapa final'!$AH$53="Baja",'Mapa final'!$AJ$53="Catastrófico"),CONCATENATE("R2C",'Mapa final'!$R$53),"")</f>
        <v/>
      </c>
      <c r="AM46" s="42" t="str">
        <f>IF(AND('Mapa final'!$AH$54="Baja",'Mapa final'!$AJ$54="Catastrófico"),CONCATENATE("R2C",'Mapa final'!$R$54),"")</f>
        <v/>
      </c>
      <c r="AN46" s="43" t="str">
        <f>IF(AND('Mapa final'!$AH$55="Baja",'Mapa final'!$AJ$55="Catastrófico"),CONCATENATE("R2C",'Mapa final'!$R$55),"")</f>
        <v/>
      </c>
      <c r="AO46" s="68"/>
      <c r="AP46" s="446"/>
      <c r="AQ46" s="447"/>
      <c r="AR46" s="447"/>
      <c r="AS46" s="447"/>
      <c r="AT46" s="447"/>
      <c r="AU46" s="44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x14ac:dyDescent="0.25">
      <c r="B47" s="68"/>
      <c r="C47" s="371"/>
      <c r="D47" s="371"/>
      <c r="E47" s="372"/>
      <c r="F47" s="414"/>
      <c r="G47" s="415"/>
      <c r="H47" s="415"/>
      <c r="I47" s="415"/>
      <c r="J47" s="415"/>
      <c r="K47" s="62" t="str">
        <f>IF(AND('Mapa final'!$AH$56="Baja",'Mapa final'!$AJ$56="Leve"),CONCATENATE("R2C",'Mapa final'!$R$56),"")</f>
        <v/>
      </c>
      <c r="L47" s="63" t="str">
        <f>IF(AND('Mapa final'!$AH$57="Baja",'Mapa final'!$AJ$57="Leve"),CONCATENATE("R2C",'Mapa final'!$R$57),"")</f>
        <v/>
      </c>
      <c r="M47" s="63" t="str">
        <f>IF(AND('Mapa final'!$AH$58="Baja",'Mapa final'!$AJ$58="Leve"),CONCATENATE("R2C",'Mapa final'!$R$58),"")</f>
        <v/>
      </c>
      <c r="N47" s="63" t="str">
        <f>IF(AND('Mapa final'!$AH$59="Baja",'Mapa final'!$AJ$59="Leve"),CONCATENATE("R2C",'Mapa final'!$R$59),"")</f>
        <v/>
      </c>
      <c r="O47" s="63" t="str">
        <f>IF(AND('Mapa final'!$AH$60="Baja",'Mapa final'!$AJ$60="Leve"),CONCATENATE("R2C",'Mapa final'!$R$60),"")</f>
        <v/>
      </c>
      <c r="P47" s="64" t="str">
        <f>IF(AND('Mapa final'!$AH$71="Baja",'Mapa final'!$AJ$61="Leve"),CONCATENATE("R2C",'Mapa final'!$R$61),"")</f>
        <v/>
      </c>
      <c r="Q47" s="53" t="str">
        <f>IF(AND('Mapa final'!$AH$56="Baja",'Mapa final'!$AJ$56="Menor"),CONCATENATE("R2C",'Mapa final'!$R$56),"")</f>
        <v/>
      </c>
      <c r="R47" s="54" t="str">
        <f>IF(AND('Mapa final'!$AH$57="Baja",'Mapa final'!$AJ$57="Menor"),CONCATENATE("R2C",'Mapa final'!$R$57),"")</f>
        <v/>
      </c>
      <c r="S47" s="54" t="str">
        <f>IF(AND('Mapa final'!$AH$58="Baja",'Mapa final'!$AJ$58="Menor"),CONCATENATE("R2C",'Mapa final'!$R$58),"")</f>
        <v/>
      </c>
      <c r="T47" s="54" t="str">
        <f>IF(AND('Mapa final'!$AH$59="Baja",'Mapa final'!$AJ$59="Menor"),CONCATENATE("R2C",'Mapa final'!$R$59),"")</f>
        <v/>
      </c>
      <c r="U47" s="54" t="str">
        <f>IF(AND('Mapa final'!$AH$60="Baja",'Mapa final'!$AJ$60="Menor"),CONCATENATE("R2C",'Mapa final'!$R$60),"")</f>
        <v/>
      </c>
      <c r="V47" s="55" t="str">
        <f>IF(AND('Mapa final'!$AH$71="Baja",'Mapa final'!$AJ$61="Menor"),CONCATENATE("R2C",'Mapa final'!$R$61),"")</f>
        <v/>
      </c>
      <c r="W47" s="53" t="str">
        <f>IF(AND('Mapa final'!$AH$56="Baja",'Mapa final'!$AJ$56="Moderado"),CONCATENATE("R2C",'Mapa final'!$R$56),"")</f>
        <v/>
      </c>
      <c r="X47" s="54" t="str">
        <f>IF(AND('Mapa final'!$AH$57="Baja",'Mapa final'!$AJ$57="Moderado"),CONCATENATE("R2C",'Mapa final'!$R$57),"")</f>
        <v/>
      </c>
      <c r="Y47" s="54" t="str">
        <f>IF(AND('Mapa final'!$AH$58="Baja",'Mapa final'!$AJ$58="Moderado"),CONCATENATE("R2C",'Mapa final'!$R$58),"")</f>
        <v/>
      </c>
      <c r="Z47" s="54" t="str">
        <f>IF(AND('Mapa final'!$AH$59="Baja",'Mapa final'!$AJ$59="Moderado"),CONCATENATE("R2C",'Mapa final'!$R$59),"")</f>
        <v/>
      </c>
      <c r="AA47" s="54" t="str">
        <f>IF(AND('Mapa final'!$AH$60="Baja",'Mapa final'!$AJ$60="Moderado"),CONCATENATE("R2C",'Mapa final'!$R$60),"")</f>
        <v/>
      </c>
      <c r="AB47" s="55" t="str">
        <f>IF(AND('Mapa final'!$AH$71="Baja",'Mapa final'!$AJ$61="Moderado"),CONCATENATE("R2C",'Mapa final'!$R$61),"")</f>
        <v/>
      </c>
      <c r="AC47" s="38" t="str">
        <f>IF(AND('Mapa final'!$AH$56="Baja",'Mapa final'!$AJ$56="Mayor"),CONCATENATE("R2C",'Mapa final'!$R$56),"")</f>
        <v/>
      </c>
      <c r="AD47" s="39" t="str">
        <f>IF(AND('Mapa final'!$AH$57="Baja",'Mapa final'!$AJ$57="Mayor"),CONCATENATE("R2C",'Mapa final'!$R$57),"")</f>
        <v/>
      </c>
      <c r="AE47" s="39" t="str">
        <f>IF(AND('Mapa final'!$AH$58="Baja",'Mapa final'!$AJ$58="Mayor"),CONCATENATE("R2C",'Mapa final'!$R$58),"")</f>
        <v/>
      </c>
      <c r="AF47" s="39" t="str">
        <f>IF(AND('Mapa final'!$AH$59="Baja",'Mapa final'!$AJ$59="Mayor"),CONCATENATE("R2C",'Mapa final'!$R$59),"")</f>
        <v/>
      </c>
      <c r="AG47" s="39" t="str">
        <f>IF(AND('Mapa final'!$AH$60="Baja",'Mapa final'!$AJ$60="Mayor"),CONCATENATE("R2C",'Mapa final'!$R$60),"")</f>
        <v/>
      </c>
      <c r="AH47" s="40" t="str">
        <f>IF(AND('Mapa final'!$AH$71="Baja",'Mapa final'!$AJ$61="Mayor"),CONCATENATE("R2C",'Mapa final'!$R$61),"")</f>
        <v/>
      </c>
      <c r="AI47" s="41" t="str">
        <f>IF(AND('Mapa final'!$AH$56="Baja",'Mapa final'!$AJ$56="Catastrófico"),CONCATENATE("R2C",'Mapa final'!$R$56),"")</f>
        <v/>
      </c>
      <c r="AJ47" s="42" t="str">
        <f>IF(AND('Mapa final'!$AH$57="Baja",'Mapa final'!$AJ$57="Catastrófico"),CONCATENATE("R2C",'Mapa final'!$R$57),"")</f>
        <v/>
      </c>
      <c r="AK47" s="42" t="str">
        <f>IF(AND('Mapa final'!$AH$58="Baja",'Mapa final'!$AJ$58="Catastrófico"),CONCATENATE("R2C",'Mapa final'!$R$58),"")</f>
        <v/>
      </c>
      <c r="AL47" s="42" t="str">
        <f>IF(AND('Mapa final'!$AH$59="Baja",'Mapa final'!$AJ$59="Catastrófico"),CONCATENATE("R2C",'Mapa final'!$R$59),"")</f>
        <v/>
      </c>
      <c r="AM47" s="42" t="str">
        <f>IF(AND('Mapa final'!$AH$60="Baja",'Mapa final'!$AJ$60="Catastrófico"),CONCATENATE("R2C",'Mapa final'!$R$60),"")</f>
        <v/>
      </c>
      <c r="AN47" s="43" t="str">
        <f>IF(AND('Mapa final'!$AH$71="Baja",'Mapa final'!$AJ$61="Catastrófico"),CONCATENATE("R2C",'Mapa final'!$R$61),"")</f>
        <v/>
      </c>
      <c r="AO47" s="68"/>
      <c r="AP47" s="446"/>
      <c r="AQ47" s="447"/>
      <c r="AR47" s="447"/>
      <c r="AS47" s="447"/>
      <c r="AT47" s="447"/>
      <c r="AU47" s="44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x14ac:dyDescent="0.25">
      <c r="B48" s="68"/>
      <c r="C48" s="371"/>
      <c r="D48" s="371"/>
      <c r="E48" s="372"/>
      <c r="F48" s="414"/>
      <c r="G48" s="415"/>
      <c r="H48" s="415"/>
      <c r="I48" s="415"/>
      <c r="J48" s="415"/>
      <c r="K48" s="62" t="str">
        <f>IF(AND('Mapa final'!$AH$62="Baja",'Mapa final'!$AJ$62="Leve"),CONCATENATE("R2C",'Mapa final'!$R$62),"")</f>
        <v/>
      </c>
      <c r="L48" s="63" t="str">
        <f>IF(AND('Mapa final'!$AH$63="Baja",'Mapa final'!$AJ$63="Leve"),CONCATENATE("R2C",'Mapa final'!$R$63),"")</f>
        <v/>
      </c>
      <c r="M48" s="63" t="str">
        <f>IF(AND('Mapa final'!$AH$64="Baja",'Mapa final'!$AJ$64="Leve"),CONCATENATE("R2C",'Mapa final'!$R$64),"")</f>
        <v/>
      </c>
      <c r="N48" s="63" t="str">
        <f>IF(AND('Mapa final'!$AH$65="Baja",'Mapa final'!$AJ$65="Leve"),CONCATENATE("R2C",'Mapa final'!$R$65),"")</f>
        <v/>
      </c>
      <c r="O48" s="63" t="str">
        <f>IF(AND('Mapa final'!$AH$66="Baja",'Mapa final'!$AJ$66="Leve"),CONCATENATE("R2C",'Mapa final'!$R$66),"")</f>
        <v/>
      </c>
      <c r="P48" s="64" t="str">
        <f>IF(AND('Mapa final'!$AH$67="Baja",'Mapa final'!$AJ$67="Leve"),CONCATENATE("R2C",'Mapa final'!$R$67),"")</f>
        <v/>
      </c>
      <c r="Q48" s="53" t="str">
        <f>IF(AND('Mapa final'!$AH$62="Baja",'Mapa final'!$AJ$62="Menor"),CONCATENATE("R2C",'Mapa final'!$R$62),"")</f>
        <v/>
      </c>
      <c r="R48" s="54" t="str">
        <f>IF(AND('Mapa final'!$AH$63="Baja",'Mapa final'!$AJ$63="Menor"),CONCATENATE("R2C",'Mapa final'!$R$63),"")</f>
        <v/>
      </c>
      <c r="S48" s="54" t="str">
        <f>IF(AND('Mapa final'!$AH$64="Baja",'Mapa final'!$AJ$64="Menor"),CONCATENATE("R2C",'Mapa final'!$R$64),"")</f>
        <v/>
      </c>
      <c r="T48" s="54" t="str">
        <f>IF(AND('Mapa final'!$AH$65="Baja",'Mapa final'!$AJ$65="Menor"),CONCATENATE("R2C",'Mapa final'!$R$65),"")</f>
        <v/>
      </c>
      <c r="U48" s="54" t="str">
        <f>IF(AND('Mapa final'!$AH$66="Baja",'Mapa final'!$AJ$66="Menor"),CONCATENATE("R2C",'Mapa final'!$R$66),"")</f>
        <v/>
      </c>
      <c r="V48" s="55" t="str">
        <f>IF(AND('Mapa final'!$AH$67="Baja",'Mapa final'!$AJ$67="Menor"),CONCATENATE("R2C",'Mapa final'!$R$67),"")</f>
        <v/>
      </c>
      <c r="W48" s="53" t="str">
        <f>IF(AND('Mapa final'!$AH$62="Baja",'Mapa final'!$AJ$62="Moderado"),CONCATENATE("R2C",'Mapa final'!$R$62),"")</f>
        <v/>
      </c>
      <c r="X48" s="54" t="str">
        <f>IF(AND('Mapa final'!$AH$63="Baja",'Mapa final'!$AJ$63="Moderado"),CONCATENATE("R2C",'Mapa final'!$R$63),"")</f>
        <v/>
      </c>
      <c r="Y48" s="54" t="str">
        <f>IF(AND('Mapa final'!$AH$64="Baja",'Mapa final'!$AJ$64="Moderado"),CONCATENATE("R2C",'Mapa final'!$R$64),"")</f>
        <v/>
      </c>
      <c r="Z48" s="54" t="str">
        <f>IF(AND('Mapa final'!$AH$65="Baja",'Mapa final'!$AJ$65="Moderado"),CONCATENATE("R2C",'Mapa final'!$R$65),"")</f>
        <v/>
      </c>
      <c r="AA48" s="54" t="str">
        <f>IF(AND('Mapa final'!$AH$66="Baja",'Mapa final'!$AJ$66="Moderado"),CONCATENATE("R2C",'Mapa final'!$R$66),"")</f>
        <v/>
      </c>
      <c r="AB48" s="55" t="str">
        <f>IF(AND('Mapa final'!$AH$67="Baja",'Mapa final'!$AJ$67="Moderado"),CONCATENATE("R2C",'Mapa final'!$R$67),"")</f>
        <v/>
      </c>
      <c r="AC48" s="38" t="str">
        <f>IF(AND('Mapa final'!$AH$62="Baja",'Mapa final'!$AJ$62="Mayor"),CONCATENATE("R2C",'Mapa final'!$R$62),"")</f>
        <v/>
      </c>
      <c r="AD48" s="39" t="str">
        <f>IF(AND('Mapa final'!$AH$63="Baja",'Mapa final'!$AJ$63="Mayor"),CONCATENATE("R2C",'Mapa final'!$R$63),"")</f>
        <v/>
      </c>
      <c r="AE48" s="39" t="str">
        <f>IF(AND('Mapa final'!$AH$64="Baja",'Mapa final'!$AJ$64="Mayor"),CONCATENATE("R2C",'Mapa final'!$R$64),"")</f>
        <v/>
      </c>
      <c r="AF48" s="39" t="str">
        <f>IF(AND('Mapa final'!$AH$65="Baja",'Mapa final'!$AJ$65="Mayor"),CONCATENATE("R2C",'Mapa final'!$R$65),"")</f>
        <v/>
      </c>
      <c r="AG48" s="39" t="str">
        <f>IF(AND('Mapa final'!$AH$66="Baja",'Mapa final'!$AJ$66="Mayor"),CONCATENATE("R2C",'Mapa final'!$R$66),"")</f>
        <v/>
      </c>
      <c r="AH48" s="40" t="str">
        <f>IF(AND('Mapa final'!$AH$67="Baja",'Mapa final'!$AJ$67="Mayor"),CONCATENATE("R2C",'Mapa final'!$R$67),"")</f>
        <v/>
      </c>
      <c r="AI48" s="41" t="str">
        <f>IF(AND('Mapa final'!$AH$62="Baja",'Mapa final'!$AJ$62="Catastrófico"),CONCATENATE("R2C",'Mapa final'!$R$62),"")</f>
        <v/>
      </c>
      <c r="AJ48" s="42" t="str">
        <f>IF(AND('Mapa final'!$AH$63="Baja",'Mapa final'!$AJ$63="Catastrófico"),CONCATENATE("R2C",'Mapa final'!$R$63),"")</f>
        <v/>
      </c>
      <c r="AK48" s="42" t="str">
        <f>IF(AND('Mapa final'!$AH$64="Baja",'Mapa final'!$AJ$64="Catastrófico"),CONCATENATE("R2C",'Mapa final'!$R$64),"")</f>
        <v/>
      </c>
      <c r="AL48" s="42" t="str">
        <f>IF(AND('Mapa final'!$AH$65="Baja",'Mapa final'!$AJ$65="Catastrófico"),CONCATENATE("R2C",'Mapa final'!$R$65),"")</f>
        <v/>
      </c>
      <c r="AM48" s="42" t="str">
        <f>IF(AND('Mapa final'!$AH$66="Baja",'Mapa final'!$AJ$66="Catastrófico"),CONCATENATE("R2C",'Mapa final'!$R$66),"")</f>
        <v/>
      </c>
      <c r="AN48" s="43" t="str">
        <f>IF(AND('Mapa final'!$AH$67="Baja",'Mapa final'!$AJ$67="Catastrófico"),CONCATENATE("R2C",'Mapa final'!$R$67),"")</f>
        <v/>
      </c>
      <c r="AO48" s="68"/>
      <c r="AP48" s="446"/>
      <c r="AQ48" s="447"/>
      <c r="AR48" s="447"/>
      <c r="AS48" s="447"/>
      <c r="AT48" s="447"/>
      <c r="AU48" s="44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x14ac:dyDescent="0.25">
      <c r="B49" s="68"/>
      <c r="C49" s="371"/>
      <c r="D49" s="371"/>
      <c r="E49" s="372"/>
      <c r="F49" s="414"/>
      <c r="G49" s="415"/>
      <c r="H49" s="415"/>
      <c r="I49" s="415"/>
      <c r="J49" s="415"/>
      <c r="K49" s="62" t="str">
        <f>IF(AND('Mapa final'!$AH$68="Baja",'Mapa final'!$AJ$68="Leve"),CONCATENATE("R2C",'Mapa final'!$R$68),"")</f>
        <v/>
      </c>
      <c r="L49" s="63" t="str">
        <f>IF(AND('Mapa final'!$AH$69="Baja",'Mapa final'!$AJ$69="Leve"),CONCATENATE("R2C",'Mapa final'!$R$69),"")</f>
        <v/>
      </c>
      <c r="M49" s="63" t="str">
        <f>IF(AND('Mapa final'!$AH$70="Baja",'Mapa final'!$AJ$70="Leve"),CONCATENATE("R2C",'Mapa final'!$R$70),"")</f>
        <v/>
      </c>
      <c r="N49" s="63" t="str">
        <f>IF(AND('Mapa final'!$AH$71="Baja",'Mapa final'!$AJ$71="Leve"),CONCATENATE("R2C",'Mapa final'!$R$71),"")</f>
        <v/>
      </c>
      <c r="O49" s="63" t="str">
        <f>IF(AND('Mapa final'!$AH$72="Baja",'Mapa final'!$AJ$72="Leve"),CONCATENATE("R2C",'Mapa final'!$R$72),"")</f>
        <v/>
      </c>
      <c r="P49" s="64" t="str">
        <f>IF(AND('Mapa final'!$AH$73="Baja",'Mapa final'!$AJ$73="Leve"),CONCATENATE("R2C",'Mapa final'!$R$73),"")</f>
        <v/>
      </c>
      <c r="Q49" s="53" t="str">
        <f>IF(AND('Mapa final'!$AH$68="Baja",'Mapa final'!$AJ$68="Menor"),CONCATENATE("R2C",'Mapa final'!$R$68),"")</f>
        <v/>
      </c>
      <c r="R49" s="54" t="str">
        <f>IF(AND('Mapa final'!$AH$69="Baja",'Mapa final'!$AJ$69="Menor"),CONCATENATE("R2C",'Mapa final'!$R$69),"")</f>
        <v/>
      </c>
      <c r="S49" s="54" t="str">
        <f>IF(AND('Mapa final'!$AH$70="Baja",'Mapa final'!$AJ$70="Menor"),CONCATENATE("R2C",'Mapa final'!$R$70),"")</f>
        <v/>
      </c>
      <c r="T49" s="54" t="str">
        <f>IF(AND('Mapa final'!$AH$71="Baja",'Mapa final'!$AJ$71="Menor"),CONCATENATE("R2C",'Mapa final'!$R$71),"")</f>
        <v/>
      </c>
      <c r="U49" s="54" t="str">
        <f>IF(AND('Mapa final'!$AH$72="Baja",'Mapa final'!$AJ$72="Menor"),CONCATENATE("R2C",'Mapa final'!$R$72),"")</f>
        <v/>
      </c>
      <c r="V49" s="55" t="str">
        <f>IF(AND('Mapa final'!$AH$73="Baja",'Mapa final'!$AJ$73="Menor"),CONCATENATE("R2C",'Mapa final'!$R$73),"")</f>
        <v/>
      </c>
      <c r="W49" s="53" t="str">
        <f>IF(AND('Mapa final'!$AH$68="Baja",'Mapa final'!$AJ$68="Moderado"),CONCATENATE("R2C",'Mapa final'!$R$68),"")</f>
        <v/>
      </c>
      <c r="X49" s="54" t="str">
        <f>IF(AND('Mapa final'!$AH$69="Baja",'Mapa final'!$AJ$69="Moderado"),CONCATENATE("R2C",'Mapa final'!$R$69),"")</f>
        <v/>
      </c>
      <c r="Y49" s="54" t="str">
        <f>IF(AND('Mapa final'!$AH$70="Baja",'Mapa final'!$AJ$70="Moderado"),CONCATENATE("R2C",'Mapa final'!$R$70),"")</f>
        <v/>
      </c>
      <c r="Z49" s="54" t="str">
        <f>IF(AND('Mapa final'!$AH$71="Baja",'Mapa final'!$AJ$71="Moderado"),CONCATENATE("R2C",'Mapa final'!$R$71),"")</f>
        <v/>
      </c>
      <c r="AA49" s="54" t="str">
        <f>IF(AND('Mapa final'!$AH$72="Baja",'Mapa final'!$AJ$72="Moderado"),CONCATENATE("R2C",'Mapa final'!$R$72),"")</f>
        <v/>
      </c>
      <c r="AB49" s="55" t="str">
        <f>IF(AND('Mapa final'!$AH$73="Baja",'Mapa final'!$AJ$73="Moderado"),CONCATENATE("R2C",'Mapa final'!$R$73),"")</f>
        <v/>
      </c>
      <c r="AC49" s="38" t="str">
        <f>IF(AND('Mapa final'!$AH$68="Baja",'Mapa final'!$AJ$68="Mayor"),CONCATENATE("R2C",'Mapa final'!$R$68),"")</f>
        <v/>
      </c>
      <c r="AD49" s="39" t="str">
        <f>IF(AND('Mapa final'!$AH$69="Baja",'Mapa final'!$AJ$69="Mayor"),CONCATENATE("R2C",'Mapa final'!$R$69),"")</f>
        <v/>
      </c>
      <c r="AE49" s="39" t="str">
        <f>IF(AND('Mapa final'!$AH$70="Baja",'Mapa final'!$AJ$70="Mayor"),CONCATENATE("R2C",'Mapa final'!$R$70),"")</f>
        <v/>
      </c>
      <c r="AF49" s="39" t="str">
        <f>IF(AND('Mapa final'!$AH$71="Baja",'Mapa final'!$AJ$71="Mayor"),CONCATENATE("R2C",'Mapa final'!$R$71),"")</f>
        <v/>
      </c>
      <c r="AG49" s="39" t="str">
        <f>IF(AND('Mapa final'!$AH$72="Baja",'Mapa final'!$AJ$72="Mayor"),CONCATENATE("R2C",'Mapa final'!$R$72),"")</f>
        <v/>
      </c>
      <c r="AH49" s="40" t="str">
        <f>IF(AND('Mapa final'!$AH$73="Baja",'Mapa final'!$AJ$73="Mayor"),CONCATENATE("R2C",'Mapa final'!$R$73),"")</f>
        <v/>
      </c>
      <c r="AI49" s="41" t="str">
        <f>IF(AND('Mapa final'!$AH$68="Baja",'Mapa final'!$AJ$68="Catastrófico"),CONCATENATE("R2C",'Mapa final'!$R$68),"")</f>
        <v/>
      </c>
      <c r="AJ49" s="42" t="str">
        <f>IF(AND('Mapa final'!$AH$69="Baja",'Mapa final'!$AJ$69="Catastrófico"),CONCATENATE("R2C",'Mapa final'!$R$69),"")</f>
        <v/>
      </c>
      <c r="AK49" s="42" t="str">
        <f>IF(AND('Mapa final'!$AH$70="Baja",'Mapa final'!$AJ$70="Catastrófico"),CONCATENATE("R2C",'Mapa final'!$R$70),"")</f>
        <v/>
      </c>
      <c r="AL49" s="42" t="str">
        <f>IF(AND('Mapa final'!$AH$71="Baja",'Mapa final'!$AJ$71="Catastrófico"),CONCATENATE("R2C",'Mapa final'!$R$71),"")</f>
        <v/>
      </c>
      <c r="AM49" s="42" t="str">
        <f>IF(AND('Mapa final'!$AH$72="Baja",'Mapa final'!$AJ$72="Catastrófico"),CONCATENATE("R2C",'Mapa final'!$R$72),"")</f>
        <v/>
      </c>
      <c r="AN49" s="43" t="str">
        <f>IF(AND('Mapa final'!$AH$73="Baja",'Mapa final'!$AJ$73="Catastrófico"),CONCATENATE("R2C",'Mapa final'!$R$73),"")</f>
        <v/>
      </c>
      <c r="AO49" s="68"/>
      <c r="AP49" s="446"/>
      <c r="AQ49" s="447"/>
      <c r="AR49" s="447"/>
      <c r="AS49" s="447"/>
      <c r="AT49" s="447"/>
      <c r="AU49" s="44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x14ac:dyDescent="0.25">
      <c r="B50" s="68"/>
      <c r="C50" s="371"/>
      <c r="D50" s="371"/>
      <c r="E50" s="372"/>
      <c r="F50" s="414"/>
      <c r="G50" s="415"/>
      <c r="H50" s="415"/>
      <c r="I50" s="415"/>
      <c r="J50" s="415"/>
      <c r="K50" s="62" t="str">
        <f>IF(AND('Mapa final'!$AH$74="Baja",'Mapa final'!$AJ$74="Leve"),CONCATENATE("R2C",'Mapa final'!$R$74),"")</f>
        <v/>
      </c>
      <c r="L50" s="63" t="str">
        <f>IF(AND('Mapa final'!$AH$75="Baja",'Mapa final'!$AJ$75="Leve"),CONCATENATE("R2C",'Mapa final'!$R$75),"")</f>
        <v/>
      </c>
      <c r="M50" s="63" t="str">
        <f>IF(AND('Mapa final'!$AH$76="Baja",'Mapa final'!$AJ$76="Leve"),CONCATENATE("R2C",'Mapa final'!$R$76),"")</f>
        <v/>
      </c>
      <c r="N50" s="63" t="str">
        <f>IF(AND('Mapa final'!$AH$77="Baja",'Mapa final'!$AJ$77="Leve"),CONCATENATE("R2C",'Mapa final'!$R$77),"")</f>
        <v/>
      </c>
      <c r="O50" s="63" t="str">
        <f>IF(AND('Mapa final'!$AH$78="Baja",'Mapa final'!$AJ$78="Leve"),CONCATENATE("R2C",'Mapa final'!$R$78),"")</f>
        <v/>
      </c>
      <c r="P50" s="64" t="str">
        <f>IF(AND('Mapa final'!$AH$79="Baja",'Mapa final'!$AJ$79="Leve"),CONCATENATE("R2C",'Mapa final'!$R$79),"")</f>
        <v/>
      </c>
      <c r="Q50" s="53" t="str">
        <f>IF(AND('Mapa final'!$AH$74="Baja",'Mapa final'!$AJ$74="Menor"),CONCATENATE("R2C",'Mapa final'!$R$74),"")</f>
        <v/>
      </c>
      <c r="R50" s="54" t="str">
        <f>IF(AND('Mapa final'!$AH$75="Baja",'Mapa final'!$AJ$75="Menor"),CONCATENATE("R2C",'Mapa final'!$R$75),"")</f>
        <v/>
      </c>
      <c r="S50" s="54" t="str">
        <f>IF(AND('Mapa final'!$AH$76="Baja",'Mapa final'!$AJ$76="Menor"),CONCATENATE("R2C",'Mapa final'!$R$76),"")</f>
        <v/>
      </c>
      <c r="T50" s="54" t="str">
        <f>IF(AND('Mapa final'!$AH$77="Baja",'Mapa final'!$AJ$77="Menor"),CONCATENATE("R2C",'Mapa final'!$R$77),"")</f>
        <v/>
      </c>
      <c r="U50" s="54" t="str">
        <f>IF(AND('Mapa final'!$AH$78="Baja",'Mapa final'!$AJ$78="Menor"),CONCATENATE("R2C",'Mapa final'!$R$78),"")</f>
        <v/>
      </c>
      <c r="V50" s="55" t="str">
        <f>IF(AND('Mapa final'!$AH$79="Baja",'Mapa final'!$AJ$79="Menor"),CONCATENATE("R2C",'Mapa final'!$R$79),"")</f>
        <v/>
      </c>
      <c r="W50" s="53" t="str">
        <f>IF(AND('Mapa final'!$AH$74="Baja",'Mapa final'!$AJ$74="Moderado"),CONCATENATE("R2C",'Mapa final'!$R$74),"")</f>
        <v/>
      </c>
      <c r="X50" s="54" t="str">
        <f>IF(AND('Mapa final'!$AH$75="Baja",'Mapa final'!$AJ$75="Moderado"),CONCATENATE("R2C",'Mapa final'!$R$75),"")</f>
        <v/>
      </c>
      <c r="Y50" s="54" t="str">
        <f>IF(AND('Mapa final'!$AH$76="Baja",'Mapa final'!$AJ$76="Moderado"),CONCATENATE("R2C",'Mapa final'!$R$76),"")</f>
        <v/>
      </c>
      <c r="Z50" s="54" t="str">
        <f>IF(AND('Mapa final'!$AH$77="Baja",'Mapa final'!$AJ$77="Moderado"),CONCATENATE("R2C",'Mapa final'!$R$77),"")</f>
        <v/>
      </c>
      <c r="AA50" s="54" t="str">
        <f>IF(AND('Mapa final'!$AH$78="Baja",'Mapa final'!$AJ$78="Moderado"),CONCATENATE("R2C",'Mapa final'!$R$78),"")</f>
        <v/>
      </c>
      <c r="AB50" s="55" t="str">
        <f>IF(AND('Mapa final'!$AH$79="Baja",'Mapa final'!$AJ$79="Moderado"),CONCATENATE("R2C",'Mapa final'!$R$79),"")</f>
        <v/>
      </c>
      <c r="AC50" s="38" t="str">
        <f>IF(AND('Mapa final'!$AH$74="Baja",'Mapa final'!$AJ$74="Mayor"),CONCATENATE("R2C",'Mapa final'!$R$74),"")</f>
        <v/>
      </c>
      <c r="AD50" s="39" t="str">
        <f>IF(AND('Mapa final'!$AH$75="Baja",'Mapa final'!$AJ$75="Mayor"),CONCATENATE("R2C",'Mapa final'!$R$75),"")</f>
        <v/>
      </c>
      <c r="AE50" s="39" t="str">
        <f>IF(AND('Mapa final'!$AH$76="Baja",'Mapa final'!$AJ$76="Mayor"),CONCATENATE("R2C",'Mapa final'!$R$76),"")</f>
        <v/>
      </c>
      <c r="AF50" s="39" t="str">
        <f>IF(AND('Mapa final'!$AH$77="Baja",'Mapa final'!$AJ$77="Mayor"),CONCATENATE("R2C",'Mapa final'!$R$77),"")</f>
        <v/>
      </c>
      <c r="AG50" s="39" t="str">
        <f>IF(AND('Mapa final'!$AH$78="Baja",'Mapa final'!$AJ$78="Mayor"),CONCATENATE("R2C",'Mapa final'!$R$78),"")</f>
        <v/>
      </c>
      <c r="AH50" s="40" t="str">
        <f>IF(AND('Mapa final'!$AH$79="Baja",'Mapa final'!$AJ$79="Mayor"),CONCATENATE("R2C",'Mapa final'!$R$79),"")</f>
        <v/>
      </c>
      <c r="AI50" s="41" t="str">
        <f>IF(AND('Mapa final'!$AH$74="Baja",'Mapa final'!$AJ$74="Catastrófico"),CONCATENATE("R2C",'Mapa final'!$R$74),"")</f>
        <v/>
      </c>
      <c r="AJ50" s="42" t="str">
        <f>IF(AND('Mapa final'!$AH$75="Baja",'Mapa final'!$AJ$75="Catastrófico"),CONCATENATE("R2C",'Mapa final'!$R$75),"")</f>
        <v/>
      </c>
      <c r="AK50" s="42" t="str">
        <f>IF(AND('Mapa final'!$AH$76="Baja",'Mapa final'!$AJ$76="Catastrófico"),CONCATENATE("R2C",'Mapa final'!$R$76),"")</f>
        <v/>
      </c>
      <c r="AL50" s="42" t="str">
        <f>IF(AND('Mapa final'!$AH$77="Baja",'Mapa final'!$AJ$77="Catastrófico"),CONCATENATE("R2C",'Mapa final'!$R$77),"")</f>
        <v/>
      </c>
      <c r="AM50" s="42" t="str">
        <f>IF(AND('Mapa final'!$AH$78="Baja",'Mapa final'!$AJ$78="Catastrófico"),CONCATENATE("R2C",'Mapa final'!$R$78),"")</f>
        <v/>
      </c>
      <c r="AN50" s="43" t="str">
        <f>IF(AND('Mapa final'!$AH$79="Baja",'Mapa final'!$AJ$79="Catastrófico"),CONCATENATE("R2C",'Mapa final'!$R$79),"")</f>
        <v/>
      </c>
      <c r="AO50" s="68"/>
      <c r="AP50" s="446"/>
      <c r="AQ50" s="447"/>
      <c r="AR50" s="447"/>
      <c r="AS50" s="447"/>
      <c r="AT50" s="447"/>
      <c r="AU50" s="44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x14ac:dyDescent="0.3">
      <c r="B51" s="68"/>
      <c r="C51" s="371"/>
      <c r="D51" s="371"/>
      <c r="E51" s="372"/>
      <c r="F51" s="417"/>
      <c r="G51" s="418"/>
      <c r="H51" s="418"/>
      <c r="I51" s="418"/>
      <c r="J51" s="418"/>
      <c r="K51" s="65" t="str">
        <f>IF(AND('Mapa final'!$AH$80="Baja",'Mapa final'!$AJ$80="Leve"),CONCATENATE("R2C",'Mapa final'!$R$80),"")</f>
        <v/>
      </c>
      <c r="L51" s="66" t="str">
        <f>IF(AND('Mapa final'!$AH$81="Baja",'Mapa final'!$AJ$81="Leve"),CONCATENATE("R2C",'Mapa final'!$R$81),"")</f>
        <v/>
      </c>
      <c r="M51" s="66" t="str">
        <f>IF(AND('Mapa final'!$AH$82="Baja",'Mapa final'!$AJ$82="Leve"),CONCATENATE("R2C",'Mapa final'!$R$82),"")</f>
        <v/>
      </c>
      <c r="N51" s="66" t="str">
        <f>IF(AND('Mapa final'!$AH$83="Baja",'Mapa final'!$AJ$83="Leve"),CONCATENATE("R2C",'Mapa final'!$R$83),"")</f>
        <v/>
      </c>
      <c r="O51" s="66" t="str">
        <f>IF(AND('Mapa final'!$AH$85="Baja",'Mapa final'!$AJ$85="Leve"),CONCATENATE("R2C",'Mapa final'!$R$85),"")</f>
        <v/>
      </c>
      <c r="P51" s="67" t="str">
        <f>IF(AND('Mapa final'!$AH$86="Baja",'Mapa final'!$AJ$86="Leve"),CONCATENATE("R2C",'Mapa final'!$R$86),"")</f>
        <v/>
      </c>
      <c r="Q51" s="53" t="str">
        <f>IF(AND('Mapa final'!$AH$80="Baja",'Mapa final'!$AJ$80="Menor"),CONCATENATE("R2C",'Mapa final'!$R$80),"")</f>
        <v/>
      </c>
      <c r="R51" s="54" t="str">
        <f>IF(AND('Mapa final'!$AH$81="Baja",'Mapa final'!$AJ$81="Menor"),CONCATENATE("R2C",'Mapa final'!$R$81),"")</f>
        <v/>
      </c>
      <c r="S51" s="54" t="str">
        <f>IF(AND('Mapa final'!$AH$82="Baja",'Mapa final'!$AJ$82="Menor"),CONCATENATE("R2C",'Mapa final'!$R$82),"")</f>
        <v/>
      </c>
      <c r="T51" s="54" t="str">
        <f>IF(AND('Mapa final'!$AH$83="Baja",'Mapa final'!$AJ$83="Menor"),CONCATENATE("R2C",'Mapa final'!$R$83),"")</f>
        <v/>
      </c>
      <c r="U51" s="54" t="str">
        <f>IF(AND('Mapa final'!$AH$85="Baja",'Mapa final'!$AJ$85="Menor"),CONCATENATE("R2C",'Mapa final'!$R$85),"")</f>
        <v/>
      </c>
      <c r="V51" s="55" t="str">
        <f>IF(AND('Mapa final'!$AH$86="Baja",'Mapa final'!$AJ$86="Menor"),CONCATENATE("R2C",'Mapa final'!$R$86),"")</f>
        <v/>
      </c>
      <c r="W51" s="56" t="str">
        <f>IF(AND('Mapa final'!$AH$80="Baja",'Mapa final'!$AJ$80="Moderado"),CONCATENATE("R2C",'Mapa final'!$R$80),"")</f>
        <v/>
      </c>
      <c r="X51" s="57" t="str">
        <f>IF(AND('Mapa final'!$AH$81="Baja",'Mapa final'!$AJ$81="Moderado"),CONCATENATE("R2C",'Mapa final'!$R$81),"")</f>
        <v/>
      </c>
      <c r="Y51" s="57" t="str">
        <f>IF(AND('Mapa final'!$AH$82="Baja",'Mapa final'!$AJ$82="Moderado"),CONCATENATE("R2C",'Mapa final'!$R$82),"")</f>
        <v/>
      </c>
      <c r="Z51" s="57" t="str">
        <f>IF(AND('Mapa final'!$AH$83="Baja",'Mapa final'!$AJ$83="Moderado"),CONCATENATE("R2C",'Mapa final'!$R$83),"")</f>
        <v/>
      </c>
      <c r="AA51" s="57" t="str">
        <f>IF(AND('Mapa final'!$AH$85="Baja",'Mapa final'!$AJ$85="Moderado"),CONCATENATE("R2C",'Mapa final'!$R$85),"")</f>
        <v/>
      </c>
      <c r="AB51" s="58" t="str">
        <f>IF(AND('Mapa final'!$AH$86="Baja",'Mapa final'!$AJ$86="Moderado"),CONCATENATE("R2C",'Mapa final'!$R$86),"")</f>
        <v/>
      </c>
      <c r="AC51" s="44" t="str">
        <f>IF(AND('Mapa final'!$AH$80="Baja",'Mapa final'!$AJ$80="Mayor"),CONCATENATE("R2C",'Mapa final'!$R$80),"")</f>
        <v/>
      </c>
      <c r="AD51" s="45" t="str">
        <f>IF(AND('Mapa final'!$AH$81="Baja",'Mapa final'!$AJ$81="Mayor"),CONCATENATE("R2C",'Mapa final'!$R$81),"")</f>
        <v/>
      </c>
      <c r="AE51" s="45" t="str">
        <f>IF(AND('Mapa final'!$AH$82="Baja",'Mapa final'!$AJ$82="Mayor"),CONCATENATE("R2C",'Mapa final'!$R$82),"")</f>
        <v/>
      </c>
      <c r="AF51" s="45" t="str">
        <f>IF(AND('Mapa final'!$AH$83="Baja",'Mapa final'!$AJ$83="Mayor"),CONCATENATE("R2C",'Mapa final'!$R$83),"")</f>
        <v/>
      </c>
      <c r="AG51" s="45" t="str">
        <f>IF(AND('Mapa final'!$AH$85="Baja",'Mapa final'!$AJ$85="Mayor"),CONCATENATE("R2C",'Mapa final'!$R$85),"")</f>
        <v/>
      </c>
      <c r="AH51" s="46" t="str">
        <f>IF(AND('Mapa final'!$AH$86="Baja",'Mapa final'!$AJ$86="Mayor"),CONCATENATE("R2C",'Mapa final'!$R$86),"")</f>
        <v/>
      </c>
      <c r="AI51" s="47" t="str">
        <f>IF(AND('Mapa final'!$AH$80="Baja",'Mapa final'!$AJ$80="Catastrófico"),CONCATENATE("R2C",'Mapa final'!$R$80),"")</f>
        <v/>
      </c>
      <c r="AJ51" s="48" t="str">
        <f>IF(AND('Mapa final'!$AH$81="Baja",'Mapa final'!$AJ$81="Catastrófico"),CONCATENATE("R2C",'Mapa final'!$R$81),"")</f>
        <v/>
      </c>
      <c r="AK51" s="48" t="str">
        <f>IF(AND('Mapa final'!$AH$82="Baja",'Mapa final'!$AJ$82="Catastrófico"),CONCATENATE("R2C",'Mapa final'!$R$82),"")</f>
        <v/>
      </c>
      <c r="AL51" s="48" t="str">
        <f>IF(AND('Mapa final'!$AH$83="Baja",'Mapa final'!$AJ$83="Catastrófico"),CONCATENATE("R2C",'Mapa final'!$R$83),"")</f>
        <v/>
      </c>
      <c r="AM51" s="48" t="str">
        <f>IF(AND('Mapa final'!$AH$85="Baja",'Mapa final'!$AJ$85="Catastrófico"),CONCATENATE("R2C",'Mapa final'!$R$85),"")</f>
        <v/>
      </c>
      <c r="AN51" s="49" t="str">
        <f>IF(AND('Mapa final'!$AH$86="Baja",'Mapa final'!$AJ$86="Catastrófico"),CONCATENATE("R2C",'Mapa final'!$R$86),"")</f>
        <v/>
      </c>
      <c r="AO51" s="68"/>
      <c r="AP51" s="449"/>
      <c r="AQ51" s="450"/>
      <c r="AR51" s="450"/>
      <c r="AS51" s="450"/>
      <c r="AT51" s="450"/>
      <c r="AU51" s="451"/>
    </row>
    <row r="52" spans="2:81" ht="41.25" customHeight="1" x14ac:dyDescent="0.25">
      <c r="B52" s="68"/>
      <c r="C52" s="371"/>
      <c r="D52" s="371"/>
      <c r="E52" s="372"/>
      <c r="F52" s="411" t="s">
        <v>265</v>
      </c>
      <c r="G52" s="412"/>
      <c r="H52" s="412"/>
      <c r="I52" s="412"/>
      <c r="J52" s="413"/>
      <c r="K52" s="59"/>
      <c r="L52" s="60" t="str">
        <f>IF(AND('Mapa final'!$AH$16="Muy Baja",'Mapa final'!$AJ$16="Leve"),CONCATENATE("R2C",'Mapa final'!$R$15),"")</f>
        <v/>
      </c>
      <c r="M52" s="60" t="str">
        <f>IF(AND('Mapa final'!$AH$17="Muy Baja",'Mapa final'!$AJ$17="Leve"),CONCATENATE("R2C",'Mapa final'!$R$17),"")</f>
        <v/>
      </c>
      <c r="N52" s="60" t="str">
        <f>IF(AND('Mapa final'!$AH$20="Muy Baja",'Mapa final'!$AJ$20="Leve"),CONCATENATE("R2C",'Mapa final'!$R$20),"")</f>
        <v/>
      </c>
      <c r="O52" s="60" t="str">
        <f>IF(AND('Mapa final'!$AH$21="Muy Baja",'Mapa final'!$AJ$21="Leve"),CONCATENATE("R2C",'Mapa final'!$R$21),"")</f>
        <v/>
      </c>
      <c r="P52" s="61" t="str">
        <f>IF(AND('Mapa final'!$AH$23="Muy Baja",'Mapa final'!$AJ$23="Leve"),CONCATENATE("R2C",'Mapa final'!$R$23),"")</f>
        <v/>
      </c>
      <c r="Q52" s="59"/>
      <c r="R52" s="60" t="str">
        <f>IF(AND('Mapa final'!$AH$16="Muy Baja",'Mapa final'!$AJ$16="Menore"),CONCATENATE("R2C",'Mapa final'!$R$15),"")</f>
        <v/>
      </c>
      <c r="S52" s="60" t="str">
        <f>IF(AND('Mapa final'!$AH$17="Muy Baja",'Mapa final'!$AJ$17="Menor"),CONCATENATE("R2C",'Mapa final'!$R$17),"")</f>
        <v/>
      </c>
      <c r="T52" s="60" t="str">
        <f>IF(AND('Mapa final'!$AH$20="Muy Baja",'Mapa final'!$AJ$20="Menor"),CONCATENATE("R2C",'Mapa final'!$R$20),"")</f>
        <v/>
      </c>
      <c r="U52" s="60" t="str">
        <f>IF(AND('Mapa final'!$AH$21="Muy Baja",'Mapa final'!$AJ$21="Menor"),CONCATENATE("R2C",'Mapa final'!$R$21),"")</f>
        <v/>
      </c>
      <c r="V52" s="61" t="str">
        <f>IF(AND('Mapa final'!$AH$23="Muy Baja",'Mapa final'!$AJ$23="Menor"),CONCATENATE("R2C",'Mapa final'!$R$23),"")</f>
        <v/>
      </c>
      <c r="W52" s="50"/>
      <c r="X52" s="177" t="str">
        <f>IF(AND('Mapa final'!$AH$16="Muy Baja",'Mapa final'!$AJ$16="Moderado"),CONCATENATE("R2C",'Mapa final'!$D$15),"")</f>
        <v/>
      </c>
      <c r="Y52" s="51"/>
      <c r="Z52" s="51" t="str">
        <f>IF(AND('Mapa final'!$AH$20="Muy Baja",'Mapa final'!$AJ$20="Moderado"),CONCATENATE("R2C",'Mapa final'!$R$20),"")</f>
        <v/>
      </c>
      <c r="AA52" s="51" t="str">
        <f>IF(AND('Mapa final'!$AH$21="Muy Baja",'Mapa final'!$AJ$21="Moderado"),CONCATENATE("R2C",'Mapa final'!$R$21),"")</f>
        <v/>
      </c>
      <c r="AB52" s="52" t="str">
        <f>IF(AND('Mapa final'!$AH$23="Muy Baja",'Mapa final'!$AJ$23="Moderado"),CONCATENATE("R2C",'Mapa final'!$R$23),"")</f>
        <v/>
      </c>
      <c r="AC52" s="32"/>
      <c r="AD52" s="33" t="str">
        <f>IF(AND('Mapa final'!$AH$16="Muy Baja",'Mapa final'!$AJ$16="Mayor"),CONCATENATE("R2C",'Mapa final'!$R$15),"")</f>
        <v/>
      </c>
      <c r="AE52" s="176" t="str">
        <f>IF(AND('Mapa final'!$AH$17="Muy Baja",'Mapa final'!$AJ$17="Mayor"),CONCATENATE("R2C",'Mapa final'!$D$17),"")</f>
        <v/>
      </c>
      <c r="AF52" s="33" t="str">
        <f>IF(AND('Mapa final'!$AH$20="Muy Baja",'Mapa final'!$AJ$20="Mayor"),CONCATENATE("R2C",'Mapa final'!$R$20),"")</f>
        <v/>
      </c>
      <c r="AG52" s="33" t="str">
        <f>IF(AND('Mapa final'!$AH$21="Muy Baja",'Mapa final'!$AJ$21="Mayor"),CONCATENATE("R2C",'Mapa final'!$R$21),"")</f>
        <v/>
      </c>
      <c r="AH52" s="34" t="str">
        <f>IF(AND('Mapa final'!$AH$23="Muy Baja",'Mapa final'!$AJ$23="Mayor"),CONCATENATE("R2C",'Mapa final'!$R$23),"")</f>
        <v/>
      </c>
      <c r="AI52" s="35"/>
      <c r="AJ52" s="36" t="str">
        <f>IF(AND('Mapa final'!$AH$16="Muy Baja",'Mapa final'!$AJ$16="Catastrófico"),CONCATENATE("R2C",'Mapa final'!$D$15),"")</f>
        <v/>
      </c>
      <c r="AK52" s="36" t="str">
        <f>IF(AND('Mapa final'!$AH$17="Muy Baja",'Mapa final'!$AJ$17="Catastrófico"),CONCATENATE("R2C",'Mapa final'!$R$17),"")</f>
        <v/>
      </c>
      <c r="AL52" s="36" t="str">
        <f>IF(AND('Mapa final'!$AH$20="Muy Baja",'Mapa final'!$AJ$20="Catastrófico"),CONCATENATE("R2C",'Mapa final'!$R$20),"")</f>
        <v/>
      </c>
      <c r="AM52" s="36" t="str">
        <f>IF(AND('Mapa final'!$AH$21="Muy Baja",'Mapa final'!$AJ$21="Catastrófico"),CONCATENATE("R2C",'Mapa final'!$R$21),"")</f>
        <v/>
      </c>
      <c r="AN52" s="37" t="str">
        <f>IF(AND('Mapa final'!$AH$23="Muy Baja",'Mapa final'!$AJ$23="Catastrófico"),CONCATENATE("R2C",'Mapa final'!$R$23),"")</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x14ac:dyDescent="0.25">
      <c r="B53" s="68"/>
      <c r="C53" s="371"/>
      <c r="D53" s="371"/>
      <c r="E53" s="372"/>
      <c r="F53" s="430"/>
      <c r="G53" s="415"/>
      <c r="H53" s="415"/>
      <c r="I53" s="415"/>
      <c r="J53" s="416"/>
      <c r="K53" s="62" t="str">
        <f>IF(AND('Mapa final'!$AH$24="Muy Baja",'Mapa final'!$AJ$24="Leve"),CONCATENATE("R2C",'Mapa final'!$R$24),"")</f>
        <v/>
      </c>
      <c r="L53" s="63" t="e">
        <f>IF(AND('Mapa final'!#REF!="Muy Baja",'Mapa final'!#REF!="Leve"),CONCATENATE("R2C",'Mapa final'!#REF!),"")</f>
        <v>#REF!</v>
      </c>
      <c r="M53" s="63" t="str">
        <f>IF(AND('Mapa final'!$AH$34="Muy Baja",'Mapa final'!$AJ$34="Leve"),CONCATENATE("R2C",'Mapa final'!$R$34),"")</f>
        <v/>
      </c>
      <c r="N53" s="63" t="str">
        <f>IF(AND('Mapa final'!$AH$35="Muy Baja",'Mapa final'!$AJ$35="Leve"),CONCATENATE("R2C",'Mapa final'!$R$35),"")</f>
        <v/>
      </c>
      <c r="O53" s="63" t="str">
        <f>IF(AND('Mapa final'!$AH$36="Muy Baja",'Mapa final'!$AJ$36="Leve"),CONCATENATE("R2C",'Mapa final'!$R$36),"")</f>
        <v/>
      </c>
      <c r="P53" s="64" t="str">
        <f>IF(AND('Mapa final'!$AH$37="Muy Baja",'Mapa final'!$AJ$37="Leve"),CONCATENATE("R2C",'Mapa final'!$R$37),"")</f>
        <v/>
      </c>
      <c r="Q53" s="62" t="str">
        <f>IF(AND('Mapa final'!$AH$24="Muy Baja",'Mapa final'!$AJ$24="Menor"),CONCATENATE("R2C",'Mapa final'!$R$24),"")</f>
        <v/>
      </c>
      <c r="R53" s="63" t="e">
        <f>IF(AND('Mapa final'!#REF!="Muy Baja",'Mapa final'!#REF!="Menor"),CONCATENATE("R2C",'Mapa final'!#REF!),"")</f>
        <v>#REF!</v>
      </c>
      <c r="S53" s="63" t="str">
        <f>IF(AND('Mapa final'!$AH$34="Muy Baja",'Mapa final'!$AJ$34="Menor"),CONCATENATE("R2C",'Mapa final'!$R$34),"")</f>
        <v/>
      </c>
      <c r="T53" s="63" t="str">
        <f>IF(AND('Mapa final'!$AH$35="Muy Baja",'Mapa final'!$AJ$35="Menor"),CONCATENATE("R2C",'Mapa final'!$R$35),"")</f>
        <v/>
      </c>
      <c r="U53" s="63" t="str">
        <f>IF(AND('Mapa final'!$AH$36="Muy Baja",'Mapa final'!$AJ$36="Menor"),CONCATENATE("R2C",'Mapa final'!$R$36),"")</f>
        <v/>
      </c>
      <c r="V53" s="64" t="str">
        <f>IF(AND('Mapa final'!$AH$37="Muy Baja",'Mapa final'!$AJ$37="Menor"),CONCATENATE("R2C",'Mapa final'!$R$37),"")</f>
        <v/>
      </c>
      <c r="W53" s="53" t="str">
        <f>IF(AND('Mapa final'!$AH$24="Muy Baja",'Mapa final'!$AJ$24="Moderado"),CONCATENATE("R2C",'Mapa final'!$R$24),"")</f>
        <v/>
      </c>
      <c r="X53" s="54" t="e">
        <f>IF(AND('Mapa final'!#REF!="Muy Baja",'Mapa final'!#REF!="Moderado"),CONCATENATE("R2C",'Mapa final'!#REF!),"")</f>
        <v>#REF!</v>
      </c>
      <c r="Y53" s="54" t="str">
        <f>IF(AND('Mapa final'!$AH$34="Muy Baja",'Mapa final'!$AJ$34="Moderado"),CONCATENATE("R2C",'Mapa final'!$R$34),"")</f>
        <v/>
      </c>
      <c r="Z53" s="54" t="str">
        <f>IF(AND('Mapa final'!$AH$35="Muy Baja",'Mapa final'!$AJ$35="Moderado"),CONCATENATE("R2C",'Mapa final'!$R$35),"")</f>
        <v/>
      </c>
      <c r="AA53" s="54" t="str">
        <f>IF(AND('Mapa final'!$AH$36="Muy Baja",'Mapa final'!$AJ$36="Moderado"),CONCATENATE("R2C",'Mapa final'!$R$36),"")</f>
        <v/>
      </c>
      <c r="AB53" s="55" t="str">
        <f>IF(AND('Mapa final'!$AH$37="Muy Baja",'Mapa final'!$AJ$37="Moderado"),CONCATENATE("R2C",'Mapa final'!$R$37),"")</f>
        <v/>
      </c>
      <c r="AC53" s="38" t="str">
        <f>IF(AND('Mapa final'!$AH$24="Muy Baja",'Mapa final'!$AJ$24="Mayor"),CONCATENATE("R2C",'Mapa final'!$R$24),"")</f>
        <v/>
      </c>
      <c r="AD53" s="39" t="e">
        <f>IF(AND('Mapa final'!#REF!="Muy Baja",'Mapa final'!#REF!="Mayor"),CONCATENATE("R2C",'Mapa final'!#REF!),"")</f>
        <v>#REF!</v>
      </c>
      <c r="AE53" s="39" t="str">
        <f>IF(AND('Mapa final'!$AH$34="Muy Baja",'Mapa final'!$AJ$34="Mayor"),CONCATENATE("R2C",'Mapa final'!$R$34),"")</f>
        <v/>
      </c>
      <c r="AF53" s="39" t="str">
        <f>IF(AND('Mapa final'!$AH$35="Muy Baja",'Mapa final'!$AJ$35="Mayor"),CONCATENATE("R2C",'Mapa final'!$R$35),"")</f>
        <v/>
      </c>
      <c r="AG53" s="39" t="str">
        <f>IF(AND('Mapa final'!$AH$36="Muy Baja",'Mapa final'!$AJ$36="Mayor"),CONCATENATE("R2C",'Mapa final'!$R$36),"")</f>
        <v/>
      </c>
      <c r="AH53" s="40" t="str">
        <f>IF(AND('Mapa final'!$AH$37="Muy Baja",'Mapa final'!$AJ$37="Mayor"),CONCATENATE("R2C",'Mapa final'!$R$37),"")</f>
        <v/>
      </c>
      <c r="AI53" s="41" t="str">
        <f>IF(AND('Mapa final'!$AH$24="Muy Baja",'Mapa final'!$AJ$24="Catastrófico"),CONCATENATE("R2C",'Mapa final'!$A$24),"")</f>
        <v/>
      </c>
      <c r="AJ53" s="42" t="e">
        <f>IF(AND('Mapa final'!#REF!="Muy Baja",'Mapa final'!#REF!="Catastrófico"),CONCATENATE("R2C",'Mapa final'!#REF!),"")</f>
        <v>#REF!</v>
      </c>
      <c r="AK53" s="42" t="str">
        <f>IF(AND('Mapa final'!$AH$34="Muy Baja",'Mapa final'!$AJ$34="Catastrófico"),CONCATENATE("R2C",'Mapa final'!$R$34),"")</f>
        <v/>
      </c>
      <c r="AL53" s="42" t="str">
        <f>IF(AND('Mapa final'!$AH$35="Muy Baja",'Mapa final'!$AJ$35="Catastrófico"),CONCATENATE("R2C",'Mapa final'!$R$35),"")</f>
        <v/>
      </c>
      <c r="AM53" s="42" t="str">
        <f>IF(AND('Mapa final'!$AH$36="Muy Baja",'Mapa final'!$AJ$36="Catastrófico"),CONCATENATE("R2C",'Mapa final'!$R$36),"")</f>
        <v/>
      </c>
      <c r="AN53" s="43" t="str">
        <f>IF(AND('Mapa final'!$AH$37="Muy Baja",'Mapa final'!$AJ$37="Catastrófico"),CONCATENATE("R2C",'Mapa final'!$R$37),"")</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x14ac:dyDescent="0.25">
      <c r="B54" s="68"/>
      <c r="C54" s="371"/>
      <c r="D54" s="371"/>
      <c r="E54" s="372"/>
      <c r="F54" s="430"/>
      <c r="G54" s="415"/>
      <c r="H54" s="415"/>
      <c r="I54" s="415"/>
      <c r="J54" s="416"/>
      <c r="K54" s="62" t="str">
        <f>IF(AND('Mapa final'!$AH$38="Muy Baja",'Mapa final'!$AJ$38="Leve"),CONCATENATE("R2C",'Mapa final'!$R$38),"")</f>
        <v/>
      </c>
      <c r="L54" s="63" t="str">
        <f>IF(AND('Mapa final'!$AH$39="Muy Baja",'Mapa final'!$AJ$39="Leve"),CONCATENATE("R2C",'Mapa final'!$R$39),"")</f>
        <v/>
      </c>
      <c r="M54" s="63" t="str">
        <f>IF(AND('Mapa final'!$AH$40="Muy Baja",'Mapa final'!$AJ$40="Leve"),CONCATENATE("R2C",'Mapa final'!$R$40),"")</f>
        <v/>
      </c>
      <c r="N54" s="63" t="str">
        <f>IF(AND('Mapa final'!$AH$41="Muy Baja",'Mapa final'!$AJ$41="Leve"),CONCATENATE("R2C",'Mapa final'!$R$41),"")</f>
        <v/>
      </c>
      <c r="O54" s="63" t="str">
        <f>IF(AND('Mapa final'!$AH$42="Muy Baja",'Mapa final'!$AJ$42="Leve"),CONCATENATE("R2C",'Mapa final'!$R$42),"")</f>
        <v/>
      </c>
      <c r="P54" s="64" t="str">
        <f>IF(AND('Mapa final'!$AH$43="Muy Baja",'Mapa final'!$AJ$43="Leve"),CONCATENATE("R2C",'Mapa final'!$R$43),"")</f>
        <v/>
      </c>
      <c r="Q54" s="62" t="str">
        <f>IF(AND('Mapa final'!$AH$38="Muy Baja",'Mapa final'!$AJ$38="Menor"),CONCATENATE("R2C",'Mapa final'!$R$38),"")</f>
        <v/>
      </c>
      <c r="R54" s="63" t="str">
        <f>IF(AND('Mapa final'!$AH$39="Muy Baja",'Mapa final'!$AJ$39="Menor"),CONCATENATE("R2C",'Mapa final'!$R$39),"")</f>
        <v/>
      </c>
      <c r="S54" s="63" t="str">
        <f>IF(AND('Mapa final'!$AH$40="Muy Baja",'Mapa final'!$AJ$40="Menor"),CONCATENATE("R2C",'Mapa final'!$R$40),"")</f>
        <v/>
      </c>
      <c r="T54" s="63" t="str">
        <f>IF(AND('Mapa final'!$AH$41="Muy Baja",'Mapa final'!$AJ$41="Menor"),CONCATENATE("R2C",'Mapa final'!$R$41),"")</f>
        <v/>
      </c>
      <c r="U54" s="63" t="str">
        <f>IF(AND('Mapa final'!$AH$42="Muy Baja",'Mapa final'!$AJ$42="Menor"),CONCATENATE("R2C",'Mapa final'!$R$42),"")</f>
        <v/>
      </c>
      <c r="V54" s="64" t="str">
        <f>IF(AND('Mapa final'!$AH$43="Muy Baja",'Mapa final'!$AJ$43="Menor"),CONCATENATE("R2C",'Mapa final'!$R$43),"")</f>
        <v/>
      </c>
      <c r="W54" s="53" t="str">
        <f>IF(AND('Mapa final'!$AH$38="Muy Baja",'Mapa final'!$AJ$38="Moderado"),CONCATENATE("R2C",'Mapa final'!$R$38),"")</f>
        <v/>
      </c>
      <c r="X54" s="54" t="str">
        <f>IF(AND('Mapa final'!$AH$39="Muy Baja",'Mapa final'!$AJ$39="Moderado"),CONCATENATE("R2C",'Mapa final'!$R$39),"")</f>
        <v/>
      </c>
      <c r="Y54" s="54" t="str">
        <f>IF(AND('Mapa final'!$AH$40="Muy Baja",'Mapa final'!$AJ$40="Moderado"),CONCATENATE("R2C",'Mapa final'!$R$40),"")</f>
        <v/>
      </c>
      <c r="Z54" s="54" t="str">
        <f>IF(AND('Mapa final'!$AH$41="Muy Baja",'Mapa final'!$AJ$41="Moderado"),CONCATENATE("R2C",'Mapa final'!$R$41),"")</f>
        <v/>
      </c>
      <c r="AA54" s="54" t="str">
        <f>IF(AND('Mapa final'!$AH$42="Muy Baja",'Mapa final'!$AJ$42="Moderado"),CONCATENATE("R2C",'Mapa final'!$R$42),"")</f>
        <v/>
      </c>
      <c r="AB54" s="55" t="str">
        <f>IF(AND('Mapa final'!$AH$43="Muy Baja",'Mapa final'!$AJ$43="Moderado"),CONCATENATE("R2C",'Mapa final'!$R$43),"")</f>
        <v/>
      </c>
      <c r="AC54" s="38" t="str">
        <f>IF(AND('Mapa final'!$AH$38="Muy Baja",'Mapa final'!$AJ$38="Mayor"),CONCATENATE("R2C",'Mapa final'!$R$38),"")</f>
        <v/>
      </c>
      <c r="AD54" s="39" t="str">
        <f>IF(AND('Mapa final'!$AH$39="Muy Baja",'Mapa final'!$AJ$39="Mayor"),CONCATENATE("R2C",'Mapa final'!$R$39),"")</f>
        <v/>
      </c>
      <c r="AE54" s="39" t="str">
        <f>IF(AND('Mapa final'!$AH$40="Muy Baja",'Mapa final'!$AJ$40="Mayor"),CONCATENATE("R2C",'Mapa final'!$R$40),"")</f>
        <v/>
      </c>
      <c r="AF54" s="39" t="str">
        <f>IF(AND('Mapa final'!$AH$41="Muy Baja",'Mapa final'!$AJ$41="Mayor"),CONCATENATE("R2C",'Mapa final'!$R$41),"")</f>
        <v/>
      </c>
      <c r="AG54" s="39" t="str">
        <f>IF(AND('Mapa final'!$AH$42="Muy Baja",'Mapa final'!$AJ$42="Mayor"),CONCATENATE("R2C",'Mapa final'!$R$42),"")</f>
        <v/>
      </c>
      <c r="AH54" s="40" t="str">
        <f>IF(AND('Mapa final'!$AH$43="Muy Baja",'Mapa final'!$AJ$43="Mayor"),CONCATENATE("R2C",'Mapa final'!$R$43),"")</f>
        <v/>
      </c>
      <c r="AI54" s="41" t="str">
        <f>IF(AND('Mapa final'!$AH$38="Muy Baja",'Mapa final'!$AJ$38="Catastrófico"),CONCATENATE("R2C",'Mapa final'!$R$38),"")</f>
        <v/>
      </c>
      <c r="AJ54" s="42" t="str">
        <f>IF(AND('Mapa final'!$AH$39="Muy Baja",'Mapa final'!$AJ$39="Catastrófico"),CONCATENATE("R2C",'Mapa final'!$R$39),"")</f>
        <v/>
      </c>
      <c r="AK54" s="42" t="str">
        <f>IF(AND('Mapa final'!$AH$40="Muy Baja",'Mapa final'!$AJ$40="Catastrófico"),CONCATENATE("R2C",'Mapa final'!$R$40),"")</f>
        <v/>
      </c>
      <c r="AL54" s="42" t="str">
        <f>IF(AND('Mapa final'!$AH$41="Muy Baja",'Mapa final'!$AJ$41="Catastrófico"),CONCATENATE("R2C",'Mapa final'!$R$41),"")</f>
        <v/>
      </c>
      <c r="AM54" s="42" t="str">
        <f>IF(AND('Mapa final'!$AH$42="Muy Baja",'Mapa final'!$AJ$42="Catastrófico"),CONCATENATE("R2C",'Mapa final'!$R$42),"")</f>
        <v/>
      </c>
      <c r="AN54" s="43" t="str">
        <f>IF(AND('Mapa final'!$AH$43="Muy Baja",'Mapa final'!$AJ$43="Catastrófico"),CONCATENATE("R2C",'Mapa final'!$R$43),"")</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x14ac:dyDescent="0.25">
      <c r="B55" s="68"/>
      <c r="C55" s="371"/>
      <c r="D55" s="371"/>
      <c r="E55" s="372"/>
      <c r="F55" s="414"/>
      <c r="G55" s="415"/>
      <c r="H55" s="415"/>
      <c r="I55" s="415"/>
      <c r="J55" s="416"/>
      <c r="K55" s="62" t="str">
        <f>IF(AND('Mapa final'!$AH$44="Muy Baja",'Mapa final'!$AJ$44="Leve"),CONCATENATE("R2C",'Mapa final'!$R$44),"")</f>
        <v/>
      </c>
      <c r="L55" s="63" t="str">
        <f>IF(AND('Mapa final'!$AH$45="Muy Baja",'Mapa final'!$AJ$45="Leve"),CONCATENATE("R2C",'Mapa final'!$R$45),"")</f>
        <v/>
      </c>
      <c r="M55" s="63" t="str">
        <f>IF(AND('Mapa final'!$AH$46="Muy Baja",'Mapa final'!$AJ$46="Leve"),CONCATENATE("R2C",'Mapa final'!$R$46),"")</f>
        <v/>
      </c>
      <c r="N55" s="63" t="str">
        <f>IF(AND('Mapa final'!$AH$47="Muy Baja",'Mapa final'!$AJ$47="Leve"),CONCATENATE("R2C",'Mapa final'!$R$47),"")</f>
        <v/>
      </c>
      <c r="O55" s="63" t="str">
        <f>IF(AND('Mapa final'!$AH$48="Muy Baja",'Mapa final'!$AJ$48="Leve"),CONCATENATE("R2C",'Mapa final'!$R$48),"")</f>
        <v/>
      </c>
      <c r="P55" s="64" t="str">
        <f>IF(AND('Mapa final'!$AH$49="Muy Baja",'Mapa final'!$AJ$49="Leve"),CONCATENATE("R2C",'Mapa final'!$R$49),"")</f>
        <v/>
      </c>
      <c r="Q55" s="62" t="str">
        <f>IF(AND('Mapa final'!$AH$44="Muy Baja",'Mapa final'!$AJ$44="Menor"),CONCATENATE("R2C",'Mapa final'!$R$44),"")</f>
        <v/>
      </c>
      <c r="R55" s="63" t="str">
        <f>IF(AND('Mapa final'!$AH$45="Muy Baja",'Mapa final'!$AJ$45="Menor"),CONCATENATE("R2C",'Mapa final'!$R$45),"")</f>
        <v/>
      </c>
      <c r="S55" s="63" t="str">
        <f>IF(AND('Mapa final'!$AH$46="Muy Baja",'Mapa final'!$AJ$46="Menor"),CONCATENATE("R2C",'Mapa final'!$R$46),"")</f>
        <v/>
      </c>
      <c r="T55" s="63" t="str">
        <f>IF(AND('Mapa final'!$AH$47="Muy Baja",'Mapa final'!$AJ$47="Menor"),CONCATENATE("R2C",'Mapa final'!$R$47),"")</f>
        <v/>
      </c>
      <c r="U55" s="63" t="str">
        <f>IF(AND('Mapa final'!$AH$48="Muy Baja",'Mapa final'!$AJ$48="LMenor"),CONCATENATE("R2C",'Mapa final'!$R$48),"")</f>
        <v/>
      </c>
      <c r="V55" s="64" t="str">
        <f>IF(AND('Mapa final'!$AH$49="Muy Baja",'Mapa final'!$AJ$49="Menor"),CONCATENATE("R2C",'Mapa final'!$R$49),"")</f>
        <v/>
      </c>
      <c r="W55" s="53" t="str">
        <f>IF(AND('Mapa final'!$AH$44="Muy Baja",'Mapa final'!$AJ$44="Moderado"),CONCATENATE("R2C",'Mapa final'!$R$44),"")</f>
        <v/>
      </c>
      <c r="X55" s="54" t="str">
        <f>IF(AND('Mapa final'!$AH$45="Muy Baja",'Mapa final'!$AJ$45="Moderado"),CONCATENATE("R2C",'Mapa final'!$R$45),"")</f>
        <v/>
      </c>
      <c r="Y55" s="54" t="str">
        <f>IF(AND('Mapa final'!$AH$46="Muy Baja",'Mapa final'!$AJ$46="Moderado"),CONCATENATE("R2C",'Mapa final'!$R$46),"")</f>
        <v/>
      </c>
      <c r="Z55" s="54" t="str">
        <f>IF(AND('Mapa final'!$AH$47="Muy Baja",'Mapa final'!$AJ$47="Moderado"),CONCATENATE("R2C",'Mapa final'!$R$47),"")</f>
        <v/>
      </c>
      <c r="AA55" s="54" t="str">
        <f>IF(AND('Mapa final'!$AH$48="Muy Baja",'Mapa final'!$AJ$48="Moderado"),CONCATENATE("R2C",'Mapa final'!$R$48),"")</f>
        <v/>
      </c>
      <c r="AB55" s="55" t="str">
        <f>IF(AND('Mapa final'!$AH$49="Muy Baja",'Mapa final'!$AJ$49="Moderado"),CONCATENATE("R2C",'Mapa final'!$R$49),"")</f>
        <v/>
      </c>
      <c r="AC55" s="38" t="str">
        <f>IF(AND('Mapa final'!$AH$44="Muy Baja",'Mapa final'!$AJ$44="Mayor"),CONCATENATE("R2C",'Mapa final'!$R$44),"")</f>
        <v/>
      </c>
      <c r="AD55" s="39" t="str">
        <f>IF(AND('Mapa final'!$AH$45="Muy Baja",'Mapa final'!$AJ$45="Mayor"),CONCATENATE("R2C",'Mapa final'!$R$45),"")</f>
        <v/>
      </c>
      <c r="AE55" s="39" t="str">
        <f>IF(AND('Mapa final'!$AH$46="Muy Baja",'Mapa final'!$AJ$46="Mayor"),CONCATENATE("R2C",'Mapa final'!$R$46),"")</f>
        <v/>
      </c>
      <c r="AF55" s="39" t="str">
        <f>IF(AND('Mapa final'!$AH$47="Muy Baja",'Mapa final'!$AJ$47="Mayor"),CONCATENATE("R2C",'Mapa final'!$R$47),"")</f>
        <v/>
      </c>
      <c r="AG55" s="39" t="str">
        <f>IF(AND('Mapa final'!$AH$48="Muy Baja",'Mapa final'!$AJ$48="Mayor"),CONCATENATE("R2C",'Mapa final'!$R$48),"")</f>
        <v/>
      </c>
      <c r="AH55" s="40" t="str">
        <f>IF(AND('Mapa final'!$AH$49="Muy Baja",'Mapa final'!$AJ$49="Mayor"),CONCATENATE("R2C",'Mapa final'!$R$49),"")</f>
        <v/>
      </c>
      <c r="AI55" s="41" t="str">
        <f>IF(AND('Mapa final'!$AH$44="Muy Baja",'Mapa final'!$AJ$44="Catastrófico"),CONCATENATE("R2C",'Mapa final'!$R$44),"")</f>
        <v/>
      </c>
      <c r="AJ55" s="42" t="str">
        <f>IF(AND('Mapa final'!$AH$45="Muy Baja",'Mapa final'!$AJ$45="Catastrófico"),CONCATENATE("R2C",'Mapa final'!$R$45),"")</f>
        <v/>
      </c>
      <c r="AK55" s="42" t="str">
        <f>IF(AND('Mapa final'!$AH$46="Muy Baja",'Mapa final'!$AJ$46="Catastrófico"),CONCATENATE("R2C",'Mapa final'!$R$46),"")</f>
        <v/>
      </c>
      <c r="AL55" s="42" t="str">
        <f>IF(AND('Mapa final'!$AH$47="Muy Baja",'Mapa final'!$AJ$47="Catastrófico"),CONCATENATE("R2C",'Mapa final'!$R$47),"")</f>
        <v/>
      </c>
      <c r="AM55" s="42" t="str">
        <f>IF(AND('Mapa final'!$AH$48="Muy Baja",'Mapa final'!$AJ$48="LCatastrófico"),CONCATENATE("R2C",'Mapa final'!$R$48),"")</f>
        <v/>
      </c>
      <c r="AN55" s="43" t="str">
        <f>IF(AND('Mapa final'!$AH$49="Muy Baja",'Mapa final'!$AJ$49="Catastrófico"),CONCATENATE("R2C",'Mapa final'!$R$49),"")</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x14ac:dyDescent="0.25">
      <c r="B56" s="68"/>
      <c r="C56" s="371"/>
      <c r="D56" s="371"/>
      <c r="E56" s="372"/>
      <c r="F56" s="414"/>
      <c r="G56" s="415"/>
      <c r="H56" s="415"/>
      <c r="I56" s="415"/>
      <c r="J56" s="416"/>
      <c r="K56" s="62" t="str">
        <f>IF(AND('Mapa final'!$AH$50="Muy Baja",'Mapa final'!$AJ$50="Leve"),CONCATENATE("R2C",'Mapa final'!$R$50),"")</f>
        <v/>
      </c>
      <c r="L56" s="63" t="str">
        <f>IF(AND('Mapa final'!$AH$51="Muy Baja",'Mapa final'!$AJ$51="Leve"),CONCATENATE("R2C",'Mapa final'!$R$51),"")</f>
        <v/>
      </c>
      <c r="M56" s="63" t="str">
        <f>IF(AND('Mapa final'!$AH$52="Muy Baja",'Mapa final'!$AJ$52="Leve"),CONCATENATE("R2C",'Mapa final'!$R$52),"")</f>
        <v/>
      </c>
      <c r="N56" s="63" t="str">
        <f>IF(AND('Mapa final'!$AH$53="Muy Baja",'Mapa final'!$AJ$53="Leve"),CONCATENATE("R2C",'Mapa final'!$R$53),"")</f>
        <v/>
      </c>
      <c r="O56" s="63" t="str">
        <f>IF(AND('Mapa final'!$AH$54="Muy Baja",'Mapa final'!$AJ$54="Leve"),CONCATENATE("R2C",'Mapa final'!$R$54),"")</f>
        <v/>
      </c>
      <c r="P56" s="64" t="str">
        <f>IF(AND('Mapa final'!$AH$55="Muy Baja",'Mapa final'!$AJ$55="Leve"),CONCATENATE("R2C",'Mapa final'!$R$55),"")</f>
        <v/>
      </c>
      <c r="Q56" s="62" t="str">
        <f>IF(AND('Mapa final'!$AH$50="Muy Baja",'Mapa final'!$AJ$50="Menor"),CONCATENATE("R2C",'Mapa final'!$R$50),"")</f>
        <v/>
      </c>
      <c r="R56" s="63" t="str">
        <f>IF(AND('Mapa final'!$AH$51="Muy Baja",'Mapa final'!$AJ$51="Menor"),CONCATENATE("R2C",'Mapa final'!$R$51),"")</f>
        <v/>
      </c>
      <c r="S56" s="63" t="str">
        <f>IF(AND('Mapa final'!$AH$52="Muy Baja",'Mapa final'!$AJ$52="Menor"),CONCATENATE("R2C",'Mapa final'!$R$52),"")</f>
        <v/>
      </c>
      <c r="T56" s="63" t="str">
        <f>IF(AND('Mapa final'!$AH$53="Muy Baja",'Mapa final'!$AJ$53="Menor"),CONCATENATE("R2C",'Mapa final'!$R$53),"")</f>
        <v/>
      </c>
      <c r="U56" s="63" t="str">
        <f>IF(AND('Mapa final'!$AH$54="Muy Baja",'Mapa final'!$AJ$54="Menor"),CONCATENATE("R2C",'Mapa final'!$R$54),"")</f>
        <v/>
      </c>
      <c r="V56" s="64" t="str">
        <f>IF(AND('Mapa final'!$AH$55="Muy Baja",'Mapa final'!$AJ$55="Menor"),CONCATENATE("R2C",'Mapa final'!$R$55),"")</f>
        <v/>
      </c>
      <c r="W56" s="53" t="str">
        <f>IF(AND('Mapa final'!$AH$50="Muy Baja",'Mapa final'!$AJ$50="Moderado"),CONCATENATE("R2C",'Mapa final'!$R$50),"")</f>
        <v/>
      </c>
      <c r="X56" s="54" t="str">
        <f>IF(AND('Mapa final'!$AH$51="Muy Baja",'Mapa final'!$AJ$51="Moderado"),CONCATENATE("R2C",'Mapa final'!$R$51),"")</f>
        <v/>
      </c>
      <c r="Y56" s="54" t="str">
        <f>IF(AND('Mapa final'!$AH$52="Muy Baja",'Mapa final'!$AJ$52="Moderado"),CONCATENATE("R2C",'Mapa final'!$R$52),"")</f>
        <v/>
      </c>
      <c r="Z56" s="54" t="str">
        <f>IF(AND('Mapa final'!$AH$53="Muy Baja",'Mapa final'!$AJ$53="Moderado"),CONCATENATE("R2C",'Mapa final'!$R$53),"")</f>
        <v/>
      </c>
      <c r="AA56" s="54" t="str">
        <f>IF(AND('Mapa final'!$AH$54="Muy Baja",'Mapa final'!$AJ$54="Moderado"),CONCATENATE("R2C",'Mapa final'!$R$54),"")</f>
        <v/>
      </c>
      <c r="AB56" s="55" t="str">
        <f>IF(AND('Mapa final'!$AH$55="Muy Baja",'Mapa final'!$AJ$55="Moderado"),CONCATENATE("R2C",'Mapa final'!$R$55),"")</f>
        <v/>
      </c>
      <c r="AC56" s="38" t="str">
        <f>IF(AND('Mapa final'!$AH$50="Muy Baja",'Mapa final'!$AJ$50="Mayor"),CONCATENATE("R2C",'Mapa final'!$R$50),"")</f>
        <v/>
      </c>
      <c r="AD56" s="39" t="str">
        <f>IF(AND('Mapa final'!$AH$51="Muy Baja",'Mapa final'!$AJ$51="Mayor"),CONCATENATE("R2C",'Mapa final'!$R$51),"")</f>
        <v/>
      </c>
      <c r="AE56" s="39" t="str">
        <f>IF(AND('Mapa final'!$AH$52="Muy Baja",'Mapa final'!$AJ$52="Mayor"),CONCATENATE("R2C",'Mapa final'!$R$52),"")</f>
        <v/>
      </c>
      <c r="AF56" s="39" t="str">
        <f>IF(AND('Mapa final'!$AH$53="Muy Baja",'Mapa final'!$AJ$53="Mayor"),CONCATENATE("R2C",'Mapa final'!$R$53),"")</f>
        <v/>
      </c>
      <c r="AG56" s="39" t="str">
        <f>IF(AND('Mapa final'!$AH$54="Muy Baja",'Mapa final'!$AJ$54="Mayor"),CONCATENATE("R2C",'Mapa final'!$R$54),"")</f>
        <v/>
      </c>
      <c r="AH56" s="40" t="str">
        <f>IF(AND('Mapa final'!$AH$55="Muy Baja",'Mapa final'!$AJ$55="Mayor"),CONCATENATE("R2C",'Mapa final'!$R$55),"")</f>
        <v/>
      </c>
      <c r="AI56" s="41" t="str">
        <f>IF(AND('Mapa final'!$AH$50="Muy Baja",'Mapa final'!$AJ$50="Catastrófico"),CONCATENATE("R2C",'Mapa final'!$R$50),"")</f>
        <v/>
      </c>
      <c r="AJ56" s="42" t="str">
        <f>IF(AND('Mapa final'!$AH$51="Muy Baja",'Mapa final'!$AJ$51="Catastrófico"),CONCATENATE("R2C",'Mapa final'!$R$51),"")</f>
        <v/>
      </c>
      <c r="AK56" s="42" t="str">
        <f>IF(AND('Mapa final'!$AH$52="Muy Baja",'Mapa final'!$AJ$52="Catastrófico"),CONCATENATE("R2C",'Mapa final'!$R$52),"")</f>
        <v/>
      </c>
      <c r="AL56" s="42" t="str">
        <f>IF(AND('Mapa final'!$AH$53="Muy Baja",'Mapa final'!$AJ$53="Catastrófico"),CONCATENATE("R2C",'Mapa final'!$R$53),"")</f>
        <v/>
      </c>
      <c r="AM56" s="42" t="str">
        <f>IF(AND('Mapa final'!$AH$54="Muy Baja",'Mapa final'!$AJ$54="Catastrófico"),CONCATENATE("R2C",'Mapa final'!$R$54),"")</f>
        <v/>
      </c>
      <c r="AN56" s="43" t="str">
        <f>IF(AND('Mapa final'!$AH$55="Muy Baja",'Mapa final'!$AJ$55="Catastrófico"),CONCATENATE("R2C",'Mapa final'!$R$55),"")</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x14ac:dyDescent="0.25">
      <c r="B57" s="68"/>
      <c r="C57" s="371"/>
      <c r="D57" s="371"/>
      <c r="E57" s="372"/>
      <c r="F57" s="414"/>
      <c r="G57" s="415"/>
      <c r="H57" s="415"/>
      <c r="I57" s="415"/>
      <c r="J57" s="416"/>
      <c r="K57" s="62" t="str">
        <f>IF(AND('Mapa final'!$AH$56="Muy Baja",'Mapa final'!$AJ$56="Leve"),CONCATENATE("R2C",'Mapa final'!$R$56),"")</f>
        <v/>
      </c>
      <c r="L57" s="63" t="str">
        <f>IF(AND('Mapa final'!$AH$57="Muy Baja",'Mapa final'!$AJ$57="Leve"),CONCATENATE("R2C",'Mapa final'!$R$57),"")</f>
        <v/>
      </c>
      <c r="M57" s="63" t="str">
        <f>IF(AND('Mapa final'!$AH$58="Muy Baja",'Mapa final'!$AJ$58="Leve"),CONCATENATE("R2C",'Mapa final'!$R$58),"")</f>
        <v/>
      </c>
      <c r="N57" s="63" t="str">
        <f>IF(AND('Mapa final'!$AH$59="Muy Baja",'Mapa final'!$AJ$59="Leve"),CONCATENATE("R2C",'Mapa final'!$R$59),"")</f>
        <v/>
      </c>
      <c r="O57" s="63" t="str">
        <f>IF(AND('Mapa final'!$AH$60="Muy Baja",'Mapa final'!$AJ$60="Leve"),CONCATENATE("R2C",'Mapa final'!$R$60),"")</f>
        <v/>
      </c>
      <c r="P57" s="64" t="str">
        <f>IF(AND('Mapa final'!$AH$71="Muy Baja",'Mapa final'!$AJ$61="Leve"),CONCATENATE("R2C",'Mapa final'!$R$61),"")</f>
        <v/>
      </c>
      <c r="Q57" s="62" t="str">
        <f>IF(AND('Mapa final'!$AH$56="Muy Baja",'Mapa final'!$AJ$56="Menor"),CONCATENATE("R2C",'Mapa final'!$R$56),"")</f>
        <v/>
      </c>
      <c r="R57" s="63" t="str">
        <f>IF(AND('Mapa final'!$AH$57="Muy Baja",'Mapa final'!$AJ$57="Menor"),CONCATENATE("R2C",'Mapa final'!$R$57),"")</f>
        <v/>
      </c>
      <c r="S57" s="63" t="str">
        <f>IF(AND('Mapa final'!$AH$58="Muy Baja",'Mapa final'!$AJ$58="Menor"),CONCATENATE("R2C",'Mapa final'!$R$58),"")</f>
        <v/>
      </c>
      <c r="T57" s="63" t="str">
        <f>IF(AND('Mapa final'!$AH$59="Muy Baja",'Mapa final'!$AJ$59="Menor"),CONCATENATE("R2C",'Mapa final'!$R$59),"")</f>
        <v/>
      </c>
      <c r="U57" s="63" t="str">
        <f>IF(AND('Mapa final'!$AH$60="Muy Baja",'Mapa final'!$AJ$60="Menor"),CONCATENATE("R2C",'Mapa final'!$R$60),"")</f>
        <v/>
      </c>
      <c r="V57" s="64" t="str">
        <f>IF(AND('Mapa final'!$AH$71="Muy Baja",'Mapa final'!$AJ$61="Menor"),CONCATENATE("R2C",'Mapa final'!$R$61),"")</f>
        <v/>
      </c>
      <c r="W57" s="53" t="str">
        <f>IF(AND('Mapa final'!$AH$56="Muy Baja",'Mapa final'!$AJ$56="Moderado"),CONCATENATE("R2C",'Mapa final'!$R$56),"")</f>
        <v/>
      </c>
      <c r="X57" s="54" t="str">
        <f>IF(AND('Mapa final'!$AH$57="Muy Baja",'Mapa final'!$AJ$57="Moderado"),CONCATENATE("R2C",'Mapa final'!$R$57),"")</f>
        <v/>
      </c>
      <c r="Y57" s="54" t="str">
        <f>IF(AND('Mapa final'!$AH$58="Muy Baja",'Mapa final'!$AJ$58="Moderado"),CONCATENATE("R2C",'Mapa final'!$R$58),"")</f>
        <v/>
      </c>
      <c r="Z57" s="54" t="str">
        <f>IF(AND('Mapa final'!$AH$59="Muy Baja",'Mapa final'!$AJ$59="Moderado"),CONCATENATE("R2C",'Mapa final'!$R$59),"")</f>
        <v/>
      </c>
      <c r="AA57" s="54" t="str">
        <f>IF(AND('Mapa final'!$AH$60="Muy Baja",'Mapa final'!$AJ$60="Moderado"),CONCATENATE("R2C",'Mapa final'!$R$60),"")</f>
        <v/>
      </c>
      <c r="AB57" s="55" t="str">
        <f>IF(AND('Mapa final'!$AH$71="Muy Baja",'Mapa final'!$AJ$61="Moderado"),CONCATENATE("R2C",'Mapa final'!$R$61),"")</f>
        <v/>
      </c>
      <c r="AC57" s="38" t="str">
        <f>IF(AND('Mapa final'!$AH$56="Muy Baja",'Mapa final'!$AJ$56="Mayor"),CONCATENATE("R2C",'Mapa final'!$R$56),"")</f>
        <v/>
      </c>
      <c r="AD57" s="39" t="str">
        <f>IF(AND('Mapa final'!$AH$57="Muy Baja",'Mapa final'!$AJ$57="Mayor"),CONCATENATE("R2C",'Mapa final'!$R$57),"")</f>
        <v/>
      </c>
      <c r="AE57" s="39" t="str">
        <f>IF(AND('Mapa final'!$AH$58="Muy Baja",'Mapa final'!$AJ$58="Mayor"),CONCATENATE("R2C",'Mapa final'!$R$58),"")</f>
        <v/>
      </c>
      <c r="AF57" s="39" t="str">
        <f>IF(AND('Mapa final'!$AH$59="Muy Baja",'Mapa final'!$AJ$59="Mayor"),CONCATENATE("R2C",'Mapa final'!$R$59),"")</f>
        <v/>
      </c>
      <c r="AG57" s="39" t="str">
        <f>IF(AND('Mapa final'!$AH$60="Muy Baja",'Mapa final'!$AJ$60="Mayor"),CONCATENATE("R2C",'Mapa final'!$R$60),"")</f>
        <v/>
      </c>
      <c r="AH57" s="40" t="str">
        <f>IF(AND('Mapa final'!$AH$71="Muy Baja",'Mapa final'!$AJ$61="Mayor"),CONCATENATE("R2C",'Mapa final'!$R$61),"")</f>
        <v/>
      </c>
      <c r="AI57" s="41" t="str">
        <f>IF(AND('Mapa final'!$AH$56="Muy Baja",'Mapa final'!$AJ$56="Catastrófico"),CONCATENATE("R2C",'Mapa final'!$R$56),"")</f>
        <v/>
      </c>
      <c r="AJ57" s="42" t="str">
        <f>IF(AND('Mapa final'!$AH$57="Muy Baja",'Mapa final'!$AJ$57="Catastrófico"),CONCATENATE("R2C",'Mapa final'!$R$57),"")</f>
        <v/>
      </c>
      <c r="AK57" s="42" t="str">
        <f>IF(AND('Mapa final'!$AH$58="Muy Baja",'Mapa final'!$AJ$58="Catastrófico"),CONCATENATE("R2C",'Mapa final'!$R$58),"")</f>
        <v/>
      </c>
      <c r="AL57" s="42" t="str">
        <f>IF(AND('Mapa final'!$AH$59="Muy Baja",'Mapa final'!$AJ$59="Catastrófico"),CONCATENATE("R2C",'Mapa final'!$R$59),"")</f>
        <v/>
      </c>
      <c r="AM57" s="42" t="str">
        <f>IF(AND('Mapa final'!$AH$60="Muy Baja",'Mapa final'!$AJ$60="Catastrófico"),CONCATENATE("R2C",'Mapa final'!$R$60),"")</f>
        <v/>
      </c>
      <c r="AN57" s="43" t="str">
        <f>IF(AND('Mapa final'!$AH$71="Muy Baja",'Mapa final'!$AJ$61="Catastrófico"),CONCATENATE("R2C",'Mapa final'!$R$61),"")</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x14ac:dyDescent="0.25">
      <c r="B58" s="68"/>
      <c r="C58" s="371"/>
      <c r="D58" s="371"/>
      <c r="E58" s="372"/>
      <c r="F58" s="414"/>
      <c r="G58" s="415"/>
      <c r="H58" s="415"/>
      <c r="I58" s="415"/>
      <c r="J58" s="416"/>
      <c r="K58" s="62" t="str">
        <f>IF(AND('Mapa final'!$AH$62="Muy Baja",'Mapa final'!$AJ$62="Leve"),CONCATENATE("R2C",'Mapa final'!$R$62),"")</f>
        <v/>
      </c>
      <c r="L58" s="63" t="str">
        <f>IF(AND('Mapa final'!$AH$63="Muy Baja",'Mapa final'!$AJ$63="Leve"),CONCATENATE("R2C",'Mapa final'!$R$63),"")</f>
        <v/>
      </c>
      <c r="M58" s="63" t="str">
        <f>IF(AND('Mapa final'!$AH$64="Muy Baja",'Mapa final'!$AJ$64="Leve"),CONCATENATE("R2C",'Mapa final'!$R$64),"")</f>
        <v/>
      </c>
      <c r="N58" s="63" t="str">
        <f>IF(AND('Mapa final'!$AH$65="Muy Baja",'Mapa final'!$AJ$65="Leve"),CONCATENATE("R2C",'Mapa final'!$R$65),"")</f>
        <v/>
      </c>
      <c r="O58" s="63" t="str">
        <f>IF(AND('Mapa final'!$AH$66="Muy Baja",'Mapa final'!$AJ$66="Leve"),CONCATENATE("R2C",'Mapa final'!$R$66),"")</f>
        <v/>
      </c>
      <c r="P58" s="64" t="str">
        <f>IF(AND('Mapa final'!$AH$67="Muy Baja",'Mapa final'!$AJ$67="Leve"),CONCATENATE("R2C",'Mapa final'!$R$67),"")</f>
        <v/>
      </c>
      <c r="Q58" s="62" t="str">
        <f>IF(AND('Mapa final'!$AH$62="Muy Baja",'Mapa final'!$AJ$62="Menor"),CONCATENATE("R2C",'Mapa final'!$R$62),"")</f>
        <v/>
      </c>
      <c r="R58" s="63" t="str">
        <f>IF(AND('Mapa final'!$AH$63="Muy Baja",'Mapa final'!$AJ$63="Menor"),CONCATENATE("R2C",'Mapa final'!$R$63),"")</f>
        <v/>
      </c>
      <c r="S58" s="63" t="str">
        <f>IF(AND('Mapa final'!$AH$64="Muy Baja",'Mapa final'!$AJ$64="Menor"),CONCATENATE("R2C",'Mapa final'!$R$64),"")</f>
        <v/>
      </c>
      <c r="T58" s="63" t="str">
        <f>IF(AND('Mapa final'!$AH$65="Muy Baja",'Mapa final'!$AJ$65="Menor"),CONCATENATE("R2C",'Mapa final'!$R$65),"")</f>
        <v/>
      </c>
      <c r="U58" s="63" t="str">
        <f>IF(AND('Mapa final'!$AH$66="Muy Baja",'Mapa final'!$AJ$66="Menor"),CONCATENATE("R2C",'Mapa final'!$R$66),"")</f>
        <v/>
      </c>
      <c r="V58" s="64" t="str">
        <f>IF(AND('Mapa final'!$AH$67="Muy Baja",'Mapa final'!$AJ$67="Menor"),CONCATENATE("R2C",'Mapa final'!$R$67),"")</f>
        <v/>
      </c>
      <c r="W58" s="53" t="str">
        <f>IF(AND('Mapa final'!$AH$62="Muy Baja",'Mapa final'!$AJ$62="Moderado"),CONCATENATE("R2C",'Mapa final'!$R$62),"")</f>
        <v/>
      </c>
      <c r="X58" s="54" t="str">
        <f>IF(AND('Mapa final'!$AH$63="Muy Baja",'Mapa final'!$AJ$63="Moderado"),CONCATENATE("R2C",'Mapa final'!$R$63),"")</f>
        <v/>
      </c>
      <c r="Y58" s="54" t="str">
        <f>IF(AND('Mapa final'!$AH$64="Muy Baja",'Mapa final'!$AJ$64="Moderado"),CONCATENATE("R2C",'Mapa final'!$R$64),"")</f>
        <v/>
      </c>
      <c r="Z58" s="54" t="str">
        <f>IF(AND('Mapa final'!$AH$65="Muy Baja",'Mapa final'!$AJ$65="Moderado"),CONCATENATE("R2C",'Mapa final'!$R$65),"")</f>
        <v/>
      </c>
      <c r="AA58" s="54" t="str">
        <f>IF(AND('Mapa final'!$AH$66="Muy Baja",'Mapa final'!$AJ$66="Moderado"),CONCATENATE("R2C",'Mapa final'!$R$66),"")</f>
        <v/>
      </c>
      <c r="AB58" s="55" t="str">
        <f>IF(AND('Mapa final'!$AH$67="Muy Baja",'Mapa final'!$AJ$67="Moderado"),CONCATENATE("R2C",'Mapa final'!$R$67),"")</f>
        <v/>
      </c>
      <c r="AC58" s="38" t="str">
        <f>IF(AND('Mapa final'!$AH$62="Muy Baja",'Mapa final'!$AJ$62="Mayor"),CONCATENATE("R2C",'Mapa final'!$R$62),"")</f>
        <v/>
      </c>
      <c r="AD58" s="39" t="str">
        <f>IF(AND('Mapa final'!$AH$63="Muy Baja",'Mapa final'!$AJ$63="Mayor"),CONCATENATE("R2C",'Mapa final'!$R$63),"")</f>
        <v/>
      </c>
      <c r="AE58" s="39" t="str">
        <f>IF(AND('Mapa final'!$AH$64="Muy Baja",'Mapa final'!$AJ$64="Mayor"),CONCATENATE("R2C",'Mapa final'!$R$64),"")</f>
        <v/>
      </c>
      <c r="AF58" s="39" t="str">
        <f>IF(AND('Mapa final'!$AH$65="Muy Baja",'Mapa final'!$AJ$65="Mayor"),CONCATENATE("R2C",'Mapa final'!$R$65),"")</f>
        <v/>
      </c>
      <c r="AG58" s="39" t="str">
        <f>IF(AND('Mapa final'!$AH$66="Muy Baja",'Mapa final'!$AJ$66="Mayor"),CONCATENATE("R2C",'Mapa final'!$R$66),"")</f>
        <v/>
      </c>
      <c r="AH58" s="40" t="str">
        <f>IF(AND('Mapa final'!$AH$67="Muy Baja",'Mapa final'!$AJ$67="Mayor"),CONCATENATE("R2C",'Mapa final'!$R$67),"")</f>
        <v/>
      </c>
      <c r="AI58" s="41" t="str">
        <f>IF(AND('Mapa final'!$AH$62="Muy Baja",'Mapa final'!$AJ$62="Catastrófico"),CONCATENATE("R2C",'Mapa final'!$R$62),"")</f>
        <v/>
      </c>
      <c r="AJ58" s="42" t="str">
        <f>IF(AND('Mapa final'!$AH$63="Muy Baja",'Mapa final'!$AJ$63="Catastrófico"),CONCATENATE("R2C",'Mapa final'!$R$63),"")</f>
        <v/>
      </c>
      <c r="AK58" s="42" t="str">
        <f>IF(AND('Mapa final'!$AH$64="Muy Baja",'Mapa final'!$AJ$64="Catastrófico"),CONCATENATE("R2C",'Mapa final'!$R$64),"")</f>
        <v/>
      </c>
      <c r="AL58" s="42" t="str">
        <f>IF(AND('Mapa final'!$AH$65="Muy Baja",'Mapa final'!$AJ$65="Catastrófico"),CONCATENATE("R2C",'Mapa final'!$R$65),"")</f>
        <v/>
      </c>
      <c r="AM58" s="42" t="str">
        <f>IF(AND('Mapa final'!$AH$66="Muy Baja",'Mapa final'!$AJ$66="Catastrófico"),CONCATENATE("R2C",'Mapa final'!$R$66),"")</f>
        <v/>
      </c>
      <c r="AN58" s="43" t="str">
        <f>IF(AND('Mapa final'!$AH$67="Muy Baja",'Mapa final'!$AJ$67="Catastrófico"),CONCATENATE("R2C",'Mapa final'!$R$67),"")</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x14ac:dyDescent="0.25">
      <c r="B59" s="68"/>
      <c r="C59" s="371"/>
      <c r="D59" s="371"/>
      <c r="E59" s="372"/>
      <c r="F59" s="414"/>
      <c r="G59" s="415"/>
      <c r="H59" s="415"/>
      <c r="I59" s="415"/>
      <c r="J59" s="416"/>
      <c r="K59" s="62" t="str">
        <f>IF(AND('Mapa final'!$AH$68="Muy Baja",'Mapa final'!$AJ$68="Leve"),CONCATENATE("R2C",'Mapa final'!$R$68),"")</f>
        <v/>
      </c>
      <c r="L59" s="63" t="str">
        <f>IF(AND('Mapa final'!$AH$69="Muy Baja",'Mapa final'!$AJ$69="Leve"),CONCATENATE("R2C",'Mapa final'!$R$69),"")</f>
        <v/>
      </c>
      <c r="M59" s="63" t="str">
        <f>IF(AND('Mapa final'!$AH$70="Muy Baja",'Mapa final'!$AJ$70="Leve"),CONCATENATE("R2C",'Mapa final'!$R$70),"")</f>
        <v/>
      </c>
      <c r="N59" s="63" t="str">
        <f>IF(AND('Mapa final'!$AH$71="Muy Baja",'Mapa final'!$AJ$71="Leve"),CONCATENATE("R2C",'Mapa final'!$R$71),"")</f>
        <v/>
      </c>
      <c r="O59" s="63" t="str">
        <f>IF(AND('Mapa final'!$AH$72="Muy Baja",'Mapa final'!$AJ$72="Leve"),CONCATENATE("R2C",'Mapa final'!$R$72),"")</f>
        <v/>
      </c>
      <c r="P59" s="64" t="str">
        <f>IF(AND('Mapa final'!$AH$73="Muy Baja",'Mapa final'!$AJ$73="Leve"),CONCATENATE("R2C",'Mapa final'!$R$73),"")</f>
        <v/>
      </c>
      <c r="Q59" s="62" t="str">
        <f>IF(AND('Mapa final'!$AH$68="Muy Baja",'Mapa final'!$AJ$68="Menor"),CONCATENATE("R2C",'Mapa final'!$R$68),"")</f>
        <v/>
      </c>
      <c r="R59" s="63" t="str">
        <f>IF(AND('Mapa final'!$AH$69="Muy Baja",'Mapa final'!$AJ$69="Menor"),CONCATENATE("R2C",'Mapa final'!$R$69),"")</f>
        <v/>
      </c>
      <c r="S59" s="63" t="str">
        <f>IF(AND('Mapa final'!$AH$70="Muy Baja",'Mapa final'!$AJ$70="Menor"),CONCATENATE("R2C",'Mapa final'!$R$70),"")</f>
        <v/>
      </c>
      <c r="T59" s="63" t="str">
        <f>IF(AND('Mapa final'!$AH$71="Muy Baja",'Mapa final'!$AJ$71="Menor"),CONCATENATE("R2C",'Mapa final'!$R$71),"")</f>
        <v/>
      </c>
      <c r="U59" s="63" t="str">
        <f>IF(AND('Mapa final'!$AH$72="Muy Baja",'Mapa final'!$AJ$72="Menor"),CONCATENATE("R2C",'Mapa final'!$R$72),"")</f>
        <v/>
      </c>
      <c r="V59" s="64" t="str">
        <f>IF(AND('Mapa final'!$AH$73="Muy Baja",'Mapa final'!$AJ$73="Menor"),CONCATENATE("R2C",'Mapa final'!$R$73),"")</f>
        <v/>
      </c>
      <c r="W59" s="53" t="str">
        <f>IF(AND('Mapa final'!$AH$68="Muy Baja",'Mapa final'!$AJ$68="Moderado"),CONCATENATE("R2C",'Mapa final'!$R$68),"")</f>
        <v/>
      </c>
      <c r="X59" s="54" t="str">
        <f>IF(AND('Mapa final'!$AH$69="Muy Baja",'Mapa final'!$AJ$69="Moderado"),CONCATENATE("R2C",'Mapa final'!$R$69),"")</f>
        <v/>
      </c>
      <c r="Y59" s="54" t="str">
        <f>IF(AND('Mapa final'!$AH$70="Muy Baja",'Mapa final'!$AJ$70="Moderado"),CONCATENATE("R2C",'Mapa final'!$R$70),"")</f>
        <v/>
      </c>
      <c r="Z59" s="54" t="str">
        <f>IF(AND('Mapa final'!$AH$71="Muy Baja",'Mapa final'!$AJ$71="Moderado"),CONCATENATE("R2C",'Mapa final'!$R$71),"")</f>
        <v/>
      </c>
      <c r="AA59" s="54" t="str">
        <f>IF(AND('Mapa final'!$AH$72="Muy Baja",'Mapa final'!$AJ$72="Moderado"),CONCATENATE("R2C",'Mapa final'!$R$72),"")</f>
        <v/>
      </c>
      <c r="AB59" s="55" t="str">
        <f>IF(AND('Mapa final'!$AH$73="Muy Baja",'Mapa final'!$AJ$73="Moderado"),CONCATENATE("R2C",'Mapa final'!$R$73),"")</f>
        <v/>
      </c>
      <c r="AC59" s="38" t="str">
        <f>IF(AND('Mapa final'!$AH$68="Muy Baja",'Mapa final'!$AJ$68="Mayor"),CONCATENATE("R2C",'Mapa final'!$R$68),"")</f>
        <v/>
      </c>
      <c r="AD59" s="39" t="str">
        <f>IF(AND('Mapa final'!$AH$69="Muy Baja",'Mapa final'!$AJ$69="Mayor"),CONCATENATE("R2C",'Mapa final'!$R$69),"")</f>
        <v/>
      </c>
      <c r="AE59" s="39" t="str">
        <f>IF(AND('Mapa final'!$AH$70="Muy Baja",'Mapa final'!$AJ$70="Mayor"),CONCATENATE("R2C",'Mapa final'!$R$70),"")</f>
        <v/>
      </c>
      <c r="AF59" s="39" t="str">
        <f>IF(AND('Mapa final'!$AH$71="Muy Baja",'Mapa final'!$AJ$71="Mayor"),CONCATENATE("R2C",'Mapa final'!$R$71),"")</f>
        <v/>
      </c>
      <c r="AG59" s="39" t="str">
        <f>IF(AND('Mapa final'!$AH$72="Muy Baja",'Mapa final'!$AJ$72="Mayor"),CONCATENATE("R2C",'Mapa final'!$R$72),"")</f>
        <v/>
      </c>
      <c r="AH59" s="40" t="str">
        <f>IF(AND('Mapa final'!$AH$73="Muy Baja",'Mapa final'!$AJ$73="Mayor"),CONCATENATE("R2C",'Mapa final'!$R$73),"")</f>
        <v/>
      </c>
      <c r="AI59" s="41" t="str">
        <f>IF(AND('Mapa final'!$AH$68="Muy Baja",'Mapa final'!$AJ$68="Catastrófico"),CONCATENATE("R2C",'Mapa final'!$R$68),"")</f>
        <v/>
      </c>
      <c r="AJ59" s="42" t="str">
        <f>IF(AND('Mapa final'!$AH$69="Muy Baja",'Mapa final'!$AJ$69="Catastrófico"),CONCATENATE("R2C",'Mapa final'!$R$69),"")</f>
        <v/>
      </c>
      <c r="AK59" s="42" t="str">
        <f>IF(AND('Mapa final'!$AH$70="Muy Baja",'Mapa final'!$AJ$70="Catastrófico"),CONCATENATE("R2C",'Mapa final'!$R$70),"")</f>
        <v/>
      </c>
      <c r="AL59" s="42" t="str">
        <f>IF(AND('Mapa final'!$AH$71="Muy Baja",'Mapa final'!$AJ$71="Catastrófico"),CONCATENATE("R2C",'Mapa final'!$R$71),"")</f>
        <v/>
      </c>
      <c r="AM59" s="42" t="str">
        <f>IF(AND('Mapa final'!$AH$72="Muy Baja",'Mapa final'!$AJ$72="Catastrófico"),CONCATENATE("R2C",'Mapa final'!$R$72),"")</f>
        <v/>
      </c>
      <c r="AN59" s="43" t="str">
        <f>IF(AND('Mapa final'!$AH$73="Muy Baja",'Mapa final'!$AJ$73="Catastrófico"),CONCATENATE("R2C",'Mapa final'!$R$73),"")</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x14ac:dyDescent="0.25">
      <c r="B60" s="68"/>
      <c r="C60" s="371"/>
      <c r="D60" s="371"/>
      <c r="E60" s="372"/>
      <c r="F60" s="414"/>
      <c r="G60" s="415"/>
      <c r="H60" s="415"/>
      <c r="I60" s="415"/>
      <c r="J60" s="416"/>
      <c r="K60" s="62" t="str">
        <f>IF(AND('Mapa final'!$AH$74="Muy Baja",'Mapa final'!$AJ$74="Leve"),CONCATENATE("R2C",'Mapa final'!$R$74),"")</f>
        <v/>
      </c>
      <c r="L60" s="63" t="str">
        <f>IF(AND('Mapa final'!$AH$75="Muy Baja",'Mapa final'!$AJ$75="Leve"),CONCATENATE("R2C",'Mapa final'!$R$75),"")</f>
        <v/>
      </c>
      <c r="M60" s="63" t="str">
        <f>IF(AND('Mapa final'!$AH$76="Muy Baja",'Mapa final'!$AJ$76="Leve"),CONCATENATE("R2C",'Mapa final'!$R$76),"")</f>
        <v/>
      </c>
      <c r="N60" s="63" t="str">
        <f>IF(AND('Mapa final'!$AH$77="Muy Baja",'Mapa final'!$AJ$77="Leve"),CONCATENATE("R2C",'Mapa final'!$R$77),"")</f>
        <v/>
      </c>
      <c r="O60" s="63" t="str">
        <f>IF(AND('Mapa final'!$AH$78="Muy Baja",'Mapa final'!$AJ$78="Leve"),CONCATENATE("R2C",'Mapa final'!$R$78),"")</f>
        <v/>
      </c>
      <c r="P60" s="64" t="str">
        <f>IF(AND('Mapa final'!$AH$79="Muy Baja",'Mapa final'!$AJ$79="Leve"),CONCATENATE("R2C",'Mapa final'!$R$79),"")</f>
        <v/>
      </c>
      <c r="Q60" s="62" t="str">
        <f>IF(AND('Mapa final'!$AH$74="Muy Baja",'Mapa final'!$AJ$74="Menor"),CONCATENATE("R2C",'Mapa final'!$R$74),"")</f>
        <v/>
      </c>
      <c r="R60" s="63" t="str">
        <f>IF(AND('Mapa final'!$AH$75="Muy Baja",'Mapa final'!$AJ$75="Menor"),CONCATENATE("R2C",'Mapa final'!$R$75),"")</f>
        <v/>
      </c>
      <c r="S60" s="63" t="str">
        <f>IF(AND('Mapa final'!$AH$76="Muy Baja",'Mapa final'!$AJ$76="Menor"),CONCATENATE("R2C",'Mapa final'!$R$76),"")</f>
        <v/>
      </c>
      <c r="T60" s="63" t="str">
        <f>IF(AND('Mapa final'!$AH$77="Muy Baja",'Mapa final'!$AJ$77="Menor"),CONCATENATE("R2C",'Mapa final'!$R$77),"")</f>
        <v/>
      </c>
      <c r="U60" s="63" t="str">
        <f>IF(AND('Mapa final'!$AH$78="Muy Baja",'Mapa final'!$AJ$78="Menor"),CONCATENATE("R2C",'Mapa final'!$R$78),"")</f>
        <v/>
      </c>
      <c r="V60" s="64" t="str">
        <f>IF(AND('Mapa final'!$AH$79="Muy Baja",'Mapa final'!$AJ$79="Menor"),CONCATENATE("R2C",'Mapa final'!$R$79),"")</f>
        <v/>
      </c>
      <c r="W60" s="53" t="str">
        <f>IF(AND('Mapa final'!$AH$74="Muy Baja",'Mapa final'!$AJ$74="Moderado"),CONCATENATE("R2C",'Mapa final'!$R$74),"")</f>
        <v/>
      </c>
      <c r="X60" s="54" t="str">
        <f>IF(AND('Mapa final'!$AH$75="Muy Baja",'Mapa final'!$AJ$75="Moderado"),CONCATENATE("R2C",'Mapa final'!$R$75),"")</f>
        <v/>
      </c>
      <c r="Y60" s="54" t="str">
        <f>IF(AND('Mapa final'!$AH$76="Muy Baja",'Mapa final'!$AJ$76="Moderado"),CONCATENATE("R2C",'Mapa final'!$R$76),"")</f>
        <v/>
      </c>
      <c r="Z60" s="54" t="str">
        <f>IF(AND('Mapa final'!$AH$77="Muy Baja",'Mapa final'!$AJ$77="Moderado"),CONCATENATE("R2C",'Mapa final'!$R$77),"")</f>
        <v/>
      </c>
      <c r="AA60" s="54" t="str">
        <f>IF(AND('Mapa final'!$AH$78="Muy Baja",'Mapa final'!$AJ$78="Moderado"),CONCATENATE("R2C",'Mapa final'!$R$78),"")</f>
        <v/>
      </c>
      <c r="AB60" s="55" t="str">
        <f>IF(AND('Mapa final'!$AH$79="Muy Baja",'Mapa final'!$AJ$79="Moderado"),CONCATENATE("R2C",'Mapa final'!$R$79),"")</f>
        <v/>
      </c>
      <c r="AC60" s="38" t="str">
        <f>IF(AND('Mapa final'!$AH$74="Muy Baja",'Mapa final'!$AJ$74="Mayor"),CONCATENATE("R2C",'Mapa final'!$R$74),"")</f>
        <v/>
      </c>
      <c r="AD60" s="39" t="str">
        <f>IF(AND('Mapa final'!$AH$75="Muy Baja",'Mapa final'!$AJ$75="Mayor"),CONCATENATE("R2C",'Mapa final'!$R$75),"")</f>
        <v/>
      </c>
      <c r="AE60" s="39" t="str">
        <f>IF(AND('Mapa final'!$AH$76="Muy Baja",'Mapa final'!$AJ$76="Mayor"),CONCATENATE("R2C",'Mapa final'!$R$76),"")</f>
        <v/>
      </c>
      <c r="AF60" s="39" t="str">
        <f>IF(AND('Mapa final'!$AH$77="Muy Baja",'Mapa final'!$AJ$77="Mayor"),CONCATENATE("R2C",'Mapa final'!$R$77),"")</f>
        <v/>
      </c>
      <c r="AG60" s="39" t="str">
        <f>IF(AND('Mapa final'!$AH$78="Muy Baja",'Mapa final'!$AJ$78="Mayor"),CONCATENATE("R2C",'Mapa final'!$R$78),"")</f>
        <v/>
      </c>
      <c r="AH60" s="40" t="str">
        <f>IF(AND('Mapa final'!$AH$79="Muy Baja",'Mapa final'!$AJ$79="Mayor"),CONCATENATE("R2C",'Mapa final'!$R$79),"")</f>
        <v/>
      </c>
      <c r="AI60" s="41" t="str">
        <f>IF(AND('Mapa final'!$AH$74="Muy Baja",'Mapa final'!$AJ$74="Catastrófico"),CONCATENATE("R2C",'Mapa final'!$R$74),"")</f>
        <v/>
      </c>
      <c r="AJ60" s="42" t="str">
        <f>IF(AND('Mapa final'!$AH$75="Muy Baja",'Mapa final'!$AJ$75="Catastrófico"),CONCATENATE("R2C",'Mapa final'!$R$75),"")</f>
        <v/>
      </c>
      <c r="AK60" s="42" t="str">
        <f>IF(AND('Mapa final'!$AH$76="Muy Baja",'Mapa final'!$AJ$76="Catastrófico"),CONCATENATE("R2C",'Mapa final'!$R$76),"")</f>
        <v/>
      </c>
      <c r="AL60" s="42" t="str">
        <f>IF(AND('Mapa final'!$AH$77="Muy Baja",'Mapa final'!$AJ$77="Catastrófico"),CONCATENATE("R2C",'Mapa final'!$R$77),"")</f>
        <v/>
      </c>
      <c r="AM60" s="42" t="str">
        <f>IF(AND('Mapa final'!$AH$78="Muy Baja",'Mapa final'!$AJ$78="Catastrófico"),CONCATENATE("R2C",'Mapa final'!$R$78),"")</f>
        <v/>
      </c>
      <c r="AN60" s="43" t="str">
        <f>IF(AND('Mapa final'!$AH$79="Muy Baja",'Mapa final'!$AJ$79="Catastrófico"),CONCATENATE("R2C",'Mapa final'!$R$79),"")</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x14ac:dyDescent="0.3">
      <c r="B61" s="68"/>
      <c r="C61" s="371"/>
      <c r="D61" s="371"/>
      <c r="E61" s="372"/>
      <c r="F61" s="417"/>
      <c r="G61" s="418"/>
      <c r="H61" s="418"/>
      <c r="I61" s="418"/>
      <c r="J61" s="419"/>
      <c r="K61" s="65" t="str">
        <f>IF(AND('Mapa final'!$AH$80="Muy Baja",'Mapa final'!$AJ$80="Leve"),CONCATENATE("R2C",'Mapa final'!$R$80),"")</f>
        <v/>
      </c>
      <c r="L61" s="66" t="str">
        <f>IF(AND('Mapa final'!$AH$81="Muy Baja",'Mapa final'!$AJ$81="Leve"),CONCATENATE("R2C",'Mapa final'!$R$81),"")</f>
        <v/>
      </c>
      <c r="M61" s="66" t="str">
        <f>IF(AND('Mapa final'!$AH$82="Muy Baja",'Mapa final'!$AJ$82="Leve"),CONCATENATE("R2C",'Mapa final'!$R$82),"")</f>
        <v/>
      </c>
      <c r="N61" s="66" t="str">
        <f>IF(AND('Mapa final'!$AH$83="Muy Baja",'Mapa final'!$AJ$83="Leve"),CONCATENATE("R2C",'Mapa final'!$R$83),"")</f>
        <v/>
      </c>
      <c r="O61" s="66" t="str">
        <f>IF(AND('Mapa final'!$AH$85="Muy Baja",'Mapa final'!$AJ$85="Leve"),CONCATENATE("R2C",'Mapa final'!$R$85),"")</f>
        <v/>
      </c>
      <c r="P61" s="67" t="str">
        <f>IF(AND('Mapa final'!$AH$86="Muy Baja",'Mapa final'!$AJ$86="Leve"),CONCATENATE("R2C",'Mapa final'!$R$86),"")</f>
        <v/>
      </c>
      <c r="Q61" s="65" t="str">
        <f>IF(AND('Mapa final'!$AH$80="Muy Baja",'Mapa final'!$AJ$80="Menor"),CONCATENATE("R2C",'Mapa final'!$R$80),"")</f>
        <v/>
      </c>
      <c r="R61" s="66" t="str">
        <f>IF(AND('Mapa final'!$AH$81="Muy Baja",'Mapa final'!$AJ$81="Menor"),CONCATENATE("R2C",'Mapa final'!$R$81),"")</f>
        <v/>
      </c>
      <c r="S61" s="66" t="str">
        <f>IF(AND('Mapa final'!$AH$82="Muy Baja",'Mapa final'!$AJ$82="Menor"),CONCATENATE("R2C",'Mapa final'!$R$82),"")</f>
        <v/>
      </c>
      <c r="T61" s="66" t="str">
        <f>IF(AND('Mapa final'!$AH$83="Muy Baja",'Mapa final'!$AJ$83="Menor"),CONCATENATE("R2C",'Mapa final'!$R$83),"")</f>
        <v/>
      </c>
      <c r="U61" s="66" t="str">
        <f>IF(AND('Mapa final'!$AH$85="Muy Baja",'Mapa final'!$AJ$85="Menor"),CONCATENATE("R2C",'Mapa final'!$R$85),"")</f>
        <v/>
      </c>
      <c r="V61" s="67" t="str">
        <f>IF(AND('Mapa final'!$AH$86="Muy Baja",'Mapa final'!$AJ$86="Menor"),CONCATENATE("R2C",'Mapa final'!$R$86),"")</f>
        <v/>
      </c>
      <c r="W61" s="56" t="str">
        <f>IF(AND('Mapa final'!$AH$80="Muy Baja",'Mapa final'!$AJ$80="Moderado"),CONCATENATE("R2C",'Mapa final'!$R$80),"")</f>
        <v/>
      </c>
      <c r="X61" s="57" t="str">
        <f>IF(AND('Mapa final'!$AH$81="Muy Baja",'Mapa final'!$AJ$81="Moderado"),CONCATENATE("R2C",'Mapa final'!$R$81),"")</f>
        <v/>
      </c>
      <c r="Y61" s="57" t="str">
        <f>IF(AND('Mapa final'!$AH$82="Muy Baja",'Mapa final'!$AJ$82="Moderado"),CONCATENATE("R2C",'Mapa final'!$R$82),"")</f>
        <v/>
      </c>
      <c r="Z61" s="57" t="str">
        <f>IF(AND('Mapa final'!$AH$83="Muy Baja",'Mapa final'!$AJ$83="Moderado"),CONCATENATE("R2C",'Mapa final'!$R$83),"")</f>
        <v/>
      </c>
      <c r="AA61" s="57" t="str">
        <f>IF(AND('Mapa final'!$AH$85="Muy Baja",'Mapa final'!$AJ$85="Moderado"),CONCATENATE("R2C",'Mapa final'!$R$85),"")</f>
        <v/>
      </c>
      <c r="AB61" s="58" t="str">
        <f>IF(AND('Mapa final'!$AH$86="Muy Baja",'Mapa final'!$AJ$86="Moderado"),CONCATENATE("R2C",'Mapa final'!$R$86),"")</f>
        <v/>
      </c>
      <c r="AC61" s="44" t="str">
        <f>IF(AND('Mapa final'!$AH$80="Muy Baja",'Mapa final'!$AJ$80="Mayor"),CONCATENATE("R2C",'Mapa final'!$R$80),"")</f>
        <v/>
      </c>
      <c r="AD61" s="45" t="str">
        <f>IF(AND('Mapa final'!$AH$81="Muy Baja",'Mapa final'!$AJ$81="Mayor"),CONCATENATE("R2C",'Mapa final'!$R$81),"")</f>
        <v/>
      </c>
      <c r="AE61" s="45" t="str">
        <f>IF(AND('Mapa final'!$AH$82="Muy Baja",'Mapa final'!$AJ$82="Mayor"),CONCATENATE("R2C",'Mapa final'!$R$82),"")</f>
        <v/>
      </c>
      <c r="AF61" s="45" t="str">
        <f>IF(AND('Mapa final'!$AH$83="Muy Baja",'Mapa final'!$AJ$83="Mayor"),CONCATENATE("R2C",'Mapa final'!$R$83),"")</f>
        <v/>
      </c>
      <c r="AG61" s="45" t="str">
        <f>IF(AND('Mapa final'!$AH$85="Muy Baja",'Mapa final'!$AJ$85="Mayor"),CONCATENATE("R2C",'Mapa final'!$R$85),"")</f>
        <v/>
      </c>
      <c r="AH61" s="46" t="str">
        <f>IF(AND('Mapa final'!$AH$86="Muy Baja",'Mapa final'!$AJ$86="Mayor"),CONCATENATE("R2C",'Mapa final'!$R$86),"")</f>
        <v/>
      </c>
      <c r="AI61" s="47" t="str">
        <f>IF(AND('Mapa final'!$AH$80="Muy Baja",'Mapa final'!$AJ$80="Catastrófico"),CONCATENATE("R2C",'Mapa final'!$R$80),"")</f>
        <v/>
      </c>
      <c r="AJ61" s="48" t="str">
        <f>IF(AND('Mapa final'!$AH$81="Muy Baja",'Mapa final'!$AJ$81="Catastrófico"),CONCATENATE("R2C",'Mapa final'!$R$81),"")</f>
        <v/>
      </c>
      <c r="AK61" s="48" t="str">
        <f>IF(AND('Mapa final'!$AH$82="Muy Baja",'Mapa final'!$AJ$82="Catastrófico"),CONCATENATE("R2C",'Mapa final'!$R$82),"")</f>
        <v/>
      </c>
      <c r="AL61" s="48" t="str">
        <f>IF(AND('Mapa final'!$AH$83="Muy Baja",'Mapa final'!$AJ$83="Catastrófico"),CONCATENATE("R2C",'Mapa final'!$R$83),"")</f>
        <v/>
      </c>
      <c r="AM61" s="48" t="str">
        <f>IF(AND('Mapa final'!$AH$85="Muy Baja",'Mapa final'!$AJ$85="Catastrófico"),CONCATENATE("R2C",'Mapa final'!$R$85),"")</f>
        <v/>
      </c>
      <c r="AN61" s="49" t="str">
        <f>IF(AND('Mapa final'!$AH$86="Muy Baja",'Mapa final'!$AJ$86="Catastrófico"),CONCATENATE("R2C",'Mapa final'!$R$86),"")</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x14ac:dyDescent="0.25">
      <c r="B62" s="68"/>
      <c r="C62" s="68"/>
      <c r="D62" s="68"/>
      <c r="E62" s="68"/>
      <c r="F62" s="68"/>
      <c r="G62" s="68"/>
      <c r="H62" s="68"/>
      <c r="I62" s="68"/>
      <c r="J62" s="68"/>
      <c r="K62" s="411" t="s">
        <v>266</v>
      </c>
      <c r="L62" s="412"/>
      <c r="M62" s="412"/>
      <c r="N62" s="412"/>
      <c r="O62" s="412"/>
      <c r="P62" s="413"/>
      <c r="Q62" s="411" t="s">
        <v>267</v>
      </c>
      <c r="R62" s="412"/>
      <c r="S62" s="412"/>
      <c r="T62" s="412"/>
      <c r="U62" s="412"/>
      <c r="V62" s="413"/>
      <c r="W62" s="411" t="s">
        <v>268</v>
      </c>
      <c r="X62" s="412"/>
      <c r="Y62" s="412"/>
      <c r="Z62" s="412"/>
      <c r="AA62" s="412"/>
      <c r="AB62" s="413"/>
      <c r="AC62" s="411" t="s">
        <v>269</v>
      </c>
      <c r="AD62" s="420"/>
      <c r="AE62" s="412"/>
      <c r="AF62" s="412"/>
      <c r="AG62" s="412"/>
      <c r="AH62" s="413"/>
      <c r="AI62" s="411" t="s">
        <v>270</v>
      </c>
      <c r="AJ62" s="412"/>
      <c r="AK62" s="412"/>
      <c r="AL62" s="412"/>
      <c r="AM62" s="412"/>
      <c r="AN62" s="413"/>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x14ac:dyDescent="0.25">
      <c r="B63" s="68"/>
      <c r="C63" s="68"/>
      <c r="D63" s="68"/>
      <c r="E63" s="68"/>
      <c r="F63" s="68"/>
      <c r="G63" s="68"/>
      <c r="H63" s="68"/>
      <c r="I63" s="68"/>
      <c r="J63" s="68"/>
      <c r="K63" s="414"/>
      <c r="L63" s="415"/>
      <c r="M63" s="415"/>
      <c r="N63" s="415"/>
      <c r="O63" s="415"/>
      <c r="P63" s="416"/>
      <c r="Q63" s="414"/>
      <c r="R63" s="415"/>
      <c r="S63" s="415"/>
      <c r="T63" s="415"/>
      <c r="U63" s="415"/>
      <c r="V63" s="416"/>
      <c r="W63" s="414"/>
      <c r="X63" s="415"/>
      <c r="Y63" s="415"/>
      <c r="Z63" s="415"/>
      <c r="AA63" s="415"/>
      <c r="AB63" s="416"/>
      <c r="AC63" s="414"/>
      <c r="AD63" s="415"/>
      <c r="AE63" s="415"/>
      <c r="AF63" s="415"/>
      <c r="AG63" s="415"/>
      <c r="AH63" s="416"/>
      <c r="AI63" s="414"/>
      <c r="AJ63" s="415"/>
      <c r="AK63" s="415"/>
      <c r="AL63" s="415"/>
      <c r="AM63" s="415"/>
      <c r="AN63" s="416"/>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x14ac:dyDescent="0.25">
      <c r="B64" s="68"/>
      <c r="C64" s="68"/>
      <c r="D64" s="68"/>
      <c r="E64" s="68"/>
      <c r="F64" s="68"/>
      <c r="G64" s="68"/>
      <c r="H64" s="68"/>
      <c r="I64" s="68"/>
      <c r="J64" s="68"/>
      <c r="K64" s="414"/>
      <c r="L64" s="415"/>
      <c r="M64" s="415"/>
      <c r="N64" s="415"/>
      <c r="O64" s="415"/>
      <c r="P64" s="416"/>
      <c r="Q64" s="414"/>
      <c r="R64" s="415"/>
      <c r="S64" s="415"/>
      <c r="T64" s="415"/>
      <c r="U64" s="415"/>
      <c r="V64" s="416"/>
      <c r="W64" s="414"/>
      <c r="X64" s="415"/>
      <c r="Y64" s="415"/>
      <c r="Z64" s="415"/>
      <c r="AA64" s="415"/>
      <c r="AB64" s="416"/>
      <c r="AC64" s="414"/>
      <c r="AD64" s="415"/>
      <c r="AE64" s="415"/>
      <c r="AF64" s="415"/>
      <c r="AG64" s="415"/>
      <c r="AH64" s="416"/>
      <c r="AI64" s="414"/>
      <c r="AJ64" s="415"/>
      <c r="AK64" s="415"/>
      <c r="AL64" s="415"/>
      <c r="AM64" s="415"/>
      <c r="AN64" s="416"/>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x14ac:dyDescent="0.25">
      <c r="B65" s="68"/>
      <c r="C65" s="68"/>
      <c r="D65" s="68"/>
      <c r="E65" s="68"/>
      <c r="F65" s="68"/>
      <c r="G65" s="68"/>
      <c r="H65" s="68"/>
      <c r="I65" s="68"/>
      <c r="J65" s="68"/>
      <c r="K65" s="414"/>
      <c r="L65" s="415"/>
      <c r="M65" s="415"/>
      <c r="N65" s="415"/>
      <c r="O65" s="415"/>
      <c r="P65" s="416"/>
      <c r="Q65" s="414"/>
      <c r="R65" s="415"/>
      <c r="S65" s="415"/>
      <c r="T65" s="415"/>
      <c r="U65" s="415"/>
      <c r="V65" s="416"/>
      <c r="W65" s="414"/>
      <c r="X65" s="415"/>
      <c r="Y65" s="415"/>
      <c r="Z65" s="415"/>
      <c r="AA65" s="415"/>
      <c r="AB65" s="416"/>
      <c r="AC65" s="414"/>
      <c r="AD65" s="415"/>
      <c r="AE65" s="415"/>
      <c r="AF65" s="415"/>
      <c r="AG65" s="415"/>
      <c r="AH65" s="416"/>
      <c r="AI65" s="414"/>
      <c r="AJ65" s="415"/>
      <c r="AK65" s="415"/>
      <c r="AL65" s="415"/>
      <c r="AM65" s="415"/>
      <c r="AN65" s="416"/>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x14ac:dyDescent="0.25">
      <c r="B66" s="68"/>
      <c r="C66" s="68"/>
      <c r="D66" s="68"/>
      <c r="E66" s="68"/>
      <c r="F66" s="68"/>
      <c r="G66" s="68"/>
      <c r="H66" s="68"/>
      <c r="I66" s="68"/>
      <c r="J66" s="68"/>
      <c r="K66" s="414"/>
      <c r="L66" s="415"/>
      <c r="M66" s="415"/>
      <c r="N66" s="415"/>
      <c r="O66" s="415"/>
      <c r="P66" s="416"/>
      <c r="Q66" s="414"/>
      <c r="R66" s="415"/>
      <c r="S66" s="415"/>
      <c r="T66" s="415"/>
      <c r="U66" s="415"/>
      <c r="V66" s="416"/>
      <c r="W66" s="414"/>
      <c r="X66" s="415"/>
      <c r="Y66" s="415"/>
      <c r="Z66" s="415"/>
      <c r="AA66" s="415"/>
      <c r="AB66" s="416"/>
      <c r="AC66" s="414"/>
      <c r="AD66" s="415"/>
      <c r="AE66" s="415"/>
      <c r="AF66" s="415"/>
      <c r="AG66" s="415"/>
      <c r="AH66" s="416"/>
      <c r="AI66" s="414"/>
      <c r="AJ66" s="415"/>
      <c r="AK66" s="415"/>
      <c r="AL66" s="415"/>
      <c r="AM66" s="415"/>
      <c r="AN66" s="416"/>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75" thickBot="1" x14ac:dyDescent="0.3">
      <c r="B67" s="68"/>
      <c r="C67" s="68"/>
      <c r="D67" s="68"/>
      <c r="E67" s="68"/>
      <c r="F67" s="68"/>
      <c r="G67" s="68"/>
      <c r="H67" s="68"/>
      <c r="I67" s="68"/>
      <c r="J67" s="68"/>
      <c r="K67" s="417"/>
      <c r="L67" s="418"/>
      <c r="M67" s="418"/>
      <c r="N67" s="418"/>
      <c r="O67" s="418"/>
      <c r="P67" s="419"/>
      <c r="Q67" s="417"/>
      <c r="R67" s="418"/>
      <c r="S67" s="418"/>
      <c r="T67" s="418"/>
      <c r="U67" s="418"/>
      <c r="V67" s="419"/>
      <c r="W67" s="417"/>
      <c r="X67" s="418"/>
      <c r="Y67" s="418"/>
      <c r="Z67" s="418"/>
      <c r="AA67" s="418"/>
      <c r="AB67" s="419"/>
      <c r="AC67" s="417"/>
      <c r="AD67" s="418"/>
      <c r="AE67" s="418"/>
      <c r="AF67" s="418"/>
      <c r="AG67" s="418"/>
      <c r="AH67" s="419"/>
      <c r="AI67" s="417"/>
      <c r="AJ67" s="418"/>
      <c r="AK67" s="418"/>
      <c r="AL67" s="418"/>
      <c r="AM67" s="418"/>
      <c r="AN67" s="419"/>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x14ac:dyDescent="0.25">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x14ac:dyDescent="0.25">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x14ac:dyDescent="0.25">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x14ac:dyDescent="0.25">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x14ac:dyDescent="0.25">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x14ac:dyDescent="0.25">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x14ac:dyDescent="0.25">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x14ac:dyDescent="0.25">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x14ac:dyDescent="0.25">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x14ac:dyDescent="0.25">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x14ac:dyDescent="0.25">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x14ac:dyDescent="0.25">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x14ac:dyDescent="0.25">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x14ac:dyDescent="0.25">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x14ac:dyDescent="0.25">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x14ac:dyDescent="0.25">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x14ac:dyDescent="0.25">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x14ac:dyDescent="0.25">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x14ac:dyDescent="0.25">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x14ac:dyDescent="0.25">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x14ac:dyDescent="0.25">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x14ac:dyDescent="0.25">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x14ac:dyDescent="0.25">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x14ac:dyDescent="0.25">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x14ac:dyDescent="0.25">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x14ac:dyDescent="0.25">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x14ac:dyDescent="0.25">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x14ac:dyDescent="0.25">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x14ac:dyDescent="0.25">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x14ac:dyDescent="0.25">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x14ac:dyDescent="0.25">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x14ac:dyDescent="0.25">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x14ac:dyDescent="0.25">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x14ac:dyDescent="0.25">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x14ac:dyDescent="0.25">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x14ac:dyDescent="0.25">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x14ac:dyDescent="0.25">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x14ac:dyDescent="0.25">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x14ac:dyDescent="0.25">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x14ac:dyDescent="0.25">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x14ac:dyDescent="0.25">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x14ac:dyDescent="0.25">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x14ac:dyDescent="0.25">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x14ac:dyDescent="0.25">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x14ac:dyDescent="0.25">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x14ac:dyDescent="0.25">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x14ac:dyDescent="0.25">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x14ac:dyDescent="0.25">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x14ac:dyDescent="0.25">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x14ac:dyDescent="0.25">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x14ac:dyDescent="0.25">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x14ac:dyDescent="0.25">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x14ac:dyDescent="0.25">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x14ac:dyDescent="0.2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x14ac:dyDescent="0.2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x14ac:dyDescent="0.2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x14ac:dyDescent="0.2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x14ac:dyDescent="0.25">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x14ac:dyDescent="0.25">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x14ac:dyDescent="0.25">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x14ac:dyDescent="0.25">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x14ac:dyDescent="0.25">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x14ac:dyDescent="0.25">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x14ac:dyDescent="0.25">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x14ac:dyDescent="0.25">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x14ac:dyDescent="0.25">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x14ac:dyDescent="0.25">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x14ac:dyDescent="0.25">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x14ac:dyDescent="0.25">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x14ac:dyDescent="0.25">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x14ac:dyDescent="0.25">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x14ac:dyDescent="0.25">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x14ac:dyDescent="0.25">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x14ac:dyDescent="0.25">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x14ac:dyDescent="0.25">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x14ac:dyDescent="0.25">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x14ac:dyDescent="0.25">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x14ac:dyDescent="0.25">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x14ac:dyDescent="0.25">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x14ac:dyDescent="0.25">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x14ac:dyDescent="0.25">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x14ac:dyDescent="0.25">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x14ac:dyDescent="0.25">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x14ac:dyDescent="0.25">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x14ac:dyDescent="0.25">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x14ac:dyDescent="0.25">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x14ac:dyDescent="0.25">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x14ac:dyDescent="0.25">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x14ac:dyDescent="0.25">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x14ac:dyDescent="0.25">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x14ac:dyDescent="0.25">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x14ac:dyDescent="0.25">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x14ac:dyDescent="0.25">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x14ac:dyDescent="0.25">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x14ac:dyDescent="0.25">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x14ac:dyDescent="0.25">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x14ac:dyDescent="0.25">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x14ac:dyDescent="0.25">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x14ac:dyDescent="0.25">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x14ac:dyDescent="0.25">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x14ac:dyDescent="0.25">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x14ac:dyDescent="0.25">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x14ac:dyDescent="0.25">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x14ac:dyDescent="0.25">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x14ac:dyDescent="0.25">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x14ac:dyDescent="0.25">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x14ac:dyDescent="0.25">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x14ac:dyDescent="0.25">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x14ac:dyDescent="0.25">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x14ac:dyDescent="0.25">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x14ac:dyDescent="0.25">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x14ac:dyDescent="0.25">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x14ac:dyDescent="0.25">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x14ac:dyDescent="0.25">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x14ac:dyDescent="0.25">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x14ac:dyDescent="0.25">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x14ac:dyDescent="0.25">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x14ac:dyDescent="0.25">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x14ac:dyDescent="0.25">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x14ac:dyDescent="0.25">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x14ac:dyDescent="0.25">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x14ac:dyDescent="0.25">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x14ac:dyDescent="0.25">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x14ac:dyDescent="0.25">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x14ac:dyDescent="0.25">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x14ac:dyDescent="0.25">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x14ac:dyDescent="0.25">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x14ac:dyDescent="0.25">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x14ac:dyDescent="0.25">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x14ac:dyDescent="0.25">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x14ac:dyDescent="0.25">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x14ac:dyDescent="0.25">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x14ac:dyDescent="0.25">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x14ac:dyDescent="0.25">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x14ac:dyDescent="0.25">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x14ac:dyDescent="0.25">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x14ac:dyDescent="0.25">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x14ac:dyDescent="0.25">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x14ac:dyDescent="0.25">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x14ac:dyDescent="0.25">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x14ac:dyDescent="0.25">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x14ac:dyDescent="0.25">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x14ac:dyDescent="0.25">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x14ac:dyDescent="0.25">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x14ac:dyDescent="0.25">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x14ac:dyDescent="0.25">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x14ac:dyDescent="0.25">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x14ac:dyDescent="0.25">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x14ac:dyDescent="0.25">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x14ac:dyDescent="0.25">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x14ac:dyDescent="0.25">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x14ac:dyDescent="0.25">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x14ac:dyDescent="0.25">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x14ac:dyDescent="0.25">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x14ac:dyDescent="0.25">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x14ac:dyDescent="0.25">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x14ac:dyDescent="0.25">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x14ac:dyDescent="0.25">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x14ac:dyDescent="0.25">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x14ac:dyDescent="0.25">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x14ac:dyDescent="0.25">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x14ac:dyDescent="0.25">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x14ac:dyDescent="0.25">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x14ac:dyDescent="0.25">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x14ac:dyDescent="0.25">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x14ac:dyDescent="0.25">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x14ac:dyDescent="0.25">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x14ac:dyDescent="0.25">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x14ac:dyDescent="0.25">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x14ac:dyDescent="0.25">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x14ac:dyDescent="0.25">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x14ac:dyDescent="0.25">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x14ac:dyDescent="0.25">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x14ac:dyDescent="0.25">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x14ac:dyDescent="0.25">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x14ac:dyDescent="0.25">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x14ac:dyDescent="0.25">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x14ac:dyDescent="0.25">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x14ac:dyDescent="0.25">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x14ac:dyDescent="0.25">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x14ac:dyDescent="0.25">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x14ac:dyDescent="0.25">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x14ac:dyDescent="0.25">
      <c r="B251" s="68"/>
    </row>
    <row r="252" spans="2:61" x14ac:dyDescent="0.25">
      <c r="B252" s="68"/>
    </row>
    <row r="253" spans="2:61" x14ac:dyDescent="0.25">
      <c r="B253" s="68"/>
    </row>
    <row r="254" spans="2:61" x14ac:dyDescent="0.25">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2020-03-24T23:12:47Z</dcterms:created>
  <dcterms:modified xsi:type="dcterms:W3CDTF">2026-08-28T20:59:07Z</dcterms:modified>
  <cp:category/>
  <cp:contentStatus/>
</cp:coreProperties>
</file>