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codeName="ThisWorkbook" hidePivotFieldList="1" defaultThemeVersion="124226"/>
  <mc:AlternateContent xmlns:mc="http://schemas.openxmlformats.org/markup-compatibility/2006">
    <mc:Choice Requires="x15">
      <x15ac:absPath xmlns:x15ac="http://schemas.microsoft.com/office/spreadsheetml/2010/11/ac" url="C:\Users\deisy\Downloads\"/>
    </mc:Choice>
  </mc:AlternateContent>
  <xr:revisionPtr revIDLastSave="0" documentId="8_{87F5E9EF-EE4B-4BA1-B6F1-A17F05135E1E}" xr6:coauthVersionLast="47" xr6:coauthVersionMax="47" xr10:uidLastSave="{00000000-0000-0000-0000-000000000000}"/>
  <bookViews>
    <workbookView xWindow="-120" yWindow="-120" windowWidth="20730" windowHeight="11040" tabRatio="882" firstSheet="2" activeTab="2" xr2:uid="{00000000-000D-0000-FFFF-FFFF00000000}"/>
  </bookViews>
  <sheets>
    <sheet name="PORTADA " sheetId="22" r:id="rId1"/>
    <sheet name="CRITERIOS R CORRUPCION" sheetId="27" r:id="rId2"/>
    <sheet name="Mapa final" sheetId="1" r:id="rId3"/>
    <sheet name="Datos" sheetId="32" state="hidden" r:id="rId4"/>
    <sheet name="Formulas" sheetId="28" state="hidden" r:id="rId5"/>
    <sheet name="Apayo Visual " sheetId="31" r:id="rId6"/>
    <sheet name="eliminar" sheetId="30" state="hidden"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pivotCaches>
    <pivotCache cacheId="543"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9" i="1" l="1"/>
  <c r="Y18" i="1"/>
  <c r="P19" i="1"/>
  <c r="P17" i="1"/>
  <c r="P15" i="1"/>
  <c r="S17" i="1"/>
  <c r="T17" i="1" s="1"/>
  <c r="S19" i="1"/>
  <c r="T19" i="1" s="1"/>
  <c r="S21" i="1"/>
  <c r="T21" i="1" s="1"/>
  <c r="S23" i="1"/>
  <c r="T23" i="1" s="1"/>
  <c r="S25" i="1"/>
  <c r="T25" i="1" s="1"/>
  <c r="S27" i="1"/>
  <c r="T27" i="1" s="1"/>
  <c r="S29" i="1"/>
  <c r="T29" i="1" s="1"/>
  <c r="S15" i="1"/>
  <c r="AB15" i="1"/>
  <c r="AB16" i="1"/>
  <c r="AB17" i="1"/>
  <c r="AB19" i="1"/>
  <c r="AB20" i="1"/>
  <c r="AB21" i="1"/>
  <c r="AB22" i="1"/>
  <c r="AB23" i="1"/>
  <c r="AB24" i="1"/>
  <c r="AB25" i="1"/>
  <c r="AB26" i="1"/>
  <c r="AB27" i="1"/>
  <c r="AB28" i="1"/>
  <c r="AB29" i="1"/>
  <c r="AB30" i="1"/>
  <c r="Y15" i="1"/>
  <c r="Y16" i="1"/>
  <c r="Y17" i="1"/>
  <c r="Y20" i="1"/>
  <c r="Y21" i="1"/>
  <c r="Y22" i="1"/>
  <c r="Y23" i="1"/>
  <c r="Y24" i="1"/>
  <c r="Y25" i="1"/>
  <c r="Y26" i="1"/>
  <c r="Y27" i="1"/>
  <c r="Y28" i="1"/>
  <c r="Y29" i="1"/>
  <c r="Y30" i="1"/>
  <c r="P21" i="1"/>
  <c r="Q21" i="1" s="1"/>
  <c r="P23" i="1"/>
  <c r="Q23" i="1" s="1"/>
  <c r="P25" i="1"/>
  <c r="P27" i="1"/>
  <c r="P29" i="1"/>
  <c r="AG22" i="1" l="1"/>
  <c r="AK29" i="1"/>
  <c r="AJ29" i="1" s="1"/>
  <c r="AK21" i="1"/>
  <c r="AJ21" i="1" s="1"/>
  <c r="AK20" i="1"/>
  <c r="AJ20" i="1" s="1"/>
  <c r="AK27" i="1"/>
  <c r="AJ27" i="1" s="1"/>
  <c r="AG23" i="1"/>
  <c r="AI23" i="1" s="1"/>
  <c r="AK19" i="1"/>
  <c r="AJ19" i="1" s="1"/>
  <c r="AG24" i="1"/>
  <c r="AI24" i="1" s="1"/>
  <c r="AG21" i="1"/>
  <c r="AI21" i="1" s="1"/>
  <c r="Q27" i="1"/>
  <c r="AG28" i="1" s="1"/>
  <c r="U27" i="1"/>
  <c r="Q25" i="1"/>
  <c r="AG26" i="1" s="1"/>
  <c r="AH26" i="1" s="1"/>
  <c r="U19" i="1"/>
  <c r="Q19" i="1"/>
  <c r="AG19" i="1" s="1"/>
  <c r="AI19" i="1" s="1"/>
  <c r="AK28" i="1"/>
  <c r="AJ28" i="1" s="1"/>
  <c r="AK30" i="1"/>
  <c r="AJ30" i="1" s="1"/>
  <c r="U29" i="1"/>
  <c r="Q29" i="1"/>
  <c r="AG30" i="1" s="1"/>
  <c r="AK22" i="1"/>
  <c r="AJ22" i="1" s="1"/>
  <c r="AK23" i="1"/>
  <c r="AJ23" i="1" s="1"/>
  <c r="U23" i="1"/>
  <c r="U21" i="1"/>
  <c r="AE51" i="19"/>
  <c r="AI22" i="1" l="1"/>
  <c r="AH22" i="1"/>
  <c r="AL22" i="1" s="1"/>
  <c r="AH21" i="1"/>
  <c r="AH24" i="1"/>
  <c r="AK24" i="1"/>
  <c r="AJ24" i="1" s="1"/>
  <c r="AL24" i="1" s="1"/>
  <c r="AG29" i="1"/>
  <c r="AH29" i="1" s="1"/>
  <c r="AL29" i="1" s="1"/>
  <c r="AI28" i="1"/>
  <c r="AH28" i="1"/>
  <c r="AL28" i="1" s="1"/>
  <c r="AH30" i="1"/>
  <c r="AL30" i="1" s="1"/>
  <c r="AI30" i="1"/>
  <c r="AG27" i="1"/>
  <c r="AG20" i="1"/>
  <c r="AH23" i="1"/>
  <c r="AL23" i="1" s="1"/>
  <c r="AG25" i="1"/>
  <c r="AI25" i="1" s="1"/>
  <c r="AI26" i="1"/>
  <c r="AH19" i="1"/>
  <c r="U25" i="1"/>
  <c r="Q15" i="1" l="1"/>
  <c r="AG15" i="1" s="1"/>
  <c r="U15" i="1"/>
  <c r="AI29" i="1"/>
  <c r="AH25" i="1"/>
  <c r="AG16" i="1"/>
  <c r="AI20" i="1"/>
  <c r="AH20" i="1"/>
  <c r="AL20" i="1" s="1"/>
  <c r="AK25" i="1"/>
  <c r="AJ25" i="1" s="1"/>
  <c r="AK26" i="1"/>
  <c r="AJ26" i="1" s="1"/>
  <c r="AL26" i="1" s="1"/>
  <c r="AI27" i="1"/>
  <c r="AH27" i="1"/>
  <c r="AL27" i="1" s="1"/>
  <c r="Q17" i="1"/>
  <c r="AL21"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L25" i="1" l="1"/>
  <c r="AH15" i="1"/>
  <c r="AI15" i="1"/>
  <c r="AH16" i="1"/>
  <c r="AI16" i="1"/>
  <c r="AG17" i="1"/>
  <c r="AI17" i="1" s="1"/>
  <c r="AG18" i="1"/>
  <c r="AL19" i="1"/>
  <c r="AI53" i="19"/>
  <c r="AN13" i="18"/>
  <c r="AN29" i="18"/>
  <c r="AN37" i="18"/>
  <c r="AN21" i="18"/>
  <c r="AN45" i="18"/>
  <c r="AI18" i="1" l="1"/>
  <c r="AH18" i="1"/>
  <c r="AH17" i="1"/>
  <c r="F29" i="27"/>
  <c r="E29" i="27"/>
  <c r="G29" i="27" s="1"/>
  <c r="P35"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17" i="1" l="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K18" i="1" l="1"/>
  <c r="AJ18" i="1" s="1"/>
  <c r="AL18" i="1" s="1"/>
  <c r="AK17" i="1"/>
  <c r="AJ17" i="1" s="1"/>
  <c r="M52" i="19" s="1"/>
  <c r="Z43" i="18"/>
  <c r="T15" i="1"/>
  <c r="AK16" i="1" s="1"/>
  <c r="AJ16"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52" i="19" l="1"/>
  <c r="S42" i="19"/>
  <c r="M42" i="19"/>
  <c r="S32" i="19"/>
  <c r="S22" i="19"/>
  <c r="M32" i="19"/>
  <c r="AE42" i="19"/>
  <c r="AE52" i="19"/>
  <c r="AK32" i="19"/>
  <c r="AK42" i="19"/>
  <c r="M22" i="19"/>
  <c r="AE22" i="19"/>
  <c r="AK22" i="19"/>
  <c r="M12" i="19"/>
  <c r="AE32" i="19"/>
  <c r="AK12" i="19"/>
  <c r="S52" i="19"/>
  <c r="S12" i="19"/>
  <c r="AL17" i="1"/>
  <c r="AE12" i="19"/>
  <c r="AK15" i="1"/>
  <c r="AJ15" i="1" s="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 r="A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
  <commentList>
    <comment ref="F13" authorId="0" shapeId="0" xr:uid="{31DE014E-1502-4058-AF14-D12B122223C2}">
      <text>
        <t>[Threaded comment]
Your version of Excel allows you to read this threaded comment; however, any edits to it will get removed if the file is opened in a newer version of Excel. Learn more: https://go.microsoft.com/fwlink/?linkid=870924
Comment:
    Para el riesgo Fiscal, solo aplica IMPACTO ECONÓMICO</t>
      </text>
    </comment>
    <comment ref="G13" authorId="1" shapeId="0" xr:uid="{7319F458-F751-4993-B913-0ED035E30CF3}">
      <text>
        <t>[Threaded comment]
Your version of Excel allows you to read this threaded comment; however, any edits to it will get removed if the file is opened in a newer version of Excel. Learn more: https://go.microsoft.com/fwlink/?linkid=870924
Comment:
    Aplica para Riesgo FISCAL</t>
      </text>
    </comment>
    <comment ref="K13" authorId="2" shapeId="0" xr:uid="{00000000-0006-0000-0200-000001000000}">
      <text>
        <r>
          <rPr>
            <sz val="11"/>
            <color theme="1"/>
            <rFont val="Calibri"/>
            <family val="2"/>
            <scheme val="minor"/>
          </rPr>
          <t xml:space="preserve">Inicia con el IMPACTO+ Conector (por) Causa(s) Inmediata(s)+ Conector (debido a) Causa(s) Raíz.
Para el riesgo de Corrupción: se debe tener en cuenta: ACCIÓN U OMISIÓN + USO DEL PODER + DESVIACIÓN DE LA GESTIÓN DE
LO PÚBLICO + EL BENEFICIO PRIVADO. Es decir tener en cuenta los anteriores criterios. 
Aplica para riesgo Gestión/Fiscal/Seguridad de la Información: 
Inicia: IMPACTO+ Conector (por) Causa inmediata+ Conector (debido a) Causa Raíz. 
Riesgos de Corrupción; </t>
        </r>
      </text>
    </comment>
    <comment ref="AU13" authorId="3" shapeId="0" xr:uid="{1816B48D-01BB-448B-AFCC-2FEDB756BA42}">
      <text>
        <t xml:space="preserve">[Threaded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 Así como las desviaciones presentadas en la aplicación del control. </t>
      </text>
    </comment>
    <comment ref="AV13" authorId="4" shapeId="0" xr:uid="{8ADAA9EE-5890-4480-85AE-C33717331CF8}">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AW13" authorId="5" shapeId="0" xr:uid="{975DE72D-945A-4BAE-A64E-E42069A0D1CB}">
      <text>
        <t>[Threaded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t>
      </text>
    </comment>
    <comment ref="AX13" authorId="6" shapeId="0" xr:uid="{837D0758-B511-4B9B-885F-44B15625A2B0}">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List>
</comments>
</file>

<file path=xl/sharedStrings.xml><?xml version="1.0" encoding="utf-8"?>
<sst xmlns="http://schemas.openxmlformats.org/spreadsheetml/2006/main" count="744" uniqueCount="455">
  <si>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</si>
  <si>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</si>
  <si>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</si>
  <si>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</si>
  <si>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</si>
  <si>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</si>
  <si>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</si>
  <si>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</si>
  <si>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</si>
  <si>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</si>
  <si>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</si>
  <si>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</si>
  <si>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</si>
  <si>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</si>
  <si>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</si>
  <si>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</si>
  <si>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</si>
  <si>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X</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</si>
  <si>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</si>
  <si>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</si>
  <si>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</si>
  <si>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</si>
  <si>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</si>
  <si>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</si>
  <si>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</si>
  <si>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</si>
  <si>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</si>
  <si>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</si>
  <si>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</si>
  <si>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</si>
  <si>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</si>
  <si>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</si>
  <si>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</si>
  <si>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</si>
  <si>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</si>
  <si>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</si>
  <si>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</si>
  <si>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</si>
  <si>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</si>
  <si>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</si>
  <si>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</si>
  <si>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</si>
  <si>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</si>
  <si>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GESTIÓN SERVICIO AL CIUDADANO</t>
  </si>
  <si>
    <t>Objetivo:</t>
  </si>
  <si>
    <t>Gestionar la atención, orientación e información a la ciudadanía y grupos de valor, mediante la administración de los canales de atención, la gestión de las PQRSD y el acceso a la información pública, garantizando una atención oportuna, accesible y de calidad.</t>
  </si>
  <si>
    <t>Alcance:</t>
  </si>
  <si>
    <t>Desde la planeación de las acciones para garantizar un óptimo servicio al ciudadano hasta su prestación incluyendo la difusión y acceso a la información pública en la Escuela Tecnológica Instituto Técnico Central.</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</si>
  <si>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</si>
  <si>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</si>
  <si>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</si>
  <si>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</si>
  <si>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</si>
  <si>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</si>
  <si>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</si>
  <si>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</si>
  <si>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</si>
  <si>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</si>
  <si>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</si>
  <si>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</si>
  <si>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</si>
  <si>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</si>
  <si>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</si>
  <si>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</si>
  <si>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</si>
  <si>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</si>
  <si>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</si>
  <si>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</si>
  <si>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</si>
  <si>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</si>
  <si>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</si>
  <si>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</si>
  <si>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</si>
  <si>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</si>
  <si>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</si>
  <si>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</si>
  <si>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</si>
  <si>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</si>
  <si>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</si>
  <si>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</si>
  <si>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</si>
  <si>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</si>
  <si>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</si>
  <si>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</si>
  <si>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</si>
  <si>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</si>
  <si>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</si>
  <si>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</si>
  <si>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</si>
  <si>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</si>
  <si>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</si>
  <si>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
Avance de Ejecución de Control(es)</t>
  </si>
  <si>
    <t xml:space="preserve">Evidencias de la ejecución del Control </t>
  </si>
  <si>
    <t xml:space="preserve">
Avance de Ejecución de Plan de Tratamiento</t>
  </si>
  <si>
    <t>Evidencias de la ejecucióndel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</si>
  <si>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</si>
  <si>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</si>
  <si>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</si>
  <si>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</si>
  <si>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</si>
  <si>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</si>
  <si>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</si>
  <si>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</si>
  <si>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</si>
  <si>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</si>
  <si>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</si>
  <si>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</si>
  <si>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Corrupción</t>
  </si>
  <si>
    <t>Reputacional</t>
  </si>
  <si>
    <t>Talento humano</t>
  </si>
  <si>
    <t xml:space="preserve">Debilidades en la trazabilidad y el registro de las atenciones recibidas a través de los canales de atención chat, telefónico y presencial verbal.
Falta de automatización o trazabilidad en algunos canales.
</t>
  </si>
  <si>
    <t xml:space="preserve">
Controles insuficientes para garantizar la radicación y trazabilidad en el SIAC de las peticiones recibidas a través de los canales de atención presencial verbal, telefónico y chat.</t>
  </si>
  <si>
    <t xml:space="preserve">
Posibilidad de afectacion reputacional por aceptar prebendas para omitir el registro de PQRSD recibidad por los canales presenciales, telefónicos o de chat, afectando la integridad del servicio y la trazabilidad institucional en beneficio propio o de terceros.</t>
  </si>
  <si>
    <t>Usuarios, productos y practicas , organizacionales</t>
  </si>
  <si>
    <t>Documental</t>
  </si>
  <si>
    <t>Integridad</t>
  </si>
  <si>
    <t>Moderado (Corrupción)</t>
  </si>
  <si>
    <t xml:space="preserve">El coordinador y/o responsable de atención al ciudadano trimestralmente realiza la verificación de las PQRSD recibidas a través de los canales de chat, telefónico y presencial verbal, mediante la comparación de los registros de atención generados en estos canales con las PQRSD registradas en el SIAC, con el fin de verificar que las solicitudes que requieren radicación hayan sido debidamente registradas en el sistema.
En caso de identificar desviaciones en la ejecución del control o peticiones no registradas, solicita de manera inmediata su radicación y realiza seguimiento a su cumplimiento. 
Evidencias de desviación: Correos electrónicos o comunicaciones de solicitud de radicación de peticiones no registradas y evidencia de registro en SIAC.
</t>
  </si>
  <si>
    <t xml:space="preserve">Reportes mensuales descargados del SIAC.
Registros y/o bases de datos generadas por los canales de atención chat, telefónico y presencial verbal.
Archivo de validación entre los registros de atención y las solicitudes radicadas en el SIAC. 
</t>
  </si>
  <si>
    <t>Detectivo</t>
  </si>
  <si>
    <t>Automático</t>
  </si>
  <si>
    <t>Documentado</t>
  </si>
  <si>
    <t>Continua</t>
  </si>
  <si>
    <t>Con Registro</t>
  </si>
  <si>
    <t>Reportes del SIAC
Reportes Chat
Procedimiento Gestión y Tramite de PQRSD</t>
  </si>
  <si>
    <t>Reducir (mitigar)</t>
  </si>
  <si>
    <t xml:space="preserve">Realizar el registro diario, en un documento de control, de las atenciones recibidas a través de los canales presencial, telefónico y chat, con el fin de consolidar la información de las peticiones verbales atendidas y facilitar su validación y seguimiento frente a las solicitudes radicadas en el SIAC, fortaleciendo la trazabilidad y el control de la gestión realizada.
</t>
  </si>
  <si>
    <t>Funcionarios designados para la atención de los canales presencial verbal, telefónico y chat.</t>
  </si>
  <si>
    <t>Consolidado en documento de control de atenciones registradas.</t>
  </si>
  <si>
    <t xml:space="preserve">Entre  junio- diciembre </t>
  </si>
  <si>
    <t>Gestión</t>
  </si>
  <si>
    <t>Procesos</t>
  </si>
  <si>
    <t xml:space="preserve">
Insatisfacción de los grupos de valor
Respuestas inoportunas, inconsistentes o de baja calidad a las PQRSD</t>
  </si>
  <si>
    <t>Insuficiente apropiación de la cultura de servicio al interior de la entidad.</t>
  </si>
  <si>
    <t>Posibilidad de afectación reputacional por insatisfacción de los grupos de valor, respuestas inoportunas, inconsistentes o de baja calidad a las PQRSD, debido a la insuficiente apropiación de la cultura de servicio al interior de la entidad.</t>
  </si>
  <si>
    <t>Servicios</t>
  </si>
  <si>
    <t>Disponibilidad</t>
  </si>
  <si>
    <t xml:space="preserve">     El riesgo afecta la imagen de la entidad con algunos usuarios de relevancia frente al logro de los objetivos</t>
  </si>
  <si>
    <t>El Profesional del proceso de Servicio al Ciudadano semestralmente realiza capacitaciones en servicio al ciudadano de acuerdo con el Plan Institucional de Capacitación, dirigidas a funcionarios y contratistas con el fin de fortalecer la apropiación institucional del enfoque de servicio. En caso de identificar desviaciones en la ejecución del control, se reprograma la capacitación por cuenta del proceso de servivio al ciudadano.
Evidencia de desviación: Correos de cancelación y reprogramación de la capacitacion.</t>
  </si>
  <si>
    <t>Plan Institucional de Capacitación.
Cronograma de capacitación.
Listados de asistencia.
Material de capacitación.
Evidencia de desviación: Correos de cancelación y reprogramación de la capacitacion.</t>
  </si>
  <si>
    <t>Preventivo</t>
  </si>
  <si>
    <t>Manual</t>
  </si>
  <si>
    <t xml:space="preserve">GTH-PC-07 Ejecución Plan Institucional de Capacitación </t>
  </si>
  <si>
    <t xml:space="preserve">Presentar al Comité Institucional de Gestión y Desempeño (CIGD) un informe ejecutivo que consolidará el estado general y el análisis por dependencias de las PQRSD del trimeste, con el fin de apoyar la toma de decisiones y el seguimiento institucional.
</t>
  </si>
  <si>
    <t>Profesional del proceso Gestion Servicio al Ciudadano.</t>
  </si>
  <si>
    <t>Presentación trimestral realizada ante el CIGD y acta del comité donde conste su socialización.</t>
  </si>
  <si>
    <t>El personal designado de Atención al Ciudadano  semanalmente realiza el seguimiento de las PQRSD registradas en el SIAC, con el propósito de identificar las solicitudes pendientes de respuesta, próximas a vencer o vencidas, y alertar oportunamente a las dependencias responsables para garantizar el cumplimiento de los términos legales de respuesta. En caso de identificar desviaciones en la ejecucion del control se remitiran las alertas correspondientes a las dependencias responsables.</t>
  </si>
  <si>
    <t>Correos electrónicos de alertas enviados a las dependencias responsables con las PQRSD pendientes, próximos a vencer o vencidos</t>
  </si>
  <si>
    <t>Reportes del SIAC
Procedimiento Gestión y Trámite de PQRSD</t>
  </si>
  <si>
    <t>Acceso, uso o tratamiento no autorizado de datos personales contenidos en las solicitudes ciudadanas</t>
  </si>
  <si>
    <t>Debilidades en la asignación, administración y revisión de roles y permisos de acceso en el Sistema Integrado de Atención al Ciudadano (SIAC)</t>
  </si>
  <si>
    <t xml:space="preserve">
Posibilidad de afectación reputacional por el acceso, uso o tratamiento no autorizado de datos personales contenidos en las solicitudes ciudadanas, debido a debilidades en la asignación, administración y revisión de roles y permisos de acceso en el Sistema Integrado de Atención al Ciudadano (SIAC).
</t>
  </si>
  <si>
    <t>Confidencialidad</t>
  </si>
  <si>
    <t>El Coordinador de Gestión Documental y Atención al Ciudadano trimestralmente realiza la verificación de los roles y permisos de acceso asignados a los usuarios del SIAC, con el fin de verificar que el acceso a los datos personales contenidos en las solicitudes ciudadanas corresponda a las funciones y responsabilidades autorizadas. En caso de identificar usuarios con permisos que no corresponden a sus funciones, usuarios retirados con acceso activo o cambios de rol no actualizados, gestiona el ajuste o revocación de los permisos correspondientes y verifica que la actualización haya sido realizada.</t>
  </si>
  <si>
    <t>Evidencia del control: Reporte o listado de usuarios y roles del SIAC 
Evidencias de desviación: Registro o reporte de los ajustes realizados a los usuarios, roles o permisos en el SIAC.</t>
  </si>
  <si>
    <t>Implementar un documento de trabajo de revisión y seguimiento de los roles y permisos de acceso al SIAC, que permita dejar trazabilidad de las verificaciones trimestrales, los usuarios revisados, los permisos validados y los ajustes realizados cuando se identifiquen desviaciones.</t>
  </si>
  <si>
    <t>Cordinador de Gestión Documental y Atención al Ciudadano.</t>
  </si>
  <si>
    <t>Matriz o registro de control de usuarios, roles y permisos del SIAC, actualizado trimestralmente y con registro de las novedades identificadas y los ajustes realizados.</t>
  </si>
  <si>
    <t xml:space="preserve">Entre Junio y diciembre </t>
  </si>
  <si>
    <r>
      <rPr>
        <sz val="10"/>
        <color theme="9"/>
        <rFont val="Arial"/>
        <family val="2"/>
      </rPr>
      <t xml:space="preserve">*Nota: </t>
    </r>
    <r>
      <rPr>
        <sz val="10"/>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</si>
  <si>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r>
      <rPr>
        <b/>
        <sz val="10"/>
        <rFont val="Arial"/>
        <family val="2"/>
      </rPr>
      <t>LIDER DEL PROCESO:</t>
    </r>
    <r>
      <rPr>
        <sz val="10"/>
        <rFont val="Arial"/>
        <family val="2"/>
      </rPr>
      <t xml:space="preserve"> Hno. Ariosto Ardila Silva</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</si>
  <si>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</si>
  <si>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</si>
  <si>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</si>
  <si>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</si>
  <si>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</si>
  <si>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</si>
  <si>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</si>
  <si>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</si>
  <si>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</si>
  <si>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</si>
  <si>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</si>
  <si>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</si>
  <si>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</si>
  <si>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</si>
  <si>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</si>
  <si>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</si>
  <si>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</si>
  <si>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</si>
  <si>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</si>
  <si>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</si>
  <si>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</si>
  <si>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</si>
  <si>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</si>
  <si>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</si>
  <si>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</si>
  <si>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</si>
  <si>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</si>
  <si>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</si>
  <si>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</si>
  <si>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</si>
  <si>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</si>
  <si>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</si>
  <si>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</si>
  <si>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</si>
  <si>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</si>
  <si>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</si>
  <si>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	Procesos</t>
  </si>
  <si>
    <t>Económico</t>
  </si>
  <si>
    <t>Recursos Públicos</t>
  </si>
  <si>
    <t>Evento externo</t>
  </si>
  <si>
    <t>Daños Activos Fisicos</t>
  </si>
  <si>
    <t>Información</t>
  </si>
  <si>
    <t>Registro Sustancial</t>
  </si>
  <si>
    <t>Aceptar</t>
  </si>
  <si>
    <t>Finalizado</t>
  </si>
  <si>
    <t>•	Talento humano</t>
  </si>
  <si>
    <t>Bienes Públicos</t>
  </si>
  <si>
    <t>Financiero</t>
  </si>
  <si>
    <t>Ejecucion y Administracion de procesos</t>
  </si>
  <si>
    <t xml:space="preserve">Software </t>
  </si>
  <si>
    <t>Sin Documentar</t>
  </si>
  <si>
    <t>Aleatoria</t>
  </si>
  <si>
    <t>Registro Material</t>
  </si>
  <si>
    <t>Evitar</t>
  </si>
  <si>
    <t>En curso</t>
  </si>
  <si>
    <t>Fiscal</t>
  </si>
  <si>
    <t>•	Tecnología</t>
  </si>
  <si>
    <t>Económico y Reputacional</t>
  </si>
  <si>
    <t>Intereses Patrimoniales de Naturaleza Pública</t>
  </si>
  <si>
    <t>Infraestructura</t>
  </si>
  <si>
    <t>Fallas Tecnologicas</t>
  </si>
  <si>
    <t>Hardware</t>
  </si>
  <si>
    <t>Correctivo</t>
  </si>
  <si>
    <t>Sin registro</t>
  </si>
  <si>
    <t>Reducir</t>
  </si>
  <si>
    <t>•	Infraestructura</t>
  </si>
  <si>
    <t>Fraude Externo</t>
  </si>
  <si>
    <t>NO APLICA</t>
  </si>
  <si>
    <t>•	Evento externo</t>
  </si>
  <si>
    <t>Fraude Interno</t>
  </si>
  <si>
    <t>Intangibles</t>
  </si>
  <si>
    <t>Reducir (compartir)</t>
  </si>
  <si>
    <t>Tecnología</t>
  </si>
  <si>
    <t>Relaciones Laborales</t>
  </si>
  <si>
    <t>Componentes
de red</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</si>
  <si>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</si>
  <si>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</si>
  <si>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</si>
  <si>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</si>
  <si>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</si>
  <si>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</si>
  <si>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</si>
  <si>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</si>
  <si>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</si>
  <si>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</si>
  <si>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</si>
  <si>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</si>
  <si>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</si>
  <si>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</si>
  <si>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</si>
  <si>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</si>
  <si>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</si>
  <si>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</si>
  <si>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</si>
  <si>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</si>
  <si>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</si>
  <si>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</si>
  <si>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</si>
  <si>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</si>
  <si>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</si>
  <si>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</si>
  <si>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</si>
  <si>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</si>
  <si>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</si>
  <si>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</si>
  <si>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</si>
  <si>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</si>
  <si>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</si>
  <si>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</si>
  <si>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</si>
  <si>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</si>
  <si>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</si>
  <si>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</si>
  <si>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</si>
  <si>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</si>
  <si>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</si>
  <si>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</si>
  <si>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</si>
  <si>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</si>
  <si>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</si>
  <si>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</si>
  <si>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</si>
  <si>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</si>
  <si>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</si>
  <si>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</si>
  <si>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</si>
  <si>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</si>
  <si>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</si>
  <si>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</si>
  <si>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</si>
  <si>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</si>
  <si>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</si>
  <si>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</si>
  <si>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</si>
  <si>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</si>
  <si>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</si>
  <si>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</si>
  <si>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</si>
  <si>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</si>
  <si>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</si>
  <si>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</si>
  <si>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</si>
  <si>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</si>
  <si>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</si>
  <si>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</si>
  <si>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</si>
  <si>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</si>
  <si>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</si>
  <si>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</si>
  <si>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</si>
  <si>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</si>
  <si>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</si>
  <si>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</si>
  <si>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</si>
  <si>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</si>
  <si>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</si>
  <si>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</si>
  <si>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</si>
  <si>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</si>
  <si>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</si>
  <si>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</si>
  <si>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</si>
  <si>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</si>
  <si>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</si>
  <si>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</si>
  <si>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</si>
  <si>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</si>
  <si>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</si>
  <si>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</si>
  <si>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</si>
  <si>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</si>
  <si>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</si>
  <si>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</si>
  <si>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</si>
  <si>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</si>
  <si>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</si>
  <si>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</si>
  <si>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</si>
  <si>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</si>
  <si>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</si>
  <si>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</si>
  <si>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</si>
  <si>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</si>
  <si>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</si>
  <si>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</si>
  <si>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</si>
  <si>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</si>
  <si>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</si>
  <si>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</si>
  <si>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</si>
  <si>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</si>
  <si>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</si>
  <si>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</si>
  <si>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</si>
  <si>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</si>
  <si>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</si>
  <si>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</si>
  <si>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</si>
  <si>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</si>
  <si>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</si>
  <si>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</si>
  <si>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</si>
  <si>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</si>
  <si>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</si>
  <si>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</si>
  <si>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</si>
  <si>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</si>
  <si>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</si>
  <si>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</si>
  <si>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</si>
  <si>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</si>
  <si>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</si>
  <si>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</si>
  <si>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</si>
  <si>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</si>
  <si>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NA</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</si>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</sst>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87">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sz val="11"/>
      <color rgb="FF000000"/>
      <name val="Arial"/>
      <family val="2"/>
    </font>
    <font>
      <sz val="10"/>
      <color theme="0"/>
      <name val="Arial"/>
      <family val="2"/>
    </font>
    <font>
      <u/>
      <sz val="11"/>
      <color theme="10"/>
      <name val="Calibri"/>
      <family val="2"/>
      <scheme val="minor"/>
    </font>
    <font>
      <sz val="11"/>
      <color rgb="FF000000"/>
      <name val="Calibri"/>
      <family val="2"/>
      <scheme val="minor"/>
    </font>
    <font>
      <b/>
      <sz val="10"/>
      <color rgb="FF000000"/>
      <name val="Arial"/>
      <family val="2"/>
    </font>
    <font>
      <u/>
      <sz val="10"/>
      <color theme="10"/>
      <name val="Arial"/>
      <family val="2"/>
    </font>
    <font>
      <sz val="10"/>
      <color theme="9"/>
      <name val="Arial"/>
      <family val="2"/>
    </font>
    <font>
      <sz val="10"/>
      <color rgb="FF000000"/>
      <name val="Arial"/>
      <family val="2"/>
    </font>
  </fonts>
  <fills count="2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0.249977111117893"/>
        <bgColor indexed="64"/>
      </patternFill>
    </fill>
  </fills>
  <borders count="11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81" fillId="0" borderId="0" applyNumberFormat="0" applyFill="0" applyBorder="0" applyAlignment="0" applyProtection="0"/>
  </cellStyleXfs>
  <cellXfs count="626">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0" fillId="0" borderId="0" xfId="0" applyAlignment="1">
      <alignment wrapText="1"/>
    </xf>
    <xf numFmtId="0" fontId="54" fillId="0" borderId="57" xfId="0" applyFont="1" applyBorder="1" applyAlignment="1">
      <alignment horizontal="left" vertical="center"/>
    </xf>
    <xf numFmtId="0" fontId="0" fillId="17" borderId="0" xfId="0" applyFill="1"/>
    <xf numFmtId="0" fontId="61" fillId="17" borderId="0" xfId="0" applyFont="1" applyFill="1"/>
    <xf numFmtId="14" fontId="61" fillId="0" borderId="74" xfId="0" applyNumberFormat="1" applyFont="1" applyBorder="1" applyAlignment="1" applyProtection="1">
      <alignment horizontal="center" vertical="center"/>
      <protection locked="0"/>
    </xf>
    <xf numFmtId="0" fontId="61" fillId="0" borderId="74" xfId="0" applyFont="1" applyBorder="1" applyAlignment="1" applyProtection="1">
      <alignment horizontal="center" vertical="center"/>
      <protection locked="0"/>
    </xf>
    <xf numFmtId="0" fontId="61" fillId="0" borderId="74" xfId="0" applyFont="1" applyBorder="1" applyAlignment="1" applyProtection="1">
      <alignment horizontal="center" vertical="center" wrapText="1"/>
      <protection locked="0"/>
    </xf>
    <xf numFmtId="0" fontId="61" fillId="0" borderId="74" xfId="0" applyFont="1" applyBorder="1" applyAlignment="1" applyProtection="1">
      <alignment horizontal="justify" wrapText="1"/>
      <protection locked="0"/>
    </xf>
    <xf numFmtId="0" fontId="11" fillId="17" borderId="0" xfId="0" applyFont="1" applyFill="1"/>
    <xf numFmtId="0" fontId="62" fillId="0" borderId="24" xfId="0" applyFont="1" applyBorder="1" applyAlignment="1">
      <alignment horizontal="center" vertical="center"/>
    </xf>
    <xf numFmtId="0" fontId="62" fillId="0" borderId="85" xfId="0" applyFont="1" applyBorder="1" applyAlignment="1">
      <alignment horizontal="center" vertical="center" wrapText="1"/>
    </xf>
    <xf numFmtId="0" fontId="62"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66" fillId="16" borderId="74" xfId="0" applyNumberFormat="1" applyFont="1" applyFill="1" applyBorder="1" applyAlignment="1">
      <alignment horizontal="center" vertical="center" wrapText="1"/>
    </xf>
    <xf numFmtId="0" fontId="66" fillId="16" borderId="74" xfId="0" applyFont="1" applyFill="1" applyBorder="1" applyAlignment="1">
      <alignment horizontal="center" vertical="center" wrapText="1"/>
    </xf>
    <xf numFmtId="0" fontId="72" fillId="17" borderId="0" xfId="0" applyFont="1" applyFill="1" applyAlignment="1">
      <alignment horizontal="center" vertical="center" textRotation="90"/>
    </xf>
    <xf numFmtId="0" fontId="74" fillId="0" borderId="0" xfId="0" applyFont="1" applyAlignment="1">
      <alignment vertical="center"/>
    </xf>
    <xf numFmtId="0" fontId="77" fillId="0" borderId="0" xfId="0" applyFont="1"/>
    <xf numFmtId="0" fontId="72" fillId="0" borderId="0" xfId="0" applyFont="1" applyAlignment="1">
      <alignment horizontal="left" vertical="center"/>
    </xf>
    <xf numFmtId="0" fontId="61" fillId="0" borderId="91" xfId="0" applyFont="1" applyBorder="1" applyAlignment="1">
      <alignment horizontal="left" vertical="center"/>
    </xf>
    <xf numFmtId="0" fontId="61" fillId="0" borderId="92" xfId="0" applyFont="1" applyBorder="1" applyAlignment="1">
      <alignment horizontal="left" vertical="center"/>
    </xf>
    <xf numFmtId="0" fontId="77" fillId="3" borderId="0" xfId="0" applyFont="1" applyFill="1"/>
    <xf numFmtId="0" fontId="78" fillId="3" borderId="0" xfId="0" applyFont="1" applyFill="1" applyAlignment="1">
      <alignment horizontal="center" vertical="center"/>
    </xf>
    <xf numFmtId="0" fontId="0" fillId="0" borderId="85" xfId="0" applyBorder="1" applyAlignment="1">
      <alignment horizontal="center" vertical="center"/>
    </xf>
    <xf numFmtId="0" fontId="66" fillId="19" borderId="85" xfId="0" applyFont="1" applyFill="1" applyBorder="1" applyAlignment="1">
      <alignment horizontal="center" vertical="center"/>
    </xf>
    <xf numFmtId="0" fontId="75" fillId="18" borderId="0" xfId="0" applyFont="1" applyFill="1" applyAlignment="1">
      <alignment horizontal="center" vertical="center"/>
    </xf>
    <xf numFmtId="0" fontId="66" fillId="19" borderId="0" xfId="0" applyFont="1" applyFill="1" applyAlignment="1">
      <alignment horizontal="center" vertical="center"/>
    </xf>
    <xf numFmtId="0" fontId="76" fillId="0" borderId="0" xfId="0" applyFont="1" applyAlignment="1">
      <alignment horizontal="center"/>
    </xf>
    <xf numFmtId="0" fontId="76" fillId="0" borderId="0" xfId="0" applyFont="1" applyAlignment="1">
      <alignment horizontal="center" vertical="center"/>
    </xf>
    <xf numFmtId="0" fontId="68" fillId="21" borderId="27" xfId="0" applyFont="1" applyFill="1" applyBorder="1" applyAlignment="1">
      <alignment horizontal="center" vertical="center" wrapText="1"/>
    </xf>
    <xf numFmtId="0" fontId="68" fillId="21" borderId="28" xfId="0" applyFont="1" applyFill="1" applyBorder="1" applyAlignment="1">
      <alignment horizontal="center" vertical="center" wrapText="1"/>
    </xf>
    <xf numFmtId="0" fontId="79" fillId="3" borderId="21" xfId="0" applyFont="1" applyFill="1" applyBorder="1" applyAlignment="1" applyProtection="1">
      <alignment horizontal="justify" vertical="justify" wrapText="1"/>
      <protection locked="0"/>
    </xf>
    <xf numFmtId="0" fontId="67" fillId="0" borderId="22" xfId="0" applyFont="1" applyBorder="1" applyAlignment="1" applyProtection="1">
      <alignment horizontal="center" vertical="center" wrapText="1"/>
      <protection locked="0"/>
    </xf>
    <xf numFmtId="0" fontId="79" fillId="0" borderId="21" xfId="0" applyFont="1" applyBorder="1" applyAlignment="1" applyProtection="1">
      <alignment horizontal="justify" vertical="justify" wrapText="1"/>
      <protection locked="0"/>
    </xf>
    <xf numFmtId="0" fontId="67" fillId="0" borderId="21" xfId="0" applyFont="1" applyBorder="1" applyAlignment="1" applyProtection="1">
      <alignment horizontal="center" vertical="center" wrapText="1"/>
      <protection locked="0"/>
    </xf>
    <xf numFmtId="0" fontId="79"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68" fillId="21" borderId="25" xfId="0" applyFont="1" applyFill="1" applyBorder="1" applyAlignment="1">
      <alignment horizontal="center" vertical="center" wrapText="1"/>
    </xf>
    <xf numFmtId="0" fontId="67" fillId="21" borderId="21" xfId="0" applyFont="1" applyFill="1" applyBorder="1" applyAlignment="1" applyProtection="1">
      <alignment horizontal="center" vertical="center"/>
      <protection locked="0"/>
    </xf>
    <xf numFmtId="0" fontId="79" fillId="23" borderId="22" xfId="0" applyFont="1" applyFill="1" applyBorder="1" applyAlignment="1" applyProtection="1">
      <alignment horizontal="justify" vertical="justify" wrapText="1"/>
      <protection locked="0"/>
    </xf>
    <xf numFmtId="0" fontId="80" fillId="21" borderId="21" xfId="0" applyFont="1" applyFill="1" applyBorder="1" applyAlignment="1" applyProtection="1">
      <alignment horizontal="center" vertical="center"/>
      <protection locked="0"/>
    </xf>
    <xf numFmtId="0" fontId="79" fillId="24" borderId="21" xfId="0" applyFont="1" applyFill="1" applyBorder="1" applyAlignment="1" applyProtection="1">
      <alignment horizontal="justify" vertical="justify" wrapText="1"/>
      <protection locked="0"/>
    </xf>
    <xf numFmtId="0" fontId="79" fillId="22" borderId="67" xfId="0" applyFont="1" applyFill="1" applyBorder="1" applyAlignment="1" applyProtection="1">
      <alignment wrapText="1"/>
      <protection locked="0"/>
    </xf>
    <xf numFmtId="0" fontId="61"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56" fillId="18" borderId="0" xfId="0" applyFont="1" applyFill="1" applyAlignment="1">
      <alignment horizontal="center" vertical="center"/>
    </xf>
    <xf numFmtId="0" fontId="56" fillId="18" borderId="0" xfId="0" applyFont="1" applyFill="1" applyAlignment="1">
      <alignment horizontal="center" vertical="center" wrapText="1"/>
    </xf>
    <xf numFmtId="0" fontId="11" fillId="18" borderId="0" xfId="0" applyFont="1" applyFill="1" applyAlignment="1">
      <alignment wrapText="1"/>
    </xf>
    <xf numFmtId="0" fontId="61"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3"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43" fillId="0" borderId="108" xfId="0" applyFont="1" applyBorder="1" applyAlignment="1" applyProtection="1">
      <alignment horizontal="center" vertical="center" wrapText="1"/>
      <protection locked="0"/>
    </xf>
    <xf numFmtId="0" fontId="83" fillId="0" borderId="21" xfId="0" applyFont="1" applyBorder="1" applyAlignment="1">
      <alignment horizontal="left" vertical="center"/>
    </xf>
    <xf numFmtId="0" fontId="67" fillId="0" borderId="0" xfId="0" applyFont="1" applyAlignment="1">
      <alignment horizontal="center" vertical="center"/>
    </xf>
    <xf numFmtId="0" fontId="43" fillId="0" borderId="21" xfId="0" applyFont="1" applyBorder="1" applyAlignment="1" applyProtection="1">
      <alignment horizontal="justify" vertical="center" wrapText="1"/>
      <protection locked="0"/>
    </xf>
    <xf numFmtId="0" fontId="43" fillId="0" borderId="21" xfId="0" applyFont="1" applyBorder="1" applyAlignment="1" applyProtection="1">
      <alignment horizontal="left" vertical="center" wrapText="1"/>
      <protection locked="0"/>
    </xf>
    <xf numFmtId="0" fontId="67" fillId="0" borderId="0" xfId="0" applyFont="1"/>
    <xf numFmtId="0" fontId="67" fillId="0" borderId="0" xfId="0" applyFont="1" applyAlignment="1">
      <alignment horizontal="center"/>
    </xf>
    <xf numFmtId="0" fontId="83" fillId="0" borderId="63" xfId="0" applyFont="1" applyBorder="1" applyAlignment="1" applyProtection="1">
      <alignment horizontal="center" wrapText="1"/>
      <protection locked="0"/>
    </xf>
    <xf numFmtId="0" fontId="83" fillId="0" borderId="57" xfId="0" applyFont="1" applyBorder="1" applyAlignment="1" applyProtection="1">
      <alignment horizontal="center" wrapText="1"/>
      <protection locked="0"/>
    </xf>
    <xf numFmtId="0" fontId="83" fillId="0" borderId="57" xfId="0" applyFont="1" applyBorder="1" applyAlignment="1" applyProtection="1">
      <alignment horizontal="center" vertical="center"/>
      <protection locked="0"/>
    </xf>
    <xf numFmtId="0" fontId="67" fillId="3" borderId="0" xfId="0" applyFont="1" applyFill="1"/>
    <xf numFmtId="0" fontId="80" fillId="3" borderId="0" xfId="0" applyFont="1" applyFill="1"/>
    <xf numFmtId="0" fontId="68" fillId="3" borderId="66" xfId="0" applyFont="1" applyFill="1" applyBorder="1" applyAlignment="1">
      <alignment horizontal="center" vertical="center"/>
    </xf>
    <xf numFmtId="0" fontId="68" fillId="3" borderId="67" xfId="0" applyFont="1" applyFill="1" applyBorder="1" applyAlignment="1">
      <alignment horizontal="center" vertical="center"/>
    </xf>
    <xf numFmtId="0" fontId="68" fillId="3" borderId="65" xfId="0" applyFont="1" applyFill="1" applyBorder="1" applyAlignment="1">
      <alignment horizontal="center" vertical="center"/>
    </xf>
    <xf numFmtId="0" fontId="68" fillId="3" borderId="57" xfId="0" applyFont="1" applyFill="1" applyBorder="1" applyAlignment="1">
      <alignment horizontal="center" vertical="center"/>
    </xf>
    <xf numFmtId="0" fontId="68" fillId="3" borderId="0" xfId="0" applyFont="1" applyFill="1" applyAlignment="1">
      <alignment horizontal="center" vertical="center"/>
    </xf>
    <xf numFmtId="0" fontId="68" fillId="3" borderId="40" xfId="0" applyFont="1" applyFill="1" applyBorder="1" applyAlignment="1">
      <alignment vertical="center"/>
    </xf>
    <xf numFmtId="0" fontId="68" fillId="16" borderId="63" xfId="0" applyFont="1" applyFill="1" applyBorder="1" applyAlignment="1">
      <alignment horizontal="center" vertical="center"/>
    </xf>
    <xf numFmtId="0" fontId="68" fillId="16" borderId="21" xfId="0" applyFont="1" applyFill="1" applyBorder="1" applyAlignment="1">
      <alignment horizontal="center" vertical="center" textRotation="90"/>
    </xf>
    <xf numFmtId="0" fontId="68" fillId="16" borderId="21" xfId="0" applyFont="1" applyFill="1" applyBorder="1" applyAlignment="1">
      <alignment horizontal="center" vertical="center" wrapText="1"/>
    </xf>
    <xf numFmtId="0" fontId="69" fillId="3" borderId="0" xfId="0" applyFont="1" applyFill="1" applyAlignment="1">
      <alignment horizontal="center" vertical="center"/>
    </xf>
    <xf numFmtId="0" fontId="69" fillId="2" borderId="0" xfId="0" applyFont="1" applyFill="1" applyAlignment="1">
      <alignment horizontal="center" vertical="center"/>
    </xf>
    <xf numFmtId="0" fontId="43" fillId="0" borderId="21" xfId="0" applyFont="1" applyBorder="1" applyAlignment="1">
      <alignment horizontal="center" vertical="center" wrapText="1"/>
    </xf>
    <xf numFmtId="0" fontId="43" fillId="0" borderId="21" xfId="0" applyFont="1" applyBorder="1" applyAlignment="1" applyProtection="1">
      <alignment horizontal="center" vertical="center" wrapText="1"/>
      <protection hidden="1"/>
    </xf>
    <xf numFmtId="0" fontId="43" fillId="0" borderId="21" xfId="0" applyFont="1" applyBorder="1" applyAlignment="1" applyProtection="1">
      <alignment horizontal="center" vertical="center" textRotation="90" wrapText="1"/>
      <protection locked="0"/>
    </xf>
    <xf numFmtId="9" fontId="43" fillId="0" borderId="21" xfId="0" applyNumberFormat="1" applyFont="1" applyBorder="1" applyAlignment="1" applyProtection="1">
      <alignment horizontal="center" vertical="center" wrapText="1"/>
      <protection hidden="1"/>
    </xf>
    <xf numFmtId="164" fontId="43" fillId="0" borderId="21" xfId="1" applyNumberFormat="1" applyFont="1" applyBorder="1" applyAlignment="1">
      <alignment horizontal="center" vertical="center" wrapText="1"/>
    </xf>
    <xf numFmtId="0" fontId="54" fillId="0" borderId="21" xfId="0" applyFont="1" applyBorder="1" applyAlignment="1" applyProtection="1">
      <alignment horizontal="center" vertical="center" textRotation="90" wrapText="1"/>
      <protection hidden="1"/>
    </xf>
    <xf numFmtId="14" fontId="43" fillId="27" borderId="21" xfId="0" applyNumberFormat="1" applyFont="1" applyFill="1" applyBorder="1" applyAlignment="1" applyProtection="1">
      <alignment horizontal="center" vertical="center" wrapText="1"/>
      <protection locked="0"/>
    </xf>
    <xf numFmtId="0" fontId="43" fillId="17" borderId="21" xfId="0" applyFont="1" applyFill="1" applyBorder="1" applyAlignment="1">
      <alignment horizontal="center" vertical="center" wrapText="1"/>
    </xf>
    <xf numFmtId="14" fontId="84" fillId="17" borderId="21" xfId="5" applyNumberFormat="1" applyFont="1" applyFill="1" applyBorder="1" applyAlignment="1">
      <alignment horizontal="center" vertical="center" wrapText="1"/>
    </xf>
    <xf numFmtId="0" fontId="43" fillId="25" borderId="21" xfId="0" applyFont="1" applyFill="1" applyBorder="1" applyAlignment="1" applyProtection="1">
      <alignment horizontal="center" vertical="center" wrapText="1"/>
      <protection locked="0"/>
    </xf>
    <xf numFmtId="14" fontId="84" fillId="3" borderId="0" xfId="5" applyNumberFormat="1" applyFont="1" applyFill="1" applyAlignment="1">
      <alignment horizontal="center" vertical="center" wrapText="1"/>
    </xf>
    <xf numFmtId="0" fontId="43" fillId="3" borderId="0" xfId="0" applyFont="1" applyFill="1" applyAlignment="1">
      <alignment horizontal="center" vertical="center" wrapText="1"/>
    </xf>
    <xf numFmtId="0" fontId="43" fillId="0" borderId="21" xfId="0" applyFont="1" applyBorder="1" applyAlignment="1">
      <alignment horizontal="center" vertical="center"/>
    </xf>
    <xf numFmtId="0" fontId="84" fillId="17" borderId="21" xfId="5" applyFont="1" applyFill="1" applyBorder="1" applyAlignment="1">
      <alignment horizontal="center" vertical="center" wrapText="1"/>
    </xf>
    <xf numFmtId="0" fontId="84" fillId="3" borderId="0" xfId="5" applyFont="1" applyFill="1" applyAlignment="1">
      <alignment horizontal="center" vertical="center" wrapText="1"/>
    </xf>
    <xf numFmtId="0" fontId="67" fillId="0" borderId="21" xfId="0" applyFont="1" applyBorder="1" applyAlignment="1" applyProtection="1">
      <alignment horizontal="center" vertical="center" textRotation="90" wrapText="1"/>
      <protection locked="0"/>
    </xf>
    <xf numFmtId="0" fontId="67" fillId="17" borderId="21" xfId="0" applyFont="1" applyFill="1" applyBorder="1" applyAlignment="1" applyProtection="1">
      <alignment horizontal="center" vertical="center" wrapText="1"/>
      <protection locked="0"/>
    </xf>
    <xf numFmtId="0" fontId="67" fillId="25" borderId="21" xfId="0" applyFont="1" applyFill="1" applyBorder="1" applyAlignment="1" applyProtection="1">
      <alignment horizontal="center" vertical="center" wrapText="1"/>
      <protection locked="0"/>
    </xf>
    <xf numFmtId="0" fontId="67" fillId="3" borderId="0" xfId="0" applyFont="1" applyFill="1" applyAlignment="1">
      <alignment horizontal="center" vertical="center" wrapText="1"/>
    </xf>
    <xf numFmtId="0" fontId="67" fillId="0" borderId="0" xfId="0" applyFont="1" applyAlignment="1">
      <alignment horizontal="center" vertical="center" wrapText="1"/>
    </xf>
    <xf numFmtId="0" fontId="67" fillId="0" borderId="3" xfId="0" applyFont="1" applyBorder="1" applyAlignment="1">
      <alignment horizontal="center" vertical="center"/>
    </xf>
    <xf numFmtId="0" fontId="67" fillId="0" borderId="2" xfId="0" applyFont="1" applyBorder="1" applyAlignment="1">
      <alignment horizontal="center" vertical="center"/>
    </xf>
    <xf numFmtId="0" fontId="54" fillId="0" borderId="0" xfId="0" applyFont="1" applyAlignment="1">
      <alignment horizontal="center" vertical="center" wrapText="1"/>
    </xf>
    <xf numFmtId="0" fontId="67" fillId="0" borderId="0" xfId="0" applyFont="1" applyAlignment="1">
      <alignment horizontal="center" wrapText="1"/>
    </xf>
    <xf numFmtId="0" fontId="67" fillId="0" borderId="0" xfId="0" applyFont="1" applyAlignment="1">
      <alignment wrapText="1"/>
    </xf>
    <xf numFmtId="0" fontId="67" fillId="0" borderId="0" xfId="0" applyFont="1" applyAlignment="1">
      <alignment vertical="center"/>
    </xf>
    <xf numFmtId="0" fontId="86" fillId="0" borderId="68" xfId="0" applyFont="1" applyBorder="1" applyAlignment="1">
      <alignment horizontal="center" vertical="center" wrapText="1"/>
    </xf>
    <xf numFmtId="0" fontId="86" fillId="0" borderId="0" xfId="0" applyFont="1" applyAlignment="1">
      <alignment vertical="center" wrapText="1"/>
    </xf>
    <xf numFmtId="0" fontId="86" fillId="0" borderId="0" xfId="0" applyFont="1" applyAlignment="1">
      <alignment horizontal="center" vertical="center" wrapText="1"/>
    </xf>
    <xf numFmtId="14" fontId="43" fillId="17" borderId="101" xfId="0" applyNumberFormat="1" applyFont="1" applyFill="1" applyBorder="1" applyAlignment="1">
      <alignment horizontal="center" vertical="center" wrapText="1"/>
    </xf>
    <xf numFmtId="14" fontId="43" fillId="17" borderId="102" xfId="0" applyNumberFormat="1" applyFont="1" applyFill="1" applyBorder="1" applyAlignment="1">
      <alignment horizontal="center" vertical="center" wrapText="1"/>
    </xf>
    <xf numFmtId="14" fontId="43" fillId="17" borderId="22" xfId="0" applyNumberFormat="1" applyFont="1" applyFill="1" applyBorder="1" applyAlignment="1">
      <alignment horizontal="center" vertical="center" wrapText="1"/>
    </xf>
    <xf numFmtId="14" fontId="43" fillId="25" borderId="101" xfId="0" applyNumberFormat="1" applyFont="1" applyFill="1" applyBorder="1" applyAlignment="1" applyProtection="1">
      <alignment horizontal="center" vertical="center" wrapText="1"/>
      <protection locked="0"/>
    </xf>
    <xf numFmtId="14" fontId="43" fillId="25" borderId="102" xfId="0" applyNumberFormat="1" applyFont="1" applyFill="1" applyBorder="1" applyAlignment="1" applyProtection="1">
      <alignment horizontal="center" vertical="center" wrapText="1"/>
      <protection locked="0"/>
    </xf>
    <xf numFmtId="14" fontId="43" fillId="25" borderId="22" xfId="0" applyNumberFormat="1" applyFont="1" applyFill="1" applyBorder="1" applyAlignment="1" applyProtection="1">
      <alignment horizontal="center" vertical="center" wrapText="1"/>
      <protection locked="0"/>
    </xf>
    <xf numFmtId="14" fontId="43" fillId="27" borderId="101" xfId="0" applyNumberFormat="1" applyFont="1" applyFill="1" applyBorder="1" applyAlignment="1" applyProtection="1">
      <alignment horizontal="center" vertical="center" wrapText="1"/>
      <protection locked="0"/>
    </xf>
    <xf numFmtId="14" fontId="43" fillId="27" borderId="102" xfId="0" applyNumberFormat="1" applyFont="1" applyFill="1" applyBorder="1" applyAlignment="1" applyProtection="1">
      <alignment horizontal="center" vertical="center" wrapText="1"/>
      <protection locked="0"/>
    </xf>
    <xf numFmtId="14" fontId="43" fillId="27" borderId="22" xfId="0" applyNumberFormat="1" applyFont="1" applyFill="1" applyBorder="1" applyAlignment="1" applyProtection="1">
      <alignment horizontal="center" vertical="center" wrapText="1"/>
      <protection locked="0"/>
    </xf>
    <xf numFmtId="14" fontId="43" fillId="0" borderId="101" xfId="0" applyNumberFormat="1" applyFont="1" applyBorder="1" applyAlignment="1" applyProtection="1">
      <alignment horizontal="center" vertical="center" wrapText="1"/>
      <protection locked="0"/>
    </xf>
    <xf numFmtId="14" fontId="43" fillId="0" borderId="22" xfId="0" applyNumberFormat="1" applyFont="1" applyBorder="1" applyAlignment="1" applyProtection="1">
      <alignment horizontal="center" vertical="center" wrapText="1"/>
      <protection locked="0"/>
    </xf>
    <xf numFmtId="0" fontId="43" fillId="0" borderId="101" xfId="0" applyFont="1" applyBorder="1" applyAlignment="1" applyProtection="1">
      <alignment horizontal="center" vertical="center" wrapText="1"/>
      <protection locked="0"/>
    </xf>
    <xf numFmtId="0" fontId="43" fillId="0" borderId="22" xfId="0" applyFont="1" applyBorder="1" applyAlignment="1" applyProtection="1">
      <alignment horizontal="center" vertical="center" wrapText="1"/>
      <protection locked="0"/>
    </xf>
    <xf numFmtId="0" fontId="54" fillId="0" borderId="101" xfId="0" applyFont="1" applyBorder="1" applyAlignment="1" applyProtection="1">
      <alignment horizontal="center" vertical="center" wrapText="1"/>
      <protection hidden="1"/>
    </xf>
    <xf numFmtId="0" fontId="54" fillId="0" borderId="22" xfId="0" applyFont="1" applyBorder="1" applyAlignment="1" applyProtection="1">
      <alignment horizontal="center" vertical="center" wrapText="1"/>
      <protection hidden="1"/>
    </xf>
    <xf numFmtId="0" fontId="43" fillId="0" borderId="101" xfId="0" applyFont="1" applyBorder="1" applyAlignment="1" applyProtection="1">
      <alignment horizontal="center" vertical="center" textRotation="90" wrapText="1"/>
      <protection locked="0"/>
    </xf>
    <xf numFmtId="0" fontId="43" fillId="0" borderId="22" xfId="0" applyFont="1" applyBorder="1" applyAlignment="1" applyProtection="1">
      <alignment horizontal="center" vertical="center" textRotation="90" wrapText="1"/>
      <protection locked="0"/>
    </xf>
    <xf numFmtId="9" fontId="43" fillId="0" borderId="101" xfId="0" applyNumberFormat="1" applyFont="1" applyBorder="1" applyAlignment="1" applyProtection="1">
      <alignment horizontal="center" vertical="center" wrapText="1"/>
      <protection hidden="1"/>
    </xf>
    <xf numFmtId="9" fontId="43" fillId="0" borderId="22" xfId="0" applyNumberFormat="1" applyFont="1" applyBorder="1" applyAlignment="1" applyProtection="1">
      <alignment horizontal="center" vertical="center" wrapText="1"/>
      <protection hidden="1"/>
    </xf>
    <xf numFmtId="9" fontId="43" fillId="0" borderId="101" xfId="0" applyNumberFormat="1" applyFont="1" applyBorder="1" applyAlignment="1" applyProtection="1">
      <alignment horizontal="center" vertical="center" wrapText="1"/>
      <protection locked="0"/>
    </xf>
    <xf numFmtId="9" fontId="43" fillId="0" borderId="22" xfId="0" applyNumberFormat="1" applyFont="1" applyBorder="1" applyAlignment="1" applyProtection="1">
      <alignment horizontal="center" vertical="center" wrapText="1"/>
      <protection locked="0"/>
    </xf>
    <xf numFmtId="0" fontId="43" fillId="0" borderId="101" xfId="0" applyFont="1" applyBorder="1" applyAlignment="1">
      <alignment horizontal="center" vertical="center" wrapText="1"/>
    </xf>
    <xf numFmtId="0" fontId="43" fillId="0" borderId="22" xfId="0" applyFont="1" applyBorder="1" applyAlignment="1">
      <alignment horizontal="center" vertical="center" wrapText="1"/>
    </xf>
    <xf numFmtId="0" fontId="67" fillId="0" borderId="101" xfId="0" applyFont="1" applyBorder="1" applyAlignment="1">
      <alignment horizontal="center" vertical="center" wrapText="1"/>
    </xf>
    <xf numFmtId="0" fontId="67" fillId="0" borderId="22" xfId="0" applyFont="1" applyBorder="1" applyAlignment="1">
      <alignment horizontal="center" vertical="center" wrapText="1"/>
    </xf>
    <xf numFmtId="0" fontId="54" fillId="0" borderId="101" xfId="0" applyFont="1" applyBorder="1" applyAlignment="1">
      <alignment horizontal="center" vertical="center" wrapText="1"/>
    </xf>
    <xf numFmtId="0" fontId="54" fillId="0" borderId="22" xfId="0" applyFont="1" applyBorder="1" applyAlignment="1">
      <alignment horizontal="center" vertical="center" wrapText="1"/>
    </xf>
    <xf numFmtId="0" fontId="69" fillId="0" borderId="101" xfId="0" applyFont="1" applyBorder="1" applyAlignment="1">
      <alignment horizontal="center" vertical="center" wrapText="1"/>
    </xf>
    <xf numFmtId="0" fontId="69" fillId="0" borderId="22" xfId="0" applyFont="1" applyBorder="1" applyAlignment="1">
      <alignment horizontal="center" vertical="center" wrapText="1"/>
    </xf>
    <xf numFmtId="0" fontId="68" fillId="16" borderId="21" xfId="0" applyFont="1" applyFill="1" applyBorder="1" applyAlignment="1">
      <alignment horizontal="center" vertical="center" wrapText="1"/>
    </xf>
    <xf numFmtId="0" fontId="68" fillId="16" borderId="22" xfId="0" applyFont="1" applyFill="1" applyBorder="1" applyAlignment="1">
      <alignment horizontal="center" vertical="center"/>
    </xf>
    <xf numFmtId="0" fontId="68" fillId="16" borderId="66" xfId="0" applyFont="1" applyFill="1" applyBorder="1" applyAlignment="1">
      <alignment horizontal="center" vertical="center"/>
    </xf>
    <xf numFmtId="0" fontId="68" fillId="16" borderId="65" xfId="0" applyFont="1" applyFill="1" applyBorder="1" applyAlignment="1">
      <alignment horizontal="center" vertical="center"/>
    </xf>
    <xf numFmtId="0" fontId="68" fillId="16" borderId="21" xfId="0" applyFont="1" applyFill="1" applyBorder="1" applyAlignment="1">
      <alignment horizontal="center" vertical="center" textRotation="90" wrapText="1"/>
    </xf>
    <xf numFmtId="0" fontId="83" fillId="0" borderId="68" xfId="0" applyFont="1" applyBorder="1" applyAlignment="1">
      <alignment horizontal="center" vertical="center" wrapText="1"/>
    </xf>
    <xf numFmtId="0" fontId="54" fillId="0" borderId="66" xfId="0" applyFont="1" applyBorder="1" applyAlignment="1">
      <alignment horizontal="left" vertical="center" wrapText="1"/>
    </xf>
    <xf numFmtId="0" fontId="54" fillId="0" borderId="65" xfId="0" applyFont="1" applyBorder="1" applyAlignment="1">
      <alignment horizontal="left" vertical="center" wrapText="1"/>
    </xf>
    <xf numFmtId="0" fontId="54" fillId="0" borderId="67" xfId="0" applyFont="1" applyBorder="1" applyAlignment="1">
      <alignment horizontal="left" vertical="center" wrapText="1"/>
    </xf>
    <xf numFmtId="0" fontId="86" fillId="0" borderId="68" xfId="0" applyFont="1" applyBorder="1" applyAlignment="1">
      <alignment horizontal="center" vertical="center" wrapText="1"/>
    </xf>
    <xf numFmtId="0" fontId="43" fillId="0" borderId="21" xfId="0" applyFont="1" applyBorder="1" applyAlignment="1">
      <alignment horizontal="left" vertical="center" wrapText="1"/>
    </xf>
    <xf numFmtId="0" fontId="68" fillId="16" borderId="104" xfId="0" applyFont="1" applyFill="1" applyBorder="1" applyAlignment="1">
      <alignment horizontal="center" vertical="center" wrapText="1"/>
    </xf>
    <xf numFmtId="0" fontId="83" fillId="0" borderId="95" xfId="0" applyFont="1" applyBorder="1" applyAlignment="1">
      <alignment horizontal="center" vertical="center" wrapText="1"/>
    </xf>
    <xf numFmtId="0" fontId="83" fillId="0" borderId="96" xfId="0" applyFont="1" applyBorder="1" applyAlignment="1">
      <alignment horizontal="center" vertical="center" wrapText="1"/>
    </xf>
    <xf numFmtId="0" fontId="83" fillId="0" borderId="110" xfId="0" applyFont="1" applyBorder="1" applyAlignment="1">
      <alignment horizontal="center" vertical="center" wrapText="1"/>
    </xf>
    <xf numFmtId="0" fontId="83" fillId="0" borderId="86" xfId="0" applyFont="1" applyBorder="1" applyAlignment="1">
      <alignment horizontal="center" vertical="center" wrapText="1"/>
    </xf>
    <xf numFmtId="0" fontId="83" fillId="0" borderId="0" xfId="0" applyFont="1" applyAlignment="1">
      <alignment horizontal="center" vertical="center" wrapText="1"/>
    </xf>
    <xf numFmtId="0" fontId="83" fillId="0" borderId="72" xfId="0" applyFont="1" applyBorder="1" applyAlignment="1">
      <alignment horizontal="center" vertical="center" wrapText="1"/>
    </xf>
    <xf numFmtId="0" fontId="83" fillId="0" borderId="97" xfId="0" applyFont="1" applyBorder="1" applyAlignment="1">
      <alignment horizontal="center" vertical="center" wrapText="1"/>
    </xf>
    <xf numFmtId="0" fontId="83" fillId="0" borderId="98" xfId="0" applyFont="1" applyBorder="1" applyAlignment="1">
      <alignment horizontal="center" vertical="center" wrapText="1"/>
    </xf>
    <xf numFmtId="0" fontId="83" fillId="0" borderId="111" xfId="0" applyFont="1" applyBorder="1" applyAlignment="1">
      <alignment horizontal="center" vertical="center" wrapText="1"/>
    </xf>
    <xf numFmtId="0" fontId="83" fillId="0" borderId="21" xfId="0" applyFont="1" applyBorder="1" applyAlignment="1" applyProtection="1">
      <alignment horizontal="center" vertical="center"/>
      <protection locked="0"/>
    </xf>
    <xf numFmtId="0" fontId="54" fillId="0" borderId="66" xfId="0" applyFont="1" applyBorder="1" applyAlignment="1">
      <alignment horizontal="left" vertical="center"/>
    </xf>
    <xf numFmtId="0" fontId="54" fillId="0" borderId="65" xfId="0" applyFont="1" applyBorder="1" applyAlignment="1">
      <alignment horizontal="left" vertical="center"/>
    </xf>
    <xf numFmtId="0" fontId="68" fillId="16" borderId="101" xfId="0" applyFont="1" applyFill="1" applyBorder="1" applyAlignment="1">
      <alignment horizontal="center" vertical="center" wrapText="1"/>
    </xf>
    <xf numFmtId="0" fontId="68" fillId="16" borderId="22" xfId="0" applyFont="1" applyFill="1" applyBorder="1" applyAlignment="1">
      <alignment horizontal="center" vertical="center" wrapText="1"/>
    </xf>
    <xf numFmtId="0" fontId="68" fillId="16" borderId="21" xfId="0" applyFont="1" applyFill="1" applyBorder="1" applyAlignment="1">
      <alignment horizontal="center" vertical="center"/>
    </xf>
    <xf numFmtId="0" fontId="68" fillId="16" borderId="66" xfId="0" applyFont="1" applyFill="1" applyBorder="1" applyAlignment="1">
      <alignment horizontal="left" vertical="center"/>
    </xf>
    <xf numFmtId="0" fontId="68" fillId="16" borderId="65" xfId="0" applyFont="1" applyFill="1" applyBorder="1" applyAlignment="1">
      <alignment horizontal="left" vertical="center"/>
    </xf>
    <xf numFmtId="0" fontId="68" fillId="16" borderId="67" xfId="0" applyFont="1" applyFill="1" applyBorder="1" applyAlignment="1">
      <alignment horizontal="left" vertical="center"/>
    </xf>
    <xf numFmtId="0" fontId="68" fillId="16" borderId="21" xfId="0" applyFont="1" applyFill="1" applyBorder="1" applyAlignment="1">
      <alignment horizontal="center" vertical="center" textRotation="90"/>
    </xf>
    <xf numFmtId="0" fontId="68" fillId="18" borderId="67" xfId="0" applyFont="1" applyFill="1" applyBorder="1" applyAlignment="1">
      <alignment horizontal="center" vertical="center" wrapText="1"/>
    </xf>
    <xf numFmtId="0" fontId="68" fillId="18" borderId="21" xfId="0" applyFont="1" applyFill="1" applyBorder="1" applyAlignment="1">
      <alignment horizontal="center" vertical="center" wrapText="1"/>
    </xf>
    <xf numFmtId="0" fontId="68" fillId="16" borderId="99" xfId="0" applyFont="1" applyFill="1" applyBorder="1" applyAlignment="1">
      <alignment horizontal="center" vertical="center" wrapText="1"/>
    </xf>
    <xf numFmtId="0" fontId="68" fillId="16" borderId="105" xfId="0" applyFont="1" applyFill="1" applyBorder="1" applyAlignment="1">
      <alignment horizontal="center" vertical="center" wrapText="1"/>
    </xf>
    <xf numFmtId="0" fontId="68" fillId="16" borderId="63" xfId="0" applyFont="1" applyFill="1" applyBorder="1" applyAlignment="1">
      <alignment horizontal="center" vertical="center" wrapText="1"/>
    </xf>
    <xf numFmtId="0" fontId="68" fillId="16" borderId="106" xfId="0" applyFont="1" applyFill="1" applyBorder="1" applyAlignment="1">
      <alignment horizontal="center" vertical="center" wrapText="1"/>
    </xf>
    <xf numFmtId="14" fontId="43" fillId="26" borderId="109" xfId="0" applyNumberFormat="1" applyFont="1" applyFill="1" applyBorder="1" applyAlignment="1">
      <alignment horizontal="center" vertical="center" wrapText="1"/>
    </xf>
    <xf numFmtId="14" fontId="43" fillId="26" borderId="22" xfId="0" applyNumberFormat="1" applyFont="1" applyFill="1" applyBorder="1" applyAlignment="1">
      <alignment horizontal="center" vertical="center" wrapText="1"/>
    </xf>
    <xf numFmtId="0" fontId="68" fillId="16" borderId="107" xfId="0" applyFont="1" applyFill="1" applyBorder="1" applyAlignment="1">
      <alignment horizontal="center" vertical="center"/>
    </xf>
    <xf numFmtId="0" fontId="67" fillId="0" borderId="64" xfId="0" applyFont="1" applyBorder="1" applyAlignment="1">
      <alignment horizontal="left" vertical="center" wrapText="1"/>
    </xf>
    <xf numFmtId="0" fontId="67" fillId="0" borderId="103" xfId="0" applyFont="1" applyBorder="1" applyAlignment="1">
      <alignment horizontal="left" wrapText="1"/>
    </xf>
    <xf numFmtId="0" fontId="67" fillId="0" borderId="103" xfId="0" applyFont="1" applyBorder="1" applyAlignment="1">
      <alignment horizontal="left"/>
    </xf>
    <xf numFmtId="0" fontId="68" fillId="16" borderId="66" xfId="0" applyFont="1" applyFill="1" applyBorder="1" applyAlignment="1">
      <alignment horizontal="center" vertical="center" wrapText="1"/>
    </xf>
    <xf numFmtId="0" fontId="68" fillId="16" borderId="67" xfId="0" applyFont="1" applyFill="1" applyBorder="1" applyAlignment="1">
      <alignment horizontal="center" vertical="center" wrapText="1"/>
    </xf>
    <xf numFmtId="0" fontId="68" fillId="16" borderId="101" xfId="0" applyFont="1" applyFill="1" applyBorder="1" applyAlignment="1">
      <alignment horizontal="center" vertical="center" textRotation="90"/>
    </xf>
    <xf numFmtId="0" fontId="68" fillId="16" borderId="102" xfId="0" applyFont="1" applyFill="1" applyBorder="1" applyAlignment="1">
      <alignment horizontal="center" vertical="center" textRotation="90"/>
    </xf>
    <xf numFmtId="0" fontId="68" fillId="16" borderId="22" xfId="0" applyFont="1" applyFill="1" applyBorder="1" applyAlignment="1">
      <alignment horizontal="center" vertical="center" textRotation="90"/>
    </xf>
    <xf numFmtId="0" fontId="69" fillId="0" borderId="0" xfId="0" applyFont="1" applyAlignment="1">
      <alignment horizontal="center"/>
    </xf>
    <xf numFmtId="0" fontId="69" fillId="0" borderId="72" xfId="0" applyFont="1" applyBorder="1" applyAlignment="1">
      <alignment horizontal="center"/>
    </xf>
    <xf numFmtId="0" fontId="68" fillId="16" borderId="101" xfId="0" applyFont="1" applyFill="1" applyBorder="1" applyAlignment="1">
      <alignment horizontal="center" vertical="center"/>
    </xf>
    <xf numFmtId="0" fontId="57" fillId="0" borderId="0" xfId="0" applyFont="1" applyAlignment="1">
      <alignment horizontal="center" wrapText="1"/>
    </xf>
    <xf numFmtId="0" fontId="60" fillId="0" borderId="88"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75" xfId="0" applyFont="1" applyBorder="1" applyAlignment="1">
      <alignment horizontal="center" vertical="center" wrapText="1"/>
    </xf>
    <xf numFmtId="0" fontId="60" fillId="0" borderId="71" xfId="0" applyFont="1" applyBorder="1" applyAlignment="1">
      <alignment horizontal="center" vertical="center" wrapText="1"/>
    </xf>
    <xf numFmtId="0" fontId="60" fillId="0" borderId="0" xfId="0" applyFont="1" applyAlignment="1">
      <alignment horizontal="center" vertical="center" wrapText="1"/>
    </xf>
    <xf numFmtId="0" fontId="60" fillId="0" borderId="72" xfId="0" applyFont="1" applyBorder="1" applyAlignment="1">
      <alignment horizontal="center" vertical="center" wrapText="1"/>
    </xf>
    <xf numFmtId="0" fontId="60" fillId="0" borderId="89" xfId="0" applyFont="1" applyBorder="1" applyAlignment="1">
      <alignment horizontal="center" vertical="center" wrapText="1"/>
    </xf>
    <xf numFmtId="0" fontId="60" fillId="0" borderId="11" xfId="0" applyFont="1" applyBorder="1" applyAlignment="1">
      <alignment horizontal="center" vertical="center" wrapText="1"/>
    </xf>
    <xf numFmtId="0" fontId="60" fillId="0" borderId="78" xfId="0" applyFont="1" applyBorder="1" applyAlignment="1">
      <alignment horizontal="center" vertical="center" wrapText="1"/>
    </xf>
    <xf numFmtId="0" fontId="58" fillId="0" borderId="5" xfId="0" applyFont="1" applyBorder="1" applyAlignment="1">
      <alignment horizontal="center" wrapText="1"/>
    </xf>
    <xf numFmtId="0" fontId="58" fillId="0" borderId="6" xfId="0" applyFont="1" applyBorder="1" applyAlignment="1">
      <alignment horizontal="center" wrapText="1"/>
    </xf>
    <xf numFmtId="0" fontId="58" fillId="0" borderId="7" xfId="0" applyFont="1" applyBorder="1" applyAlignment="1">
      <alignment horizontal="center" wrapText="1"/>
    </xf>
    <xf numFmtId="0" fontId="58" fillId="0" borderId="8" xfId="0" applyFont="1" applyBorder="1" applyAlignment="1">
      <alignment horizontal="center" wrapText="1"/>
    </xf>
    <xf numFmtId="0" fontId="58" fillId="0" borderId="9" xfId="0" applyFont="1" applyBorder="1" applyAlignment="1">
      <alignment horizontal="center" wrapText="1"/>
    </xf>
    <xf numFmtId="0" fontId="58"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82" fillId="0" borderId="112" xfId="0" applyFont="1" applyBorder="1" applyAlignment="1">
      <alignment horizontal="center" wrapText="1"/>
    </xf>
    <xf numFmtId="0" fontId="82" fillId="0" borderId="113" xfId="0" applyFont="1" applyBorder="1" applyAlignment="1">
      <alignment horizontal="center" wrapText="1"/>
    </xf>
    <xf numFmtId="0" fontId="82" fillId="0" borderId="114" xfId="0" applyFont="1" applyBorder="1" applyAlignment="1">
      <alignment horizontal="center" wrapText="1"/>
    </xf>
    <xf numFmtId="0" fontId="61" fillId="0" borderId="23" xfId="0" applyFont="1" applyBorder="1" applyAlignment="1">
      <alignment horizontal="left" vertical="center" wrapText="1"/>
    </xf>
    <xf numFmtId="0" fontId="61" fillId="0" borderId="35" xfId="0" applyFont="1" applyBorder="1" applyAlignment="1">
      <alignment horizontal="left" vertical="center" wrapText="1"/>
    </xf>
    <xf numFmtId="0" fontId="60" fillId="0" borderId="94" xfId="0" applyFont="1" applyBorder="1" applyAlignment="1">
      <alignment horizontal="center" vertical="center" wrapText="1"/>
    </xf>
    <xf numFmtId="0" fontId="60" fillId="0" borderId="90" xfId="0" applyFont="1" applyBorder="1" applyAlignment="1">
      <alignment horizontal="center" vertical="center" wrapText="1"/>
    </xf>
    <xf numFmtId="0" fontId="60" fillId="0" borderId="93" xfId="0" applyFont="1" applyBorder="1" applyAlignment="1">
      <alignment horizontal="center" vertical="center" wrapText="1"/>
    </xf>
    <xf numFmtId="0" fontId="56" fillId="18" borderId="94" xfId="0" applyFont="1" applyFill="1" applyBorder="1" applyAlignment="1">
      <alignment horizontal="center" vertical="center"/>
    </xf>
    <xf numFmtId="0" fontId="56" fillId="18" borderId="90" xfId="0" applyFont="1" applyFill="1" applyBorder="1" applyAlignment="1">
      <alignment horizontal="center" vertical="center"/>
    </xf>
    <xf numFmtId="0" fontId="56" fillId="18" borderId="93" xfId="0" applyFont="1" applyFill="1" applyBorder="1" applyAlignment="1">
      <alignment horizontal="center" vertical="center"/>
    </xf>
    <xf numFmtId="0" fontId="66" fillId="18" borderId="5" xfId="0" applyFont="1" applyFill="1" applyBorder="1" applyAlignment="1">
      <alignment horizontal="center" vertical="center"/>
    </xf>
    <xf numFmtId="0" fontId="66" fillId="18" borderId="6" xfId="0" applyFont="1" applyFill="1" applyBorder="1" applyAlignment="1">
      <alignment horizontal="center" vertical="center"/>
    </xf>
    <xf numFmtId="0" fontId="66" fillId="18" borderId="9" xfId="0" applyFont="1" applyFill="1" applyBorder="1" applyAlignment="1">
      <alignment horizontal="center" vertical="center"/>
    </xf>
    <xf numFmtId="0" fontId="66" fillId="18" borderId="10" xfId="0" applyFont="1" applyFill="1" applyBorder="1" applyAlignment="1">
      <alignment horizontal="center" vertical="center"/>
    </xf>
    <xf numFmtId="0" fontId="66" fillId="19" borderId="9" xfId="0" applyFont="1" applyFill="1" applyBorder="1" applyAlignment="1">
      <alignment horizontal="center" vertical="center"/>
    </xf>
    <xf numFmtId="0" fontId="66" fillId="19" borderId="10" xfId="0" applyFont="1" applyFill="1" applyBorder="1" applyAlignment="1">
      <alignment horizontal="center" vertical="center"/>
    </xf>
    <xf numFmtId="0" fontId="66" fillId="18" borderId="5" xfId="0" applyFont="1" applyFill="1" applyBorder="1" applyAlignment="1">
      <alignment horizontal="center" vertical="center" wrapText="1"/>
    </xf>
    <xf numFmtId="0" fontId="66" fillId="18" borderId="6" xfId="0" applyFont="1" applyFill="1" applyBorder="1" applyAlignment="1">
      <alignment horizontal="center" vertical="center" wrapText="1"/>
    </xf>
    <xf numFmtId="0" fontId="66" fillId="18" borderId="9" xfId="0" applyFont="1" applyFill="1" applyBorder="1" applyAlignment="1">
      <alignment horizontal="center" vertical="center" wrapText="1"/>
    </xf>
    <xf numFmtId="0" fontId="66"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0" fillId="5" borderId="0" xfId="0" applyFill="1" applyAlignment="1">
      <alignment horizontal="center"/>
    </xf>
    <xf numFmtId="0" fontId="72" fillId="20" borderId="91" xfId="0" applyFont="1" applyFill="1" applyBorder="1" applyAlignment="1">
      <alignment horizontal="center" vertical="center" wrapText="1"/>
    </xf>
    <xf numFmtId="0" fontId="72" fillId="20" borderId="100" xfId="0" applyFont="1" applyFill="1" applyBorder="1" applyAlignment="1">
      <alignment horizontal="center" vertical="center" wrapText="1"/>
    </xf>
    <xf numFmtId="0" fontId="72" fillId="20" borderId="25" xfId="0" applyFont="1" applyFill="1" applyBorder="1" applyAlignment="1">
      <alignment horizontal="center" vertical="center" wrapText="1"/>
    </xf>
    <xf numFmtId="0" fontId="72" fillId="20" borderId="21" xfId="0" applyFont="1" applyFill="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3" fillId="0" borderId="5" xfId="0" applyFont="1" applyBorder="1" applyAlignment="1">
      <alignment horizontal="center" wrapText="1"/>
    </xf>
    <xf numFmtId="0" fontId="63" fillId="0" borderId="12" xfId="0" applyFont="1" applyBorder="1" applyAlignment="1">
      <alignment horizontal="center" wrapText="1"/>
    </xf>
    <xf numFmtId="0" fontId="63" fillId="0" borderId="6" xfId="0" applyFont="1" applyBorder="1" applyAlignment="1">
      <alignment horizontal="center" wrapText="1"/>
    </xf>
    <xf numFmtId="0" fontId="63" fillId="0" borderId="7" xfId="0" applyFont="1" applyBorder="1" applyAlignment="1">
      <alignment horizontal="center" wrapText="1"/>
    </xf>
    <xf numFmtId="0" fontId="63" fillId="0" borderId="0" xfId="0" applyFont="1" applyAlignment="1">
      <alignment horizontal="center" wrapText="1"/>
    </xf>
    <xf numFmtId="0" fontId="63" fillId="0" borderId="8" xfId="0" applyFont="1" applyBorder="1" applyAlignment="1">
      <alignment horizontal="center" wrapText="1"/>
    </xf>
    <xf numFmtId="0" fontId="63" fillId="0" borderId="9" xfId="0" applyFont="1" applyBorder="1" applyAlignment="1">
      <alignment horizontal="center" wrapText="1"/>
    </xf>
    <xf numFmtId="0" fontId="63" fillId="0" borderId="11" xfId="0" applyFont="1" applyBorder="1" applyAlignment="1">
      <alignment horizontal="center" wrapText="1"/>
    </xf>
    <xf numFmtId="0" fontId="63"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6" fillId="25" borderId="0" xfId="0" applyFont="1" applyFill="1" applyAlignment="1">
      <alignment horizontal="center" vertical="center" wrapText="1" readingOrder="1"/>
    </xf>
    <xf numFmtId="0" fontId="18" fillId="11" borderId="0" xfId="0" applyFont="1" applyFill="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vertical="center" wrapText="1" readingOrder="1"/>
      <protection hidden="1"/>
    </xf>
    <xf numFmtId="0" fontId="15" fillId="0" borderId="7" xfId="0" applyFont="1" applyBorder="1" applyAlignment="1">
      <alignment horizontal="center" vertical="center" wrapText="1"/>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8" fillId="11" borderId="8"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5" fillId="0" borderId="12" xfId="0" applyFont="1" applyBorder="1" applyAlignment="1">
      <alignment horizontal="center" vertical="center" wrapText="1"/>
    </xf>
    <xf numFmtId="0" fontId="18" fillId="11" borderId="9"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7"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72" fillId="0" borderId="0" xfId="0" applyFont="1" applyAlignment="1">
      <alignment horizontal="center"/>
    </xf>
    <xf numFmtId="0" fontId="72" fillId="0" borderId="72" xfId="0" applyFont="1" applyBorder="1" applyAlignment="1">
      <alignment horizontal="center"/>
    </xf>
    <xf numFmtId="0" fontId="22" fillId="0" borderId="0" xfId="0" applyFont="1" applyAlignment="1">
      <alignment horizontal="center" vertical="center" wrapText="1"/>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57" fillId="0" borderId="0" xfId="0" applyFont="1" applyAlignment="1">
      <alignment horizontal="center"/>
    </xf>
    <xf numFmtId="0" fontId="39" fillId="0" borderId="12" xfId="0" applyFont="1" applyBorder="1" applyAlignment="1">
      <alignment horizontal="center" vertical="center" wrapText="1"/>
    </xf>
    <xf numFmtId="0" fontId="58" fillId="0" borderId="95" xfId="0" applyFont="1" applyBorder="1" applyAlignment="1">
      <alignment horizontal="center" wrapText="1"/>
    </xf>
    <xf numFmtId="0" fontId="62" fillId="0" borderId="86" xfId="0" applyFont="1" applyBorder="1" applyAlignment="1">
      <alignment horizontal="center" wrapText="1"/>
    </xf>
    <xf numFmtId="0" fontId="62" fillId="0" borderId="97" xfId="0" applyFont="1" applyBorder="1" applyAlignment="1">
      <alignment horizontal="center" wrapText="1"/>
    </xf>
    <xf numFmtId="0" fontId="60" fillId="0" borderId="5"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9" xfId="0" applyFont="1" applyBorder="1" applyAlignment="1">
      <alignment horizontal="center" vertical="center" wrapText="1"/>
    </xf>
    <xf numFmtId="0" fontId="72" fillId="17" borderId="87" xfId="0" applyFont="1" applyFill="1" applyBorder="1" applyAlignment="1">
      <alignment horizontal="center" vertical="center" textRotation="90"/>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165" fontId="61" fillId="0" borderId="23" xfId="0" applyNumberFormat="1" applyFont="1" applyBorder="1" applyAlignment="1">
      <alignment horizontal="center" vertical="center"/>
    </xf>
    <xf numFmtId="165" fontId="61" fillId="0" borderId="35" xfId="0" applyNumberFormat="1" applyFont="1" applyBorder="1" applyAlignment="1">
      <alignment horizontal="center" vertical="center"/>
    </xf>
    <xf numFmtId="0" fontId="61" fillId="0" borderId="81" xfId="0" applyFont="1" applyBorder="1" applyAlignment="1">
      <alignment horizontal="center" vertical="center" wrapText="1"/>
    </xf>
    <xf numFmtId="0" fontId="61" fillId="0" borderId="33" xfId="0" applyFont="1" applyBorder="1" applyAlignment="1">
      <alignment horizontal="center" vertical="center" wrapText="1"/>
    </xf>
    <xf numFmtId="0" fontId="61" fillId="0" borderId="33" xfId="0" applyFont="1" applyBorder="1" applyAlignment="1">
      <alignment horizontal="left" vertical="center" wrapText="1"/>
    </xf>
    <xf numFmtId="0" fontId="61" fillId="0" borderId="34" xfId="0" applyFont="1" applyBorder="1" applyAlignment="1">
      <alignment horizontal="left" vertical="center" wrapText="1"/>
    </xf>
    <xf numFmtId="0" fontId="71" fillId="0" borderId="0" xfId="0" applyFont="1" applyAlignment="1">
      <alignment horizontal="left" wrapText="1"/>
    </xf>
    <xf numFmtId="0" fontId="69" fillId="0" borderId="7" xfId="0" applyFont="1" applyBorder="1" applyAlignment="1">
      <alignment horizontal="center" vertical="center" wrapText="1"/>
    </xf>
    <xf numFmtId="0" fontId="70" fillId="0" borderId="0" xfId="0" applyFont="1" applyAlignment="1">
      <alignment horizontal="center" vertical="center" wrapText="1"/>
    </xf>
    <xf numFmtId="0" fontId="69" fillId="0" borderId="0" xfId="0" applyFont="1" applyAlignment="1">
      <alignment horizontal="center" vertical="center" wrapText="1"/>
    </xf>
    <xf numFmtId="0" fontId="69" fillId="0" borderId="8" xfId="0" applyFont="1" applyBorder="1" applyAlignment="1">
      <alignment horizontal="center" vertical="center" wrapText="1"/>
    </xf>
    <xf numFmtId="0" fontId="61" fillId="0" borderId="9"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10" xfId="0" applyFont="1" applyBorder="1" applyAlignment="1">
      <alignment horizontal="center" vertical="center" wrapText="1"/>
    </xf>
    <xf numFmtId="0" fontId="61" fillId="0" borderId="11" xfId="0" applyFont="1" applyBorder="1" applyAlignment="1">
      <alignment horizontal="center"/>
    </xf>
    <xf numFmtId="0" fontId="62" fillId="0" borderId="23" xfId="0" applyFont="1" applyBorder="1" applyAlignment="1">
      <alignment horizontal="center" vertical="center" wrapText="1"/>
    </xf>
    <xf numFmtId="0" fontId="62" fillId="0" borderId="24" xfId="0" applyFont="1" applyBorder="1" applyAlignment="1">
      <alignment horizontal="center" vertical="center" wrapText="1"/>
    </xf>
    <xf numFmtId="0" fontId="62" fillId="0" borderId="35" xfId="0" applyFont="1" applyBorder="1" applyAlignment="1">
      <alignment horizontal="center" vertical="center" wrapText="1"/>
    </xf>
    <xf numFmtId="0" fontId="67" fillId="0" borderId="0" xfId="0" applyFont="1" applyAlignment="1">
      <alignment horizontal="center" vertical="center"/>
    </xf>
    <xf numFmtId="0" fontId="68" fillId="16" borderId="82" xfId="0" applyFont="1" applyFill="1" applyBorder="1" applyAlignment="1">
      <alignment horizontal="center" vertical="center" wrapText="1"/>
    </xf>
    <xf numFmtId="0" fontId="68" fillId="16" borderId="83" xfId="0" applyFont="1" applyFill="1" applyBorder="1" applyAlignment="1">
      <alignment horizontal="center" vertical="center" wrapText="1"/>
    </xf>
    <xf numFmtId="0" fontId="68" fillId="16" borderId="8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68" fillId="16" borderId="12" xfId="0" applyFont="1" applyFill="1" applyBorder="1" applyAlignment="1">
      <alignment horizontal="center" vertical="center" wrapText="1"/>
    </xf>
    <xf numFmtId="0" fontId="68" fillId="16" borderId="6" xfId="0" applyFont="1" applyFill="1" applyBorder="1" applyAlignment="1">
      <alignment horizontal="center" vertical="center" wrapText="1"/>
    </xf>
    <xf numFmtId="0" fontId="68" fillId="16" borderId="75" xfId="0" applyFont="1" applyFill="1" applyBorder="1" applyAlignment="1">
      <alignment horizontal="center" vertical="center" wrapText="1"/>
    </xf>
    <xf numFmtId="0" fontId="68" fillId="16" borderId="76" xfId="0" applyFont="1" applyFill="1" applyBorder="1" applyAlignment="1">
      <alignment horizontal="center" vertic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1" fillId="0" borderId="12" xfId="0" applyFont="1" applyBorder="1" applyAlignment="1">
      <alignment horizontal="center"/>
    </xf>
    <xf numFmtId="0" fontId="61" fillId="0" borderId="6" xfId="0" applyFont="1" applyBorder="1" applyAlignment="1">
      <alignment horizontal="center"/>
    </xf>
    <xf numFmtId="0" fontId="66" fillId="16" borderId="32" xfId="0" applyFont="1" applyFill="1" applyBorder="1" applyAlignment="1">
      <alignment horizontal="center" vertical="center" wrapText="1"/>
    </xf>
    <xf numFmtId="0" fontId="66" fillId="16" borderId="33" xfId="0" applyFont="1" applyFill="1" applyBorder="1" applyAlignment="1">
      <alignment horizontal="center" vertical="center" wrapText="1"/>
    </xf>
    <xf numFmtId="0" fontId="66" fillId="16" borderId="80" xfId="0" applyFont="1" applyFill="1" applyBorder="1" applyAlignment="1">
      <alignment horizontal="center" vertical="center" wrapText="1"/>
    </xf>
    <xf numFmtId="0" fontId="66" fillId="16" borderId="81" xfId="0" applyFont="1" applyFill="1" applyBorder="1" applyAlignment="1">
      <alignment horizontal="center" vertical="center" wrapText="1"/>
    </xf>
    <xf numFmtId="0" fontId="66" fillId="16" borderId="24" xfId="0" applyFont="1" applyFill="1" applyBorder="1" applyAlignment="1">
      <alignment horizontal="center" vertical="center" wrapText="1"/>
    </xf>
    <xf numFmtId="0" fontId="66" fillId="16" borderId="35" xfId="0" applyFont="1" applyFill="1" applyBorder="1" applyAlignment="1">
      <alignment horizontal="center" vertical="center" wrapText="1"/>
    </xf>
    <xf numFmtId="0" fontId="63" fillId="0" borderId="69" xfId="0" applyFont="1" applyBorder="1" applyAlignment="1">
      <alignment horizontal="center" wrapText="1"/>
    </xf>
    <xf numFmtId="0" fontId="62" fillId="0" borderId="70" xfId="0" applyFont="1" applyBorder="1" applyAlignment="1">
      <alignment horizontal="center" wrapText="1"/>
    </xf>
    <xf numFmtId="0" fontId="62" fillId="0" borderId="73" xfId="0" applyFont="1" applyBorder="1" applyAlignment="1">
      <alignment horizontal="center" wrapText="1"/>
    </xf>
    <xf numFmtId="0" fontId="65" fillId="0" borderId="5" xfId="0" applyFont="1" applyBorder="1" applyAlignment="1">
      <alignment horizontal="center" vertical="center" wrapText="1"/>
    </xf>
    <xf numFmtId="0" fontId="65" fillId="0" borderId="12"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0" xfId="0" applyFont="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642811" y="1816267"/>
          <a:ext cx="8417093" cy="3995988"/>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7</xdr:row>
      <xdr:rowOff>972910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0500"/>
          <a:ext cx="676275" cy="7715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543"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5" zoomScale="95" zoomScaleNormal="95" workbookViewId="0"/>
  </sheetViews>
  <sheetFormatPr defaultColWidth="11.42578125" defaultRowHeight="15"/>
  <cols>
    <col min="1" max="1" width="3.7109375" style="68" customWidth="1"/>
    <col min="2" max="2" width="16.7109375" customWidth="1"/>
    <col min="3" max="3" width="25" customWidth="1"/>
    <col min="4" max="12" width="10.7109375" customWidth="1"/>
    <col min="13" max="13" width="13.28515625" customWidth="1"/>
    <col min="14" max="14" width="15.5703125" customWidth="1"/>
    <col min="15" max="16384" width="11.42578125" style="68"/>
  </cols>
  <sheetData>
    <row r="1" spans="2:14" ht="12.75" customHeight="1" thickBot="1">
      <c r="B1" s="68"/>
      <c r="C1" s="68"/>
      <c r="D1" s="68"/>
      <c r="E1" s="68"/>
      <c r="F1" s="68"/>
      <c r="G1" s="68"/>
      <c r="H1" s="68"/>
      <c r="I1" s="68"/>
      <c r="J1" s="68"/>
      <c r="K1" s="68"/>
      <c r="L1" s="68"/>
      <c r="M1" s="68"/>
      <c r="N1" s="68"/>
    </row>
    <row r="2" spans="2:14" ht="18.75" customHeight="1">
      <c r="B2" s="318" t="s">
        <v>0</v>
      </c>
      <c r="C2" s="319"/>
      <c r="D2" s="309" t="s">
        <v>1</v>
      </c>
      <c r="E2" s="310"/>
      <c r="F2" s="310"/>
      <c r="G2" s="310"/>
      <c r="H2" s="310"/>
      <c r="I2" s="310"/>
      <c r="J2" s="310"/>
      <c r="K2" s="310"/>
      <c r="L2" s="311"/>
      <c r="M2" s="324" t="s">
        <v>2</v>
      </c>
      <c r="N2" s="325"/>
    </row>
    <row r="3" spans="2:14" ht="15.75" customHeight="1">
      <c r="B3" s="320"/>
      <c r="C3" s="321"/>
      <c r="D3" s="312"/>
      <c r="E3" s="313"/>
      <c r="F3" s="313"/>
      <c r="G3" s="313"/>
      <c r="H3" s="313"/>
      <c r="I3" s="313"/>
      <c r="J3" s="313"/>
      <c r="K3" s="313"/>
      <c r="L3" s="314"/>
      <c r="M3" s="326" t="s">
        <v>3</v>
      </c>
      <c r="N3" s="327"/>
    </row>
    <row r="4" spans="2:14" ht="18.75" customHeight="1">
      <c r="B4" s="320"/>
      <c r="C4" s="321"/>
      <c r="D4" s="312"/>
      <c r="E4" s="313"/>
      <c r="F4" s="313"/>
      <c r="G4" s="313"/>
      <c r="H4" s="313"/>
      <c r="I4" s="313"/>
      <c r="J4" s="313"/>
      <c r="K4" s="313"/>
      <c r="L4" s="314"/>
      <c r="M4" s="326" t="s">
        <v>4</v>
      </c>
      <c r="N4" s="327"/>
    </row>
    <row r="5" spans="2:14" ht="29.25" customHeight="1" thickBot="1">
      <c r="B5" s="322"/>
      <c r="C5" s="323"/>
      <c r="D5" s="315"/>
      <c r="E5" s="316"/>
      <c r="F5" s="316"/>
      <c r="G5" s="316"/>
      <c r="H5" s="316"/>
      <c r="I5" s="316"/>
      <c r="J5" s="316"/>
      <c r="K5" s="316"/>
      <c r="L5" s="317"/>
      <c r="M5" s="328" t="s">
        <v>5</v>
      </c>
      <c r="N5" s="329"/>
    </row>
    <row r="6" spans="2:14" ht="7.5" customHeight="1" thickBot="1"/>
    <row r="7" spans="2:14">
      <c r="B7" s="120"/>
      <c r="C7" s="121"/>
      <c r="D7" s="121"/>
      <c r="E7" s="121"/>
      <c r="F7" s="121"/>
      <c r="G7" s="121"/>
      <c r="H7" s="121"/>
      <c r="I7" s="121"/>
      <c r="J7" s="121"/>
      <c r="K7" s="121"/>
      <c r="L7" s="121"/>
      <c r="M7" s="121"/>
      <c r="N7" s="122"/>
    </row>
    <row r="8" spans="2:14">
      <c r="B8" s="123"/>
      <c r="N8" s="124"/>
    </row>
    <row r="9" spans="2:14">
      <c r="B9" s="123"/>
      <c r="N9" s="124"/>
    </row>
    <row r="10" spans="2:14">
      <c r="B10" s="123"/>
      <c r="N10" s="124"/>
    </row>
    <row r="11" spans="2:14">
      <c r="B11" s="123"/>
      <c r="N11" s="124"/>
    </row>
    <row r="12" spans="2:14">
      <c r="B12" s="123"/>
      <c r="N12" s="124"/>
    </row>
    <row r="13" spans="2:14">
      <c r="B13" s="123"/>
      <c r="N13" s="124"/>
    </row>
    <row r="14" spans="2:14">
      <c r="B14" s="123"/>
      <c r="N14" s="124"/>
    </row>
    <row r="15" spans="2:14">
      <c r="B15" s="123"/>
      <c r="N15" s="124"/>
    </row>
    <row r="16" spans="2:14" ht="21" customHeight="1">
      <c r="B16" s="123"/>
      <c r="N16" s="124"/>
    </row>
    <row r="17" spans="2:14" ht="18.75" customHeight="1">
      <c r="B17" s="123"/>
      <c r="N17" s="124"/>
    </row>
    <row r="18" spans="2:14" ht="17.25" customHeight="1">
      <c r="B18" s="123"/>
      <c r="N18" s="124"/>
    </row>
    <row r="19" spans="2:14" ht="18.75" customHeight="1">
      <c r="B19" s="123"/>
      <c r="N19" s="124"/>
    </row>
    <row r="20" spans="2:14" ht="21" customHeight="1">
      <c r="B20" s="123"/>
      <c r="N20" s="124"/>
    </row>
    <row r="21" spans="2:14">
      <c r="B21" s="123"/>
      <c r="N21" s="124"/>
    </row>
    <row r="22" spans="2:14">
      <c r="B22" s="123"/>
      <c r="N22" s="124"/>
    </row>
    <row r="23" spans="2:14">
      <c r="B23" s="123"/>
      <c r="N23" s="124"/>
    </row>
    <row r="24" spans="2:14">
      <c r="B24" s="123"/>
      <c r="N24" s="124"/>
    </row>
    <row r="25" spans="2:14">
      <c r="B25" s="123"/>
      <c r="N25" s="124"/>
    </row>
    <row r="26" spans="2:14">
      <c r="B26" s="123"/>
      <c r="N26" s="124"/>
    </row>
    <row r="27" spans="2:14">
      <c r="B27" s="123"/>
      <c r="N27" s="124"/>
    </row>
    <row r="28" spans="2:14">
      <c r="B28" s="123"/>
      <c r="N28" s="124"/>
    </row>
    <row r="29" spans="2:14">
      <c r="B29" s="123"/>
      <c r="N29" s="124"/>
    </row>
    <row r="30" spans="2:14">
      <c r="B30" s="123"/>
      <c r="N30" s="124"/>
    </row>
    <row r="31" spans="2:14">
      <c r="B31" s="123"/>
      <c r="D31" s="308" t="s">
        <v>6</v>
      </c>
      <c r="E31" s="308"/>
      <c r="N31" s="124"/>
    </row>
    <row r="32" spans="2:14">
      <c r="B32" s="123"/>
      <c r="D32" s="308"/>
      <c r="E32" s="308"/>
      <c r="N32" s="124"/>
    </row>
    <row r="33" spans="2:14">
      <c r="B33" s="123"/>
      <c r="N33" s="124"/>
    </row>
    <row r="34" spans="2:14">
      <c r="B34" s="123"/>
      <c r="N34" s="124"/>
    </row>
    <row r="35" spans="2:14">
      <c r="B35" s="123"/>
      <c r="N35" s="124"/>
    </row>
    <row r="36" spans="2:14">
      <c r="B36" s="123"/>
      <c r="N36" s="124"/>
    </row>
    <row r="37" spans="2:14">
      <c r="B37" s="123"/>
      <c r="N37" s="124"/>
    </row>
    <row r="38" spans="2:14" ht="15.75" thickBot="1">
      <c r="B38" s="125"/>
      <c r="C38" s="126"/>
      <c r="D38" s="126"/>
      <c r="E38" s="126"/>
      <c r="F38" s="126"/>
      <c r="G38" s="126"/>
      <c r="H38" s="126"/>
      <c r="I38" s="126"/>
      <c r="J38" s="126"/>
      <c r="K38" s="126"/>
      <c r="L38" s="126"/>
      <c r="M38" s="126"/>
      <c r="N38" s="127"/>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defaultColWidth="11.42578125" defaultRowHeight="15"/>
  <cols>
    <col min="1" max="1" width="10.28515625" style="110" customWidth="1"/>
    <col min="2" max="2" width="32.42578125" style="110" customWidth="1"/>
    <col min="3" max="3" width="77" style="110" customWidth="1"/>
    <col min="4" max="4" width="21" style="110" customWidth="1"/>
    <col min="5" max="5" width="23.7109375" style="110" customWidth="1"/>
    <col min="6" max="16384" width="11.42578125" style="110"/>
  </cols>
  <sheetData>
    <row r="1" spans="1:6" ht="7.9" customHeight="1"/>
    <row r="2" spans="1:6" ht="15.75" customHeight="1">
      <c r="B2" s="520" t="s">
        <v>308</v>
      </c>
      <c r="C2" s="523" t="s">
        <v>1</v>
      </c>
      <c r="D2" s="310"/>
      <c r="E2" s="166" t="s">
        <v>2</v>
      </c>
      <c r="F2" s="111"/>
    </row>
    <row r="3" spans="1:6" ht="15.75" customHeight="1">
      <c r="B3" s="521"/>
      <c r="C3" s="524"/>
      <c r="D3" s="313"/>
      <c r="E3" s="167" t="s">
        <v>3</v>
      </c>
      <c r="F3" s="111"/>
    </row>
    <row r="4" spans="1:6" ht="16.5" customHeight="1">
      <c r="B4" s="521"/>
      <c r="C4" s="524"/>
      <c r="D4" s="313"/>
      <c r="E4" s="167" t="s">
        <v>4</v>
      </c>
      <c r="F4" s="111"/>
    </row>
    <row r="5" spans="1:6" ht="15" customHeight="1">
      <c r="B5" s="522"/>
      <c r="C5" s="525"/>
      <c r="D5" s="316"/>
      <c r="E5" s="168" t="s">
        <v>5</v>
      </c>
      <c r="F5" s="111"/>
    </row>
    <row r="7" spans="1:6">
      <c r="A7" s="526" t="s">
        <v>9</v>
      </c>
      <c r="B7" s="128" t="s">
        <v>309</v>
      </c>
      <c r="C7" s="129" t="s">
        <v>310</v>
      </c>
      <c r="D7" s="129" t="s">
        <v>311</v>
      </c>
      <c r="E7" s="129" t="s">
        <v>312</v>
      </c>
    </row>
    <row r="8" spans="1:6" ht="42.75">
      <c r="A8" s="526"/>
      <c r="B8" s="112">
        <v>45687</v>
      </c>
      <c r="C8" s="163" t="s">
        <v>313</v>
      </c>
      <c r="D8" s="114" t="s">
        <v>314</v>
      </c>
      <c r="E8" s="114" t="s">
        <v>315</v>
      </c>
    </row>
    <row r="9" spans="1:6" ht="161.44999999999999" customHeight="1">
      <c r="A9" s="526"/>
      <c r="B9" s="112">
        <v>45777</v>
      </c>
      <c r="C9" s="163" t="s">
        <v>316</v>
      </c>
      <c r="D9" s="114" t="s">
        <v>314</v>
      </c>
      <c r="E9" s="114" t="s">
        <v>315</v>
      </c>
    </row>
    <row r="10" spans="1:6">
      <c r="A10" s="526"/>
      <c r="B10" s="112"/>
      <c r="C10" s="113"/>
      <c r="D10" s="114"/>
      <c r="E10" s="114"/>
    </row>
    <row r="11" spans="1:6">
      <c r="A11" s="526"/>
      <c r="B11" s="112"/>
      <c r="C11" s="113"/>
      <c r="D11" s="114"/>
      <c r="E11" s="114"/>
    </row>
    <row r="12" spans="1:6">
      <c r="A12" s="526"/>
      <c r="B12" s="112"/>
      <c r="C12" s="113"/>
      <c r="D12" s="114"/>
      <c r="E12" s="114"/>
    </row>
    <row r="13" spans="1:6">
      <c r="A13" s="130"/>
      <c r="B13" s="112"/>
      <c r="C13" s="113"/>
      <c r="D13" s="114"/>
      <c r="E13" s="114"/>
    </row>
    <row r="14" spans="1:6">
      <c r="A14" s="130"/>
      <c r="B14" s="112"/>
      <c r="C14" s="113"/>
      <c r="D14" s="114"/>
      <c r="E14" s="114"/>
    </row>
    <row r="15" spans="1:6">
      <c r="A15" s="130"/>
      <c r="B15" s="112"/>
      <c r="C15" s="113"/>
      <c r="D15" s="114"/>
      <c r="E15" s="114"/>
    </row>
    <row r="16" spans="1:6">
      <c r="A16" s="130"/>
      <c r="B16" s="112"/>
      <c r="C16" s="113"/>
      <c r="D16" s="114"/>
      <c r="E16" s="114"/>
    </row>
    <row r="17" spans="1:5">
      <c r="A17" s="130"/>
      <c r="B17" s="112"/>
      <c r="C17" s="113"/>
      <c r="D17" s="114"/>
      <c r="E17" s="114"/>
    </row>
    <row r="18" spans="1:5">
      <c r="A18" s="130"/>
      <c r="B18" s="112"/>
      <c r="C18" s="113"/>
      <c r="D18" s="114"/>
      <c r="E18" s="114"/>
    </row>
    <row r="19" spans="1:5">
      <c r="B19" s="112"/>
      <c r="C19" s="115"/>
      <c r="D19" s="114"/>
      <c r="E19" s="114"/>
    </row>
    <row r="20" spans="1:5">
      <c r="B20" s="112"/>
      <c r="C20" s="113"/>
      <c r="D20" s="114"/>
      <c r="E20" s="114"/>
    </row>
    <row r="25" spans="1:5">
      <c r="C25" s="116"/>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defaultColWidth="11.42578125"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H20" sqref="H20"/>
    </sheetView>
  </sheetViews>
  <sheetFormatPr defaultColWidth="11.42578125" defaultRowHeight="15"/>
  <cols>
    <col min="1" max="1" width="2.7109375" style="68" customWidth="1"/>
    <col min="2" max="3" width="24.7109375" style="68" customWidth="1"/>
    <col min="4" max="4" width="16" style="68" customWidth="1"/>
    <col min="5" max="5" width="24.7109375" style="68" customWidth="1"/>
    <col min="6" max="6" width="27.7109375" style="68" customWidth="1"/>
    <col min="7" max="8" width="24.7109375" style="68" customWidth="1"/>
    <col min="9" max="10" width="11.42578125" style="136"/>
    <col min="11" max="16384" width="11.42578125" style="68"/>
  </cols>
  <sheetData>
    <row r="1" spans="2:10" ht="15.75" thickBot="1"/>
    <row r="2" spans="2:10" ht="18" customHeight="1">
      <c r="B2" s="544" t="s">
        <v>317</v>
      </c>
      <c r="C2" s="545"/>
      <c r="D2" s="545"/>
      <c r="E2" s="545"/>
      <c r="F2" s="545"/>
      <c r="G2" s="545"/>
      <c r="H2" s="546"/>
      <c r="J2" s="137" t="s">
        <v>17</v>
      </c>
    </row>
    <row r="3" spans="2:10" ht="20.25">
      <c r="B3" s="69"/>
      <c r="C3" s="70"/>
      <c r="D3" s="70"/>
      <c r="E3" s="70"/>
      <c r="F3" s="70"/>
      <c r="G3" s="70"/>
      <c r="H3" s="71"/>
      <c r="J3" s="137"/>
    </row>
    <row r="4" spans="2:10" ht="63" customHeight="1">
      <c r="B4" s="547" t="s">
        <v>318</v>
      </c>
      <c r="C4" s="548"/>
      <c r="D4" s="548"/>
      <c r="E4" s="548"/>
      <c r="F4" s="548"/>
      <c r="G4" s="548"/>
      <c r="H4" s="549"/>
    </row>
    <row r="5" spans="2:10" ht="63" customHeight="1">
      <c r="B5" s="550"/>
      <c r="C5" s="551"/>
      <c r="D5" s="551"/>
      <c r="E5" s="551"/>
      <c r="F5" s="551"/>
      <c r="G5" s="551"/>
      <c r="H5" s="552"/>
    </row>
    <row r="6" spans="2:10" ht="16.5">
      <c r="B6" s="553" t="s">
        <v>319</v>
      </c>
      <c r="C6" s="554"/>
      <c r="D6" s="554"/>
      <c r="E6" s="554"/>
      <c r="F6" s="554"/>
      <c r="G6" s="554"/>
      <c r="H6" s="555"/>
    </row>
    <row r="7" spans="2:10" ht="95.25" customHeight="1">
      <c r="B7" s="563" t="s">
        <v>320</v>
      </c>
      <c r="C7" s="564"/>
      <c r="D7" s="564"/>
      <c r="E7" s="564"/>
      <c r="F7" s="564"/>
      <c r="G7" s="564"/>
      <c r="H7" s="565"/>
    </row>
    <row r="8" spans="2:10" ht="16.5">
      <c r="B8" s="101"/>
      <c r="C8" s="102"/>
      <c r="D8" s="102"/>
      <c r="E8" s="102"/>
      <c r="F8" s="102"/>
      <c r="G8" s="102"/>
      <c r="H8" s="103"/>
    </row>
    <row r="9" spans="2:10" ht="16.5" customHeight="1">
      <c r="B9" s="556" t="s">
        <v>321</v>
      </c>
      <c r="C9" s="557"/>
      <c r="D9" s="557"/>
      <c r="E9" s="557"/>
      <c r="F9" s="557"/>
      <c r="G9" s="557"/>
      <c r="H9" s="558"/>
    </row>
    <row r="10" spans="2:10" ht="44.25" customHeight="1">
      <c r="B10" s="556"/>
      <c r="C10" s="557"/>
      <c r="D10" s="557"/>
      <c r="E10" s="557"/>
      <c r="F10" s="557"/>
      <c r="G10" s="557"/>
      <c r="H10" s="558"/>
    </row>
    <row r="11" spans="2:10" ht="15.75" thickBot="1">
      <c r="B11" s="90"/>
      <c r="C11" s="93"/>
      <c r="D11" s="98"/>
      <c r="E11" s="99"/>
      <c r="F11" s="99"/>
      <c r="G11" s="100"/>
      <c r="H11" s="94"/>
    </row>
    <row r="12" spans="2:10" ht="15.75" thickTop="1">
      <c r="B12" s="90"/>
      <c r="C12" s="559" t="s">
        <v>322</v>
      </c>
      <c r="D12" s="560"/>
      <c r="E12" s="561" t="s">
        <v>323</v>
      </c>
      <c r="F12" s="562"/>
      <c r="G12" s="93"/>
      <c r="H12" s="94"/>
    </row>
    <row r="13" spans="2:10" ht="35.25" customHeight="1">
      <c r="B13" s="90"/>
      <c r="C13" s="531" t="s">
        <v>324</v>
      </c>
      <c r="D13" s="532"/>
      <c r="E13" s="533" t="s">
        <v>325</v>
      </c>
      <c r="F13" s="534"/>
      <c r="G13" s="93"/>
      <c r="H13" s="94"/>
    </row>
    <row r="14" spans="2:10" ht="17.25" customHeight="1">
      <c r="B14" s="90"/>
      <c r="C14" s="531" t="s">
        <v>326</v>
      </c>
      <c r="D14" s="532"/>
      <c r="E14" s="533" t="s">
        <v>327</v>
      </c>
      <c r="F14" s="534"/>
      <c r="G14" s="93"/>
      <c r="H14" s="94"/>
    </row>
    <row r="15" spans="2:10" ht="19.5" customHeight="1">
      <c r="B15" s="90"/>
      <c r="C15" s="531" t="s">
        <v>328</v>
      </c>
      <c r="D15" s="532"/>
      <c r="E15" s="533" t="s">
        <v>329</v>
      </c>
      <c r="F15" s="534"/>
      <c r="G15" s="93"/>
      <c r="H15" s="94"/>
    </row>
    <row r="16" spans="2:10" ht="69.75" customHeight="1">
      <c r="B16" s="90"/>
      <c r="C16" s="531" t="s">
        <v>330</v>
      </c>
      <c r="D16" s="532"/>
      <c r="E16" s="533" t="s">
        <v>331</v>
      </c>
      <c r="F16" s="534"/>
      <c r="G16" s="93"/>
      <c r="H16" s="94"/>
    </row>
    <row r="17" spans="2:8" ht="34.5" customHeight="1">
      <c r="B17" s="90"/>
      <c r="C17" s="535" t="s">
        <v>60</v>
      </c>
      <c r="D17" s="536"/>
      <c r="E17" s="527" t="s">
        <v>332</v>
      </c>
      <c r="F17" s="528"/>
      <c r="G17" s="93"/>
      <c r="H17" s="94"/>
    </row>
    <row r="18" spans="2:8" ht="27.75" customHeight="1">
      <c r="B18" s="90"/>
      <c r="C18" s="535" t="s">
        <v>333</v>
      </c>
      <c r="D18" s="536"/>
      <c r="E18" s="527" t="s">
        <v>334</v>
      </c>
      <c r="F18" s="528"/>
      <c r="G18" s="93"/>
      <c r="H18" s="94"/>
    </row>
    <row r="19" spans="2:8" ht="28.5" customHeight="1">
      <c r="B19" s="90"/>
      <c r="C19" s="535" t="s">
        <v>335</v>
      </c>
      <c r="D19" s="536"/>
      <c r="E19" s="527" t="s">
        <v>336</v>
      </c>
      <c r="F19" s="528"/>
      <c r="G19" s="93"/>
      <c r="H19" s="94"/>
    </row>
    <row r="20" spans="2:8" ht="72.75" customHeight="1">
      <c r="B20" s="90"/>
      <c r="C20" s="535" t="s">
        <v>337</v>
      </c>
      <c r="D20" s="536"/>
      <c r="E20" s="527" t="s">
        <v>338</v>
      </c>
      <c r="F20" s="528"/>
      <c r="G20" s="93"/>
      <c r="H20" s="94"/>
    </row>
    <row r="21" spans="2:8" ht="64.5" customHeight="1">
      <c r="B21" s="90"/>
      <c r="C21" s="535" t="s">
        <v>66</v>
      </c>
      <c r="D21" s="536"/>
      <c r="E21" s="527" t="s">
        <v>339</v>
      </c>
      <c r="F21" s="528"/>
      <c r="G21" s="93"/>
      <c r="H21" s="94"/>
    </row>
    <row r="22" spans="2:8" ht="71.25" customHeight="1">
      <c r="B22" s="90"/>
      <c r="C22" s="535" t="s">
        <v>340</v>
      </c>
      <c r="D22" s="536"/>
      <c r="E22" s="527" t="s">
        <v>341</v>
      </c>
      <c r="F22" s="528"/>
      <c r="G22" s="93"/>
      <c r="H22" s="94"/>
    </row>
    <row r="23" spans="2:8" ht="55.5" customHeight="1">
      <c r="B23" s="90"/>
      <c r="C23" s="529" t="s">
        <v>342</v>
      </c>
      <c r="D23" s="530"/>
      <c r="E23" s="527" t="s">
        <v>343</v>
      </c>
      <c r="F23" s="528"/>
      <c r="G23" s="93"/>
      <c r="H23" s="94"/>
    </row>
    <row r="24" spans="2:8" ht="42" customHeight="1">
      <c r="B24" s="90"/>
      <c r="C24" s="529" t="s">
        <v>73</v>
      </c>
      <c r="D24" s="530"/>
      <c r="E24" s="527" t="s">
        <v>344</v>
      </c>
      <c r="F24" s="528"/>
      <c r="G24" s="93"/>
      <c r="H24" s="94"/>
    </row>
    <row r="25" spans="2:8" ht="59.25" customHeight="1">
      <c r="B25" s="90"/>
      <c r="C25" s="529" t="s">
        <v>345</v>
      </c>
      <c r="D25" s="530"/>
      <c r="E25" s="527" t="s">
        <v>346</v>
      </c>
      <c r="F25" s="528"/>
      <c r="G25" s="93"/>
      <c r="H25" s="94"/>
    </row>
    <row r="26" spans="2:8" ht="23.25" customHeight="1">
      <c r="B26" s="90"/>
      <c r="C26" s="529" t="s">
        <v>77</v>
      </c>
      <c r="D26" s="530"/>
      <c r="E26" s="527" t="s">
        <v>347</v>
      </c>
      <c r="F26" s="528"/>
      <c r="G26" s="93"/>
      <c r="H26" s="94"/>
    </row>
    <row r="27" spans="2:8" ht="30.75" customHeight="1">
      <c r="B27" s="90"/>
      <c r="C27" s="529" t="s">
        <v>348</v>
      </c>
      <c r="D27" s="530"/>
      <c r="E27" s="527" t="s">
        <v>349</v>
      </c>
      <c r="F27" s="528"/>
      <c r="G27" s="93"/>
      <c r="H27" s="94"/>
    </row>
    <row r="28" spans="2:8" ht="35.25" customHeight="1">
      <c r="B28" s="90"/>
      <c r="C28" s="529" t="s">
        <v>350</v>
      </c>
      <c r="D28" s="530"/>
      <c r="E28" s="527" t="s">
        <v>351</v>
      </c>
      <c r="F28" s="528"/>
      <c r="G28" s="93"/>
      <c r="H28" s="94"/>
    </row>
    <row r="29" spans="2:8" ht="33" customHeight="1">
      <c r="B29" s="90"/>
      <c r="C29" s="529" t="s">
        <v>350</v>
      </c>
      <c r="D29" s="530"/>
      <c r="E29" s="527" t="s">
        <v>351</v>
      </c>
      <c r="F29" s="528"/>
      <c r="G29" s="93"/>
      <c r="H29" s="94"/>
    </row>
    <row r="30" spans="2:8" ht="30" customHeight="1">
      <c r="B30" s="90"/>
      <c r="C30" s="529" t="s">
        <v>352</v>
      </c>
      <c r="D30" s="530"/>
      <c r="E30" s="527" t="s">
        <v>353</v>
      </c>
      <c r="F30" s="528"/>
      <c r="G30" s="93"/>
      <c r="H30" s="94"/>
    </row>
    <row r="31" spans="2:8" ht="35.25" customHeight="1">
      <c r="B31" s="90"/>
      <c r="C31" s="529" t="s">
        <v>354</v>
      </c>
      <c r="D31" s="530"/>
      <c r="E31" s="527" t="s">
        <v>355</v>
      </c>
      <c r="F31" s="528"/>
      <c r="G31" s="93"/>
      <c r="H31" s="94"/>
    </row>
    <row r="32" spans="2:8" ht="31.5" customHeight="1">
      <c r="B32" s="90"/>
      <c r="C32" s="529" t="s">
        <v>356</v>
      </c>
      <c r="D32" s="530"/>
      <c r="E32" s="527" t="s">
        <v>357</v>
      </c>
      <c r="F32" s="528"/>
      <c r="G32" s="93"/>
      <c r="H32" s="94"/>
    </row>
    <row r="33" spans="2:8" ht="35.25" customHeight="1">
      <c r="B33" s="90"/>
      <c r="C33" s="529" t="s">
        <v>358</v>
      </c>
      <c r="D33" s="530"/>
      <c r="E33" s="527" t="s">
        <v>359</v>
      </c>
      <c r="F33" s="528"/>
      <c r="G33" s="93"/>
      <c r="H33" s="94"/>
    </row>
    <row r="34" spans="2:8" ht="59.25" customHeight="1">
      <c r="B34" s="90"/>
      <c r="C34" s="529" t="s">
        <v>360</v>
      </c>
      <c r="D34" s="530"/>
      <c r="E34" s="527" t="s">
        <v>361</v>
      </c>
      <c r="F34" s="528"/>
      <c r="G34" s="93"/>
      <c r="H34" s="94"/>
    </row>
    <row r="35" spans="2:8" ht="29.25" customHeight="1">
      <c r="B35" s="90"/>
      <c r="C35" s="529" t="s">
        <v>83</v>
      </c>
      <c r="D35" s="530"/>
      <c r="E35" s="527" t="s">
        <v>362</v>
      </c>
      <c r="F35" s="528"/>
      <c r="G35" s="93"/>
      <c r="H35" s="94"/>
    </row>
    <row r="36" spans="2:8" ht="82.5" customHeight="1">
      <c r="B36" s="90"/>
      <c r="C36" s="529" t="s">
        <v>363</v>
      </c>
      <c r="D36" s="530"/>
      <c r="E36" s="527" t="s">
        <v>364</v>
      </c>
      <c r="F36" s="528"/>
      <c r="G36" s="93"/>
      <c r="H36" s="94"/>
    </row>
    <row r="37" spans="2:8" ht="46.5" customHeight="1">
      <c r="B37" s="90"/>
      <c r="C37" s="529" t="s">
        <v>365</v>
      </c>
      <c r="D37" s="530"/>
      <c r="E37" s="527" t="s">
        <v>366</v>
      </c>
      <c r="F37" s="528"/>
      <c r="G37" s="93"/>
      <c r="H37" s="94"/>
    </row>
    <row r="38" spans="2:8" ht="6.75" customHeight="1" thickBot="1">
      <c r="B38" s="90"/>
      <c r="C38" s="540"/>
      <c r="D38" s="541"/>
      <c r="E38" s="542"/>
      <c r="F38" s="543"/>
      <c r="G38" s="93"/>
      <c r="H38" s="94"/>
    </row>
    <row r="39" spans="2:8" ht="15.75" thickTop="1">
      <c r="B39" s="90"/>
      <c r="C39" s="91"/>
      <c r="D39" s="91"/>
      <c r="E39" s="92"/>
      <c r="F39" s="92"/>
      <c r="G39" s="93"/>
      <c r="H39" s="94"/>
    </row>
    <row r="40" spans="2:8" ht="21" customHeight="1">
      <c r="B40" s="537" t="s">
        <v>367</v>
      </c>
      <c r="C40" s="538"/>
      <c r="D40" s="538"/>
      <c r="E40" s="538"/>
      <c r="F40" s="538"/>
      <c r="G40" s="538"/>
      <c r="H40" s="539"/>
    </row>
    <row r="41" spans="2:8" ht="20.25" customHeight="1">
      <c r="B41" s="537" t="s">
        <v>368</v>
      </c>
      <c r="C41" s="538"/>
      <c r="D41" s="538"/>
      <c r="E41" s="538"/>
      <c r="F41" s="538"/>
      <c r="G41" s="538"/>
      <c r="H41" s="539"/>
    </row>
    <row r="42" spans="2:8" ht="20.25" customHeight="1">
      <c r="B42" s="537" t="s">
        <v>369</v>
      </c>
      <c r="C42" s="538"/>
      <c r="D42" s="538"/>
      <c r="E42" s="538"/>
      <c r="F42" s="538"/>
      <c r="G42" s="538"/>
      <c r="H42" s="539"/>
    </row>
    <row r="43" spans="2:8" ht="20.25" customHeight="1">
      <c r="B43" s="537" t="s">
        <v>370</v>
      </c>
      <c r="C43" s="538"/>
      <c r="D43" s="538"/>
      <c r="E43" s="538"/>
      <c r="F43" s="538"/>
      <c r="G43" s="538"/>
      <c r="H43" s="539"/>
    </row>
    <row r="44" spans="2:8" ht="15" customHeight="1">
      <c r="B44" s="537" t="s">
        <v>371</v>
      </c>
      <c r="C44" s="538"/>
      <c r="D44" s="538"/>
      <c r="E44" s="538"/>
      <c r="F44" s="538"/>
      <c r="G44" s="538"/>
      <c r="H44" s="539"/>
    </row>
    <row r="45" spans="2:8" ht="15.75" thickBot="1">
      <c r="B45" s="95"/>
      <c r="C45" s="96"/>
      <c r="D45" s="96"/>
      <c r="E45" s="96"/>
      <c r="F45" s="96"/>
      <c r="G45" s="96"/>
      <c r="H45" s="97"/>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defaultColWidth="11.4257812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defaultColWidth="11.42578125" defaultRowHeight="15"/>
  <sheetData>
    <row r="1" spans="1:4">
      <c r="A1" t="s">
        <v>372</v>
      </c>
      <c r="B1" t="s">
        <v>62</v>
      </c>
      <c r="C1" t="s">
        <v>194</v>
      </c>
      <c r="D1" t="s">
        <v>195</v>
      </c>
    </row>
    <row r="2" spans="1:4">
      <c r="A2" t="s">
        <v>373</v>
      </c>
      <c r="B2" t="s">
        <v>200</v>
      </c>
      <c r="C2" t="s">
        <v>222</v>
      </c>
      <c r="D2" t="s">
        <v>152</v>
      </c>
    </row>
    <row r="3" spans="1:4">
      <c r="A3" t="s">
        <v>107</v>
      </c>
      <c r="B3" t="s">
        <v>208</v>
      </c>
      <c r="C3" t="s">
        <v>374</v>
      </c>
      <c r="D3" t="s">
        <v>136</v>
      </c>
    </row>
    <row r="4" spans="1:4">
      <c r="A4" t="s">
        <v>375</v>
      </c>
      <c r="B4" t="s">
        <v>220</v>
      </c>
      <c r="C4" t="s">
        <v>135</v>
      </c>
      <c r="D4" t="s">
        <v>115</v>
      </c>
    </row>
    <row r="5" spans="1:4">
      <c r="A5" t="s">
        <v>208</v>
      </c>
      <c r="B5" t="s">
        <v>131</v>
      </c>
      <c r="C5" t="s">
        <v>114</v>
      </c>
      <c r="D5" t="s">
        <v>376</v>
      </c>
    </row>
    <row r="6" spans="1:4">
      <c r="A6" t="s">
        <v>130</v>
      </c>
      <c r="B6" t="s">
        <v>109</v>
      </c>
      <c r="C6" t="s">
        <v>376</v>
      </c>
    </row>
    <row r="7" spans="1:4">
      <c r="A7" t="s">
        <v>377</v>
      </c>
      <c r="B7" t="s">
        <v>233</v>
      </c>
    </row>
    <row r="8" spans="1:4">
      <c r="A8" t="s">
        <v>378</v>
      </c>
    </row>
    <row r="9" spans="1:4">
      <c r="A9" t="s">
        <v>379</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defaultColWidth="11.42578125"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defaultColWidth="11.42578125" defaultRowHeight="15"/>
  <cols>
    <col min="1" max="1" width="2.5703125" style="68" customWidth="1"/>
    <col min="2" max="2" width="33.28515625" style="68" customWidth="1"/>
    <col min="3" max="4" width="11.42578125" style="68"/>
    <col min="5" max="5" width="5.7109375" style="68" customWidth="1"/>
    <col min="6" max="6" width="16.28515625" style="68" customWidth="1"/>
    <col min="7" max="7" width="11.42578125" style="68"/>
    <col min="8" max="8" width="13.7109375" style="68" customWidth="1"/>
    <col min="9" max="9" width="14.28515625" style="68" customWidth="1"/>
    <col min="10" max="10" width="14.7109375" style="68" customWidth="1"/>
    <col min="11" max="11" width="7.5703125" style="68" customWidth="1"/>
    <col min="12" max="12" width="2.28515625" style="68" customWidth="1"/>
    <col min="13" max="16384" width="11.42578125" style="68"/>
  </cols>
  <sheetData>
    <row r="1" spans="2:11" ht="6" customHeight="1" thickBot="1"/>
    <row r="2" spans="2:11" ht="15" customHeight="1">
      <c r="B2" s="603" t="s">
        <v>288</v>
      </c>
      <c r="C2" s="606" t="s">
        <v>1</v>
      </c>
      <c r="D2" s="607"/>
      <c r="E2" s="607"/>
      <c r="F2" s="607"/>
      <c r="G2" s="607"/>
      <c r="H2" s="607"/>
      <c r="I2" s="607"/>
      <c r="J2" s="351" t="s">
        <v>289</v>
      </c>
      <c r="K2" s="325"/>
    </row>
    <row r="3" spans="2:11" ht="15" customHeight="1">
      <c r="B3" s="604"/>
      <c r="C3" s="608"/>
      <c r="D3" s="609"/>
      <c r="E3" s="609"/>
      <c r="F3" s="609"/>
      <c r="G3" s="609"/>
      <c r="H3" s="609"/>
      <c r="I3" s="609"/>
      <c r="J3" s="352" t="s">
        <v>380</v>
      </c>
      <c r="K3" s="327"/>
    </row>
    <row r="4" spans="2:11" ht="15" customHeight="1">
      <c r="B4" s="604"/>
      <c r="C4" s="608"/>
      <c r="D4" s="609"/>
      <c r="E4" s="609"/>
      <c r="F4" s="609"/>
      <c r="G4" s="609"/>
      <c r="H4" s="609"/>
      <c r="I4" s="609"/>
      <c r="J4" s="352" t="s">
        <v>290</v>
      </c>
      <c r="K4" s="327" t="s">
        <v>290</v>
      </c>
    </row>
    <row r="5" spans="2:11" ht="15" customHeight="1" thickBot="1">
      <c r="B5" s="605"/>
      <c r="C5" s="610"/>
      <c r="D5" s="611"/>
      <c r="E5" s="611"/>
      <c r="F5" s="611"/>
      <c r="G5" s="611"/>
      <c r="H5" s="611"/>
      <c r="I5" s="611"/>
      <c r="J5" s="353" t="s">
        <v>5</v>
      </c>
      <c r="K5" s="329" t="s">
        <v>5</v>
      </c>
    </row>
    <row r="6" spans="2:11" ht="15.75" thickBot="1"/>
    <row r="7" spans="2:11" customFormat="1" ht="15.75" thickBot="1">
      <c r="B7" s="597" t="s">
        <v>309</v>
      </c>
      <c r="C7" s="598"/>
      <c r="D7" s="599" t="s">
        <v>381</v>
      </c>
      <c r="E7" s="600"/>
      <c r="F7" s="599" t="s">
        <v>382</v>
      </c>
      <c r="G7" s="601"/>
      <c r="H7" s="601"/>
      <c r="I7" s="601"/>
      <c r="J7" s="601"/>
      <c r="K7" s="602"/>
    </row>
    <row r="8" spans="2:11" customFormat="1" ht="18" customHeight="1" thickBot="1">
      <c r="B8" s="566"/>
      <c r="C8" s="567"/>
      <c r="D8" s="568">
        <v>1</v>
      </c>
      <c r="E8" s="569"/>
      <c r="F8" s="570"/>
      <c r="G8" s="570"/>
      <c r="H8" s="570"/>
      <c r="I8" s="570"/>
      <c r="J8" s="570"/>
      <c r="K8" s="571"/>
    </row>
    <row r="9" spans="2:11" customFormat="1" ht="18" customHeight="1" thickBot="1">
      <c r="B9" s="566"/>
      <c r="C9" s="567"/>
      <c r="D9" s="568">
        <v>2</v>
      </c>
      <c r="E9" s="569"/>
      <c r="F9" s="570"/>
      <c r="G9" s="570"/>
      <c r="H9" s="570"/>
      <c r="I9" s="570"/>
      <c r="J9" s="570"/>
      <c r="K9" s="571"/>
    </row>
    <row r="10" spans="2:11" customFormat="1" ht="18" customHeight="1" thickBot="1">
      <c r="B10" s="566"/>
      <c r="C10" s="567"/>
      <c r="D10" s="568">
        <v>3</v>
      </c>
      <c r="E10" s="569"/>
      <c r="F10" s="570"/>
      <c r="G10" s="570"/>
      <c r="H10" s="570"/>
      <c r="I10" s="570"/>
      <c r="J10" s="570"/>
      <c r="K10" s="571"/>
    </row>
    <row r="11" spans="2:11" customFormat="1" ht="18" customHeight="1" thickBot="1">
      <c r="B11" s="566"/>
      <c r="C11" s="567"/>
      <c r="D11" s="568">
        <v>4</v>
      </c>
      <c r="E11" s="569"/>
      <c r="F11" s="570"/>
      <c r="G11" s="570"/>
      <c r="H11" s="570"/>
      <c r="I11" s="570"/>
      <c r="J11" s="570"/>
      <c r="K11" s="571"/>
    </row>
    <row r="12" spans="2:11" customFormat="1" ht="18" customHeight="1" thickBot="1">
      <c r="B12" s="566"/>
      <c r="C12" s="567"/>
      <c r="D12" s="568">
        <v>5</v>
      </c>
      <c r="E12" s="569"/>
      <c r="F12" s="570"/>
      <c r="G12" s="570"/>
      <c r="H12" s="570"/>
      <c r="I12" s="570"/>
      <c r="J12" s="570"/>
      <c r="K12" s="571"/>
    </row>
    <row r="13" spans="2:11" customFormat="1" ht="18" customHeight="1" thickBot="1">
      <c r="B13" s="566"/>
      <c r="C13" s="567"/>
      <c r="D13" s="568">
        <v>6</v>
      </c>
      <c r="E13" s="569"/>
      <c r="F13" s="570"/>
      <c r="G13" s="570"/>
      <c r="H13" s="570"/>
      <c r="I13" s="570"/>
      <c r="J13" s="570"/>
      <c r="K13" s="571"/>
    </row>
    <row r="14" spans="2:11" customFormat="1" ht="18" customHeight="1" thickBot="1">
      <c r="B14" s="566"/>
      <c r="C14" s="567"/>
      <c r="D14" s="568">
        <v>7</v>
      </c>
      <c r="E14" s="569"/>
      <c r="F14" s="570"/>
      <c r="G14" s="570"/>
      <c r="H14" s="570"/>
      <c r="I14" s="570"/>
      <c r="J14" s="570"/>
      <c r="K14" s="571"/>
    </row>
    <row r="15" spans="2:11" customFormat="1" ht="18" customHeight="1">
      <c r="B15" s="566">
        <v>45352</v>
      </c>
      <c r="C15" s="567"/>
      <c r="D15" s="568">
        <v>8</v>
      </c>
      <c r="E15" s="569"/>
      <c r="F15" s="570" t="s">
        <v>383</v>
      </c>
      <c r="G15" s="570"/>
      <c r="H15" s="570"/>
      <c r="I15" s="570"/>
      <c r="J15" s="570"/>
      <c r="K15" s="571"/>
    </row>
    <row r="16" spans="2:11" customFormat="1" ht="150.75" customHeight="1">
      <c r="B16" s="566" t="s">
        <v>384</v>
      </c>
      <c r="C16" s="567"/>
      <c r="D16" s="568">
        <v>9</v>
      </c>
      <c r="E16" s="569"/>
      <c r="F16" s="570" t="s">
        <v>385</v>
      </c>
      <c r="G16" s="570"/>
      <c r="H16" s="570"/>
      <c r="I16" s="570"/>
      <c r="J16" s="570"/>
      <c r="K16" s="571"/>
    </row>
    <row r="17" spans="2:12" customFormat="1" ht="15.75" customHeight="1">
      <c r="B17" s="584"/>
      <c r="C17" s="584"/>
      <c r="D17" s="584"/>
      <c r="E17" s="584"/>
      <c r="F17" s="584"/>
      <c r="G17" s="584"/>
      <c r="H17" s="584"/>
      <c r="I17" s="584"/>
      <c r="J17" s="584"/>
      <c r="K17" s="584"/>
    </row>
    <row r="18" spans="2:12" customFormat="1" ht="15.75" customHeight="1" thickBot="1">
      <c r="B18" s="585" t="s">
        <v>386</v>
      </c>
      <c r="C18" s="586"/>
      <c r="D18" s="586"/>
      <c r="E18" s="587"/>
      <c r="F18" s="588" t="s">
        <v>387</v>
      </c>
      <c r="G18" s="589"/>
      <c r="H18" s="590"/>
      <c r="I18" s="591" t="s">
        <v>388</v>
      </c>
      <c r="J18" s="592"/>
      <c r="K18" s="587"/>
    </row>
    <row r="19" spans="2:12" customFormat="1" ht="27" customHeight="1">
      <c r="B19" s="593"/>
      <c r="C19" s="594"/>
      <c r="D19" s="594"/>
      <c r="E19" s="594"/>
      <c r="F19" s="594"/>
      <c r="G19" s="594"/>
      <c r="H19" s="594"/>
      <c r="I19" s="595"/>
      <c r="J19" s="595"/>
      <c r="K19" s="596"/>
    </row>
    <row r="20" spans="2:12" customFormat="1" ht="15" customHeight="1">
      <c r="B20" s="573" t="s">
        <v>389</v>
      </c>
      <c r="C20" s="574"/>
      <c r="D20" s="574"/>
      <c r="E20" s="574"/>
      <c r="F20" s="575" t="s">
        <v>390</v>
      </c>
      <c r="G20" s="575"/>
      <c r="H20" s="576"/>
      <c r="I20" s="575" t="s">
        <v>390</v>
      </c>
      <c r="J20" s="575"/>
      <c r="K20" s="576"/>
    </row>
    <row r="21" spans="2:12" customFormat="1" ht="22.5" customHeight="1" thickBot="1">
      <c r="B21" s="577" t="s">
        <v>391</v>
      </c>
      <c r="C21" s="578"/>
      <c r="D21" s="578"/>
      <c r="E21" s="578"/>
      <c r="F21" s="578" t="s">
        <v>392</v>
      </c>
      <c r="G21" s="578"/>
      <c r="H21" s="579"/>
      <c r="I21" s="578" t="s">
        <v>392</v>
      </c>
      <c r="J21" s="578"/>
      <c r="K21" s="579"/>
    </row>
    <row r="22" spans="2:12" customFormat="1" ht="9" customHeight="1" thickBot="1">
      <c r="B22" s="580"/>
      <c r="C22" s="580"/>
      <c r="D22" s="580"/>
      <c r="E22" s="580"/>
      <c r="F22" s="580"/>
      <c r="G22" s="580"/>
      <c r="H22" s="580"/>
      <c r="I22" s="580"/>
      <c r="J22" s="580"/>
      <c r="K22" s="580"/>
    </row>
    <row r="23" spans="2:12" customFormat="1" ht="15.75" thickBot="1">
      <c r="B23" s="581" t="s">
        <v>163</v>
      </c>
      <c r="C23" s="582"/>
      <c r="D23" s="583"/>
      <c r="E23" s="117" t="s">
        <v>164</v>
      </c>
      <c r="F23" s="581" t="s">
        <v>165</v>
      </c>
      <c r="G23" s="583"/>
      <c r="H23" s="118" t="s">
        <v>166</v>
      </c>
      <c r="I23" s="581" t="s">
        <v>167</v>
      </c>
      <c r="J23" s="583"/>
      <c r="K23" s="119">
        <v>1</v>
      </c>
    </row>
    <row r="24" spans="2:12" ht="8.25" customHeight="1"/>
    <row r="25" spans="2:12">
      <c r="B25" s="572" t="s">
        <v>393</v>
      </c>
      <c r="C25" s="572"/>
      <c r="D25" s="572"/>
      <c r="E25" s="572"/>
      <c r="F25" s="572"/>
      <c r="G25" s="572"/>
      <c r="H25" s="572"/>
      <c r="I25" s="572"/>
      <c r="J25" s="572"/>
      <c r="K25" s="572"/>
      <c r="L25" s="572"/>
    </row>
    <row r="26" spans="2:12">
      <c r="B26" s="572" t="s">
        <v>394</v>
      </c>
      <c r="C26" s="572"/>
      <c r="D26" s="572"/>
      <c r="E26" s="572"/>
      <c r="F26" s="572"/>
      <c r="G26" s="572"/>
      <c r="H26" s="572"/>
      <c r="I26" s="572"/>
      <c r="J26" s="572"/>
      <c r="K26" s="572"/>
      <c r="L26" s="572"/>
    </row>
    <row r="27" spans="2:12" ht="9" customHeight="1"/>
  </sheetData>
  <mergeCells count="55">
    <mergeCell ref="B2:B5"/>
    <mergeCell ref="C2:I5"/>
    <mergeCell ref="J2:K2"/>
    <mergeCell ref="J3:K3"/>
    <mergeCell ref="J4:K4"/>
    <mergeCell ref="J5:K5"/>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17:K17"/>
    <mergeCell ref="B18:E18"/>
    <mergeCell ref="F18:H18"/>
    <mergeCell ref="I18:K18"/>
    <mergeCell ref="B19:E19"/>
    <mergeCell ref="F19:H19"/>
    <mergeCell ref="I19:K19"/>
    <mergeCell ref="B26:L26"/>
    <mergeCell ref="B20:E20"/>
    <mergeCell ref="F20:H20"/>
    <mergeCell ref="I20:K20"/>
    <mergeCell ref="B21:E21"/>
    <mergeCell ref="F21:H21"/>
    <mergeCell ref="I21:K21"/>
    <mergeCell ref="B22:K22"/>
    <mergeCell ref="B23:D23"/>
    <mergeCell ref="F23:G23"/>
    <mergeCell ref="I23:J23"/>
    <mergeCell ref="B25:L2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K13" sqref="K13"/>
    </sheetView>
  </sheetViews>
  <sheetFormatPr defaultColWidth="11.42578125" defaultRowHeight="15"/>
  <cols>
    <col min="2" max="2" width="24.28515625" customWidth="1"/>
    <col min="3" max="3" width="70.28515625" customWidth="1"/>
    <col min="4" max="4" width="29.7109375" customWidth="1"/>
  </cols>
  <sheetData>
    <row r="1" spans="1:37" ht="23.25">
      <c r="A1" s="68"/>
      <c r="B1" s="612" t="s">
        <v>395</v>
      </c>
      <c r="C1" s="612"/>
      <c r="D1" s="612"/>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5.5">
      <c r="A3" s="68"/>
      <c r="B3" s="3"/>
      <c r="C3" s="4" t="s">
        <v>396</v>
      </c>
      <c r="D3" s="4" t="s">
        <v>292</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1">
      <c r="A4" s="68"/>
      <c r="B4" s="5" t="s">
        <v>397</v>
      </c>
      <c r="C4" s="6" t="s">
        <v>398</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1">
      <c r="A5" s="68"/>
      <c r="B5" s="8" t="s">
        <v>399</v>
      </c>
      <c r="C5" s="9" t="s">
        <v>400</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1">
      <c r="A6" s="68"/>
      <c r="B6" s="11" t="s">
        <v>401</v>
      </c>
      <c r="C6" s="9" t="s">
        <v>402</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76.5">
      <c r="A7" s="68"/>
      <c r="B7" s="12" t="s">
        <v>403</v>
      </c>
      <c r="C7" s="9" t="s">
        <v>404</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1">
      <c r="A8" s="68"/>
      <c r="B8" s="13" t="s">
        <v>405</v>
      </c>
      <c r="C8" s="9" t="s">
        <v>406</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ht="16.5">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D1" zoomScale="55" zoomScaleNormal="55" workbookViewId="0">
      <selection activeCell="E5" sqref="E5"/>
    </sheetView>
  </sheetViews>
  <sheetFormatPr defaultColWidth="11.42578125" defaultRowHeight="15"/>
  <cols>
    <col min="2" max="2" width="40.42578125" customWidth="1"/>
    <col min="3" max="3" width="74.7109375" customWidth="1"/>
    <col min="4" max="4" width="135" bestFit="1" customWidth="1"/>
    <col min="5" max="5" width="144.7109375" bestFit="1" customWidth="1"/>
    <col min="6" max="6" width="136.5703125" bestFit="1" customWidth="1"/>
  </cols>
  <sheetData>
    <row r="1" spans="1:21" ht="33.75">
      <c r="A1" s="68"/>
      <c r="B1" s="613" t="s">
        <v>407</v>
      </c>
      <c r="C1" s="613"/>
      <c r="D1" s="613"/>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60">
      <c r="A3" s="68"/>
      <c r="B3" s="85"/>
      <c r="C3" s="22" t="s">
        <v>408</v>
      </c>
      <c r="D3" s="22" t="s">
        <v>409</v>
      </c>
      <c r="E3" s="68"/>
      <c r="F3" s="68"/>
      <c r="G3" s="68"/>
      <c r="H3" s="68"/>
      <c r="I3" s="68"/>
      <c r="J3" s="68"/>
      <c r="K3" s="68"/>
      <c r="L3" s="68"/>
      <c r="M3" s="68"/>
      <c r="N3" s="68"/>
      <c r="O3" s="68"/>
      <c r="P3" s="68"/>
      <c r="Q3" s="68"/>
      <c r="R3" s="68"/>
      <c r="S3" s="68"/>
      <c r="T3" s="68"/>
      <c r="U3" s="68"/>
    </row>
    <row r="4" spans="1:21" ht="33.75">
      <c r="A4" s="84" t="s">
        <v>410</v>
      </c>
      <c r="B4" s="25" t="s">
        <v>411</v>
      </c>
      <c r="C4" s="30" t="s">
        <v>412</v>
      </c>
      <c r="D4" s="23" t="s">
        <v>413</v>
      </c>
      <c r="E4" s="68"/>
      <c r="F4" s="68"/>
      <c r="G4" s="68"/>
      <c r="H4" s="68"/>
      <c r="I4" s="68"/>
      <c r="J4" s="68"/>
      <c r="K4" s="68"/>
      <c r="L4" s="68"/>
      <c r="M4" s="68"/>
      <c r="N4" s="68"/>
      <c r="O4" s="68"/>
      <c r="P4" s="68"/>
      <c r="Q4" s="68"/>
      <c r="R4" s="68"/>
      <c r="S4" s="68"/>
      <c r="T4" s="68"/>
      <c r="U4" s="68"/>
    </row>
    <row r="5" spans="1:21" ht="101.25">
      <c r="A5" s="84" t="s">
        <v>175</v>
      </c>
      <c r="B5" s="26" t="s">
        <v>414</v>
      </c>
      <c r="C5" s="31" t="s">
        <v>415</v>
      </c>
      <c r="D5" s="24" t="s">
        <v>416</v>
      </c>
      <c r="E5" s="68"/>
      <c r="F5" s="68"/>
      <c r="G5" s="68"/>
      <c r="H5" s="68"/>
      <c r="I5" s="68"/>
      <c r="J5" s="68"/>
      <c r="K5" s="68"/>
      <c r="L5" s="68"/>
      <c r="M5" s="68"/>
      <c r="N5" s="68"/>
      <c r="O5" s="68"/>
      <c r="P5" s="68"/>
      <c r="Q5" s="68"/>
      <c r="R5" s="68"/>
      <c r="S5" s="68"/>
      <c r="T5" s="68"/>
      <c r="U5" s="68"/>
    </row>
    <row r="6" spans="1:21" ht="67.5">
      <c r="A6" s="84" t="s">
        <v>177</v>
      </c>
      <c r="B6" s="27" t="s">
        <v>417</v>
      </c>
      <c r="C6" s="31" t="s">
        <v>418</v>
      </c>
      <c r="D6" s="24" t="s">
        <v>419</v>
      </c>
      <c r="E6" s="68"/>
      <c r="F6" s="68"/>
      <c r="G6" s="68"/>
      <c r="H6" s="68"/>
      <c r="I6" s="68"/>
      <c r="J6" s="68"/>
      <c r="K6" s="68"/>
      <c r="L6" s="68"/>
      <c r="M6" s="68"/>
      <c r="N6" s="68"/>
      <c r="O6" s="68"/>
      <c r="P6" s="68"/>
      <c r="Q6" s="68"/>
      <c r="R6" s="68"/>
      <c r="S6" s="68"/>
      <c r="T6" s="68"/>
      <c r="U6" s="68"/>
    </row>
    <row r="7" spans="1:21" ht="101.25">
      <c r="A7" s="84" t="s">
        <v>179</v>
      </c>
      <c r="B7" s="28" t="s">
        <v>420</v>
      </c>
      <c r="C7" s="31" t="s">
        <v>421</v>
      </c>
      <c r="D7" s="24" t="s">
        <v>422</v>
      </c>
      <c r="E7" s="68"/>
      <c r="F7" s="68"/>
      <c r="G7" s="68"/>
      <c r="H7" s="68"/>
      <c r="I7" s="68"/>
      <c r="J7" s="68"/>
      <c r="K7" s="68"/>
      <c r="L7" s="68"/>
      <c r="M7" s="68"/>
      <c r="N7" s="68"/>
      <c r="O7" s="68"/>
      <c r="P7" s="68"/>
      <c r="Q7" s="68"/>
      <c r="R7" s="68"/>
      <c r="S7" s="68"/>
      <c r="T7" s="68"/>
      <c r="U7" s="68"/>
    </row>
    <row r="8" spans="1:21" ht="67.5">
      <c r="A8" s="84" t="s">
        <v>181</v>
      </c>
      <c r="B8" s="29" t="s">
        <v>423</v>
      </c>
      <c r="C8" s="31" t="s">
        <v>424</v>
      </c>
      <c r="D8" s="24" t="s">
        <v>425</v>
      </c>
      <c r="E8" s="68"/>
      <c r="F8" s="68"/>
      <c r="G8" s="68"/>
      <c r="H8" s="68"/>
      <c r="I8" s="68"/>
      <c r="J8" s="68"/>
      <c r="K8" s="68"/>
      <c r="L8" s="68"/>
      <c r="M8" s="68"/>
      <c r="N8" s="68"/>
      <c r="O8" s="68"/>
      <c r="P8" s="68"/>
      <c r="Q8" s="68"/>
      <c r="R8" s="68"/>
      <c r="S8" s="68"/>
      <c r="T8" s="68"/>
      <c r="U8" s="68"/>
    </row>
    <row r="9" spans="1:21" ht="20.25">
      <c r="A9" s="84"/>
      <c r="B9" s="84"/>
      <c r="C9" s="86"/>
      <c r="D9" s="86"/>
      <c r="E9" s="68"/>
      <c r="F9" s="68"/>
      <c r="G9" s="68"/>
      <c r="H9" s="68"/>
      <c r="I9" s="68"/>
      <c r="J9" s="68"/>
      <c r="K9" s="68"/>
      <c r="L9" s="68"/>
      <c r="M9" s="68"/>
      <c r="N9" s="68"/>
      <c r="O9" s="68"/>
      <c r="P9" s="68"/>
      <c r="Q9" s="68"/>
      <c r="R9" s="68"/>
      <c r="S9" s="68"/>
      <c r="T9" s="68"/>
      <c r="U9" s="68"/>
    </row>
    <row r="10" spans="1:21" ht="16.5">
      <c r="A10" s="84"/>
      <c r="B10" s="87"/>
      <c r="C10" s="87"/>
      <c r="D10" s="87"/>
      <c r="E10" s="68"/>
      <c r="F10" s="68"/>
      <c r="G10" s="68"/>
      <c r="H10" s="68"/>
      <c r="I10" s="68"/>
      <c r="J10" s="68"/>
      <c r="K10" s="68"/>
      <c r="L10" s="68"/>
      <c r="M10" s="68"/>
      <c r="N10" s="68"/>
      <c r="O10" s="68"/>
      <c r="P10" s="68"/>
      <c r="Q10" s="68"/>
      <c r="R10" s="68"/>
      <c r="S10" s="68"/>
      <c r="T10" s="68"/>
      <c r="U10" s="68"/>
    </row>
    <row r="11" spans="1:21">
      <c r="A11" s="84"/>
      <c r="B11" s="84" t="s">
        <v>426</v>
      </c>
      <c r="C11" s="84" t="s">
        <v>172</v>
      </c>
      <c r="D11" s="84" t="s">
        <v>182</v>
      </c>
      <c r="E11" s="68"/>
      <c r="F11" s="68"/>
      <c r="G11" s="68"/>
      <c r="H11" s="68"/>
      <c r="I11" s="68"/>
      <c r="J11" s="68"/>
      <c r="K11" s="68"/>
      <c r="L11" s="68"/>
      <c r="M11" s="68"/>
      <c r="N11" s="68"/>
      <c r="O11" s="68"/>
      <c r="P11" s="68"/>
      <c r="Q11" s="68"/>
      <c r="R11" s="68"/>
      <c r="S11" s="68"/>
      <c r="T11" s="68"/>
      <c r="U11" s="68"/>
    </row>
    <row r="12" spans="1:21">
      <c r="A12" s="84"/>
      <c r="B12" s="84" t="s">
        <v>427</v>
      </c>
      <c r="C12" s="84" t="s">
        <v>174</v>
      </c>
      <c r="D12" s="84" t="s">
        <v>183</v>
      </c>
      <c r="E12" s="68"/>
      <c r="F12" s="68"/>
      <c r="G12" s="68"/>
      <c r="H12" s="68"/>
      <c r="I12" s="68"/>
      <c r="J12" s="68"/>
      <c r="K12" s="68"/>
      <c r="L12" s="68"/>
      <c r="M12" s="68"/>
      <c r="N12" s="68"/>
      <c r="O12" s="68"/>
      <c r="P12" s="68"/>
      <c r="Q12" s="68"/>
      <c r="R12" s="68"/>
      <c r="S12" s="68"/>
      <c r="T12" s="68"/>
      <c r="U12" s="68"/>
    </row>
    <row r="13" spans="1:21">
      <c r="A13" s="84"/>
      <c r="B13" s="84"/>
      <c r="C13" s="84" t="s">
        <v>176</v>
      </c>
      <c r="D13" s="84" t="s">
        <v>137</v>
      </c>
      <c r="E13" s="68"/>
      <c r="F13" s="68"/>
      <c r="G13" s="68"/>
      <c r="H13" s="68"/>
      <c r="I13" s="68"/>
      <c r="J13" s="68"/>
      <c r="K13" s="68"/>
      <c r="L13" s="68"/>
      <c r="M13" s="68"/>
      <c r="N13" s="68"/>
      <c r="O13" s="68"/>
      <c r="P13" s="68"/>
      <c r="Q13" s="68"/>
      <c r="R13" s="68"/>
      <c r="S13" s="68"/>
      <c r="T13" s="68"/>
      <c r="U13" s="68"/>
    </row>
    <row r="14" spans="1:21">
      <c r="A14" s="84"/>
      <c r="B14" s="84"/>
      <c r="C14" s="84" t="s">
        <v>178</v>
      </c>
      <c r="D14" s="84" t="s">
        <v>184</v>
      </c>
      <c r="E14" s="68"/>
      <c r="F14" s="68"/>
      <c r="G14" s="68"/>
      <c r="H14" s="68"/>
      <c r="I14" s="68"/>
      <c r="J14" s="68"/>
      <c r="K14" s="68"/>
      <c r="L14" s="68"/>
      <c r="M14" s="68"/>
      <c r="N14" s="68"/>
      <c r="O14" s="68"/>
      <c r="P14" s="68"/>
      <c r="Q14" s="68"/>
      <c r="R14" s="68"/>
      <c r="S14" s="68"/>
      <c r="T14" s="68"/>
      <c r="U14" s="68"/>
    </row>
    <row r="15" spans="1:21">
      <c r="A15" s="84"/>
      <c r="B15" s="84"/>
      <c r="C15" s="84" t="s">
        <v>180</v>
      </c>
      <c r="D15" s="84" t="s">
        <v>185</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25">
      <c r="A22" s="84"/>
      <c r="B22" s="84"/>
      <c r="C22" s="86"/>
      <c r="D22" s="86"/>
      <c r="E22" s="68"/>
      <c r="F22" s="68"/>
      <c r="G22" s="68"/>
      <c r="H22" s="68"/>
      <c r="I22" s="68"/>
      <c r="J22" s="68"/>
      <c r="K22" s="68"/>
      <c r="L22" s="68"/>
      <c r="M22" s="68"/>
      <c r="N22" s="68"/>
      <c r="O22" s="68"/>
    </row>
    <row r="23" spans="1:15" ht="20.25">
      <c r="A23" s="84"/>
      <c r="B23" s="84"/>
      <c r="C23" s="86"/>
      <c r="D23" s="86"/>
      <c r="E23" s="68"/>
      <c r="F23" s="68"/>
      <c r="G23" s="68"/>
      <c r="H23" s="68"/>
      <c r="I23" s="68"/>
      <c r="J23" s="68"/>
      <c r="K23" s="68"/>
      <c r="L23" s="68"/>
      <c r="M23" s="68"/>
      <c r="N23" s="68"/>
      <c r="O23" s="68"/>
    </row>
    <row r="24" spans="1:15" ht="20.25">
      <c r="A24" s="84"/>
      <c r="B24" s="84"/>
      <c r="C24" s="86"/>
      <c r="D24" s="86"/>
      <c r="E24" s="68"/>
      <c r="F24" s="68"/>
      <c r="G24" s="68"/>
      <c r="H24" s="68"/>
      <c r="I24" s="68"/>
      <c r="J24" s="68"/>
      <c r="K24" s="68"/>
      <c r="L24" s="68"/>
      <c r="M24" s="68"/>
      <c r="N24" s="68"/>
      <c r="O24" s="68"/>
    </row>
    <row r="25" spans="1:15" ht="20.25">
      <c r="A25" s="84"/>
      <c r="B25" s="84"/>
      <c r="C25" s="86"/>
      <c r="D25" s="86"/>
      <c r="E25" s="68"/>
      <c r="F25" s="68"/>
      <c r="G25" s="68"/>
      <c r="H25" s="68"/>
      <c r="I25" s="68"/>
      <c r="J25" s="68"/>
      <c r="K25" s="68"/>
      <c r="L25" s="68"/>
      <c r="M25" s="68"/>
      <c r="N25" s="68"/>
      <c r="O25" s="68"/>
    </row>
    <row r="26" spans="1:15" ht="20.25">
      <c r="A26" s="84"/>
      <c r="B26" s="84"/>
      <c r="C26" s="86"/>
      <c r="D26" s="86"/>
      <c r="E26" s="68"/>
      <c r="F26" s="68"/>
      <c r="G26" s="68"/>
      <c r="H26" s="68"/>
      <c r="I26" s="68"/>
      <c r="J26" s="68"/>
      <c r="K26" s="68"/>
      <c r="L26" s="68"/>
      <c r="M26" s="68"/>
      <c r="N26" s="68"/>
      <c r="O26" s="68"/>
    </row>
    <row r="27" spans="1:15" ht="20.25">
      <c r="A27" s="84"/>
      <c r="B27" s="84"/>
      <c r="C27" s="86"/>
      <c r="D27" s="86"/>
      <c r="E27" s="68"/>
      <c r="F27" s="68"/>
      <c r="G27" s="68"/>
      <c r="H27" s="68"/>
      <c r="I27" s="68"/>
      <c r="J27" s="68"/>
      <c r="K27" s="68"/>
      <c r="L27" s="68"/>
      <c r="M27" s="68"/>
      <c r="N27" s="68"/>
      <c r="O27" s="68"/>
    </row>
    <row r="28" spans="1:15" ht="20.25">
      <c r="A28" s="84"/>
      <c r="B28" s="84"/>
      <c r="C28" s="86"/>
      <c r="D28" s="86"/>
      <c r="E28" s="68"/>
      <c r="F28" s="68"/>
      <c r="G28" s="68"/>
      <c r="H28" s="68"/>
      <c r="I28" s="68"/>
      <c r="J28" s="68"/>
      <c r="K28" s="68"/>
      <c r="L28" s="68"/>
      <c r="M28" s="68"/>
      <c r="N28" s="68"/>
      <c r="O28" s="68"/>
    </row>
    <row r="29" spans="1:15" ht="20.25">
      <c r="A29" s="84"/>
      <c r="B29" s="84"/>
      <c r="C29" s="86"/>
      <c r="D29" s="86"/>
      <c r="E29" s="68"/>
      <c r="F29" s="68"/>
      <c r="G29" s="68"/>
      <c r="H29" s="68"/>
      <c r="I29" s="68"/>
      <c r="J29" s="68"/>
      <c r="K29" s="68"/>
      <c r="L29" s="68"/>
      <c r="M29" s="68"/>
      <c r="N29" s="68"/>
      <c r="O29" s="68"/>
    </row>
    <row r="30" spans="1:15" ht="20.25">
      <c r="A30" s="84"/>
      <c r="B30" s="84"/>
      <c r="C30" s="86"/>
      <c r="D30" s="86"/>
      <c r="E30" s="68"/>
      <c r="F30" s="68"/>
      <c r="G30" s="68"/>
      <c r="H30" s="68"/>
      <c r="I30" s="68"/>
      <c r="J30" s="68"/>
      <c r="K30" s="68"/>
      <c r="L30" s="68"/>
      <c r="M30" s="68"/>
      <c r="N30" s="68"/>
      <c r="O30" s="68"/>
    </row>
    <row r="31" spans="1:15" ht="20.25">
      <c r="A31" s="84"/>
      <c r="B31" s="84"/>
      <c r="C31" s="86"/>
      <c r="D31" s="86"/>
      <c r="E31" s="68"/>
      <c r="F31" s="68"/>
      <c r="G31" s="68"/>
      <c r="H31" s="68"/>
      <c r="I31" s="68"/>
      <c r="J31" s="68"/>
      <c r="K31" s="68"/>
      <c r="L31" s="68"/>
      <c r="M31" s="68"/>
      <c r="N31" s="68"/>
      <c r="O31" s="68"/>
    </row>
    <row r="32" spans="1:15" ht="20.25">
      <c r="A32" s="84"/>
      <c r="B32" s="84"/>
      <c r="C32" s="86"/>
      <c r="D32" s="86"/>
      <c r="E32" s="68"/>
      <c r="F32" s="68"/>
      <c r="G32" s="68"/>
      <c r="H32" s="68"/>
      <c r="I32" s="68"/>
      <c r="J32" s="68"/>
      <c r="K32" s="68"/>
      <c r="L32" s="68"/>
      <c r="M32" s="68"/>
      <c r="N32" s="68"/>
      <c r="O32" s="68"/>
    </row>
    <row r="33" spans="1:15" ht="20.25">
      <c r="A33" s="84"/>
      <c r="B33" s="84"/>
      <c r="C33" s="86"/>
      <c r="D33" s="86"/>
      <c r="E33" s="68"/>
      <c r="F33" s="68"/>
      <c r="G33" s="68"/>
      <c r="H33" s="68"/>
      <c r="I33" s="68"/>
      <c r="J33" s="68"/>
      <c r="K33" s="68"/>
      <c r="L33" s="68"/>
      <c r="M33" s="68"/>
      <c r="N33" s="68"/>
      <c r="O33" s="68"/>
    </row>
    <row r="34" spans="1:15" ht="20.25">
      <c r="A34" s="84"/>
      <c r="B34" s="84"/>
      <c r="C34" s="86"/>
      <c r="D34" s="86"/>
      <c r="E34" s="68"/>
      <c r="F34" s="68"/>
      <c r="G34" s="68"/>
      <c r="H34" s="68"/>
      <c r="I34" s="68"/>
      <c r="J34" s="68"/>
      <c r="K34" s="68"/>
      <c r="L34" s="68"/>
      <c r="M34" s="68"/>
      <c r="N34" s="68"/>
      <c r="O34" s="68"/>
    </row>
    <row r="35" spans="1:15" ht="20.25">
      <c r="A35" s="84"/>
      <c r="B35" s="84"/>
      <c r="C35" s="86"/>
      <c r="D35" s="86"/>
      <c r="E35" s="68"/>
      <c r="F35" s="68"/>
      <c r="G35" s="68"/>
      <c r="H35" s="68"/>
      <c r="I35" s="68"/>
      <c r="J35" s="68"/>
      <c r="K35" s="68"/>
      <c r="L35" s="68"/>
      <c r="M35" s="68"/>
      <c r="N35" s="68"/>
      <c r="O35" s="68"/>
    </row>
    <row r="36" spans="1:15" ht="20.25">
      <c r="A36" s="84"/>
      <c r="B36" s="84"/>
      <c r="C36" s="86"/>
      <c r="D36" s="86"/>
      <c r="E36" s="68"/>
      <c r="F36" s="68"/>
      <c r="G36" s="68"/>
      <c r="H36" s="68"/>
      <c r="I36" s="68"/>
      <c r="J36" s="68"/>
      <c r="K36" s="68"/>
      <c r="L36" s="68"/>
      <c r="M36" s="68"/>
      <c r="N36" s="68"/>
      <c r="O36" s="68"/>
    </row>
    <row r="37" spans="1:15" ht="20.25">
      <c r="A37" s="84"/>
      <c r="B37" s="84"/>
      <c r="C37" s="86"/>
      <c r="D37" s="86"/>
      <c r="E37" s="68"/>
      <c r="F37" s="68"/>
      <c r="G37" s="68"/>
      <c r="H37" s="68"/>
      <c r="I37" s="68"/>
      <c r="J37" s="68"/>
      <c r="K37" s="68"/>
      <c r="L37" s="68"/>
      <c r="M37" s="68"/>
      <c r="N37" s="68"/>
      <c r="O37" s="68"/>
    </row>
    <row r="38" spans="1:15" ht="20.25">
      <c r="A38" s="84"/>
      <c r="B38" s="84"/>
      <c r="C38" s="86"/>
      <c r="D38" s="86"/>
      <c r="E38" s="68"/>
      <c r="F38" s="68"/>
      <c r="G38" s="68"/>
      <c r="H38" s="68"/>
      <c r="I38" s="68"/>
      <c r="J38" s="68"/>
      <c r="K38" s="68"/>
      <c r="L38" s="68"/>
      <c r="M38" s="68"/>
      <c r="N38" s="68"/>
      <c r="O38" s="68"/>
    </row>
    <row r="39" spans="1:15" ht="20.25">
      <c r="A39" s="84"/>
      <c r="B39" s="84"/>
      <c r="C39" s="86"/>
      <c r="D39" s="86"/>
      <c r="E39" s="68"/>
      <c r="F39" s="68"/>
      <c r="G39" s="68"/>
      <c r="H39" s="68"/>
      <c r="I39" s="68"/>
      <c r="J39" s="68"/>
      <c r="K39" s="68"/>
      <c r="L39" s="68"/>
      <c r="M39" s="68"/>
      <c r="N39" s="68"/>
      <c r="O39" s="68"/>
    </row>
    <row r="40" spans="1:15" ht="20.25">
      <c r="A40" s="84"/>
      <c r="B40" s="84"/>
      <c r="C40" s="86"/>
      <c r="D40" s="86"/>
      <c r="E40" s="68"/>
      <c r="F40" s="68"/>
      <c r="G40" s="68"/>
      <c r="H40" s="68"/>
      <c r="I40" s="68"/>
      <c r="J40" s="68"/>
      <c r="K40" s="68"/>
      <c r="L40" s="68"/>
      <c r="M40" s="68"/>
      <c r="N40" s="68"/>
      <c r="O40" s="68"/>
    </row>
    <row r="41" spans="1:15" ht="20.25">
      <c r="A41" s="84"/>
      <c r="B41" s="84"/>
      <c r="C41" s="86"/>
      <c r="D41" s="86"/>
      <c r="E41" s="68"/>
      <c r="F41" s="68"/>
      <c r="G41" s="68"/>
      <c r="H41" s="68"/>
      <c r="I41" s="68"/>
      <c r="J41" s="68"/>
      <c r="K41" s="68"/>
      <c r="L41" s="68"/>
      <c r="M41" s="68"/>
      <c r="N41" s="68"/>
      <c r="O41" s="68"/>
    </row>
    <row r="42" spans="1:15" ht="20.25">
      <c r="A42" s="84"/>
      <c r="B42" s="84"/>
      <c r="C42" s="86"/>
      <c r="D42" s="86"/>
      <c r="E42" s="68"/>
      <c r="F42" s="68"/>
      <c r="G42" s="68"/>
      <c r="H42" s="68"/>
      <c r="I42" s="68"/>
      <c r="J42" s="68"/>
      <c r="K42" s="68"/>
      <c r="L42" s="68"/>
      <c r="M42" s="68"/>
      <c r="N42" s="68"/>
      <c r="O42" s="68"/>
    </row>
    <row r="43" spans="1:15" ht="20.25">
      <c r="A43" s="84"/>
      <c r="B43" s="84"/>
      <c r="C43" s="86"/>
      <c r="D43" s="86"/>
      <c r="E43" s="68"/>
      <c r="F43" s="68"/>
      <c r="G43" s="68"/>
      <c r="H43" s="68"/>
      <c r="I43" s="68"/>
      <c r="J43" s="68"/>
      <c r="K43" s="68"/>
      <c r="L43" s="68"/>
      <c r="M43" s="68"/>
      <c r="N43" s="68"/>
      <c r="O43" s="68"/>
    </row>
    <row r="44" spans="1:15" ht="20.25">
      <c r="A44" s="84"/>
      <c r="B44" s="84"/>
      <c r="C44" s="86"/>
      <c r="D44" s="86"/>
      <c r="E44" s="68"/>
      <c r="F44" s="68"/>
      <c r="G44" s="68"/>
      <c r="H44" s="68"/>
      <c r="I44" s="68"/>
      <c r="J44" s="68"/>
      <c r="K44" s="68"/>
      <c r="L44" s="68"/>
      <c r="M44" s="68"/>
      <c r="N44" s="68"/>
      <c r="O44" s="68"/>
    </row>
    <row r="45" spans="1:15" ht="20.25">
      <c r="A45" s="84"/>
      <c r="B45" s="84"/>
      <c r="C45" s="86"/>
      <c r="D45" s="86"/>
      <c r="E45" s="68"/>
      <c r="F45" s="68"/>
      <c r="G45" s="68"/>
      <c r="H45" s="68"/>
      <c r="I45" s="68"/>
      <c r="J45" s="68"/>
      <c r="K45" s="68"/>
      <c r="L45" s="68"/>
      <c r="M45" s="68"/>
      <c r="N45" s="68"/>
      <c r="O45" s="68"/>
    </row>
    <row r="46" spans="1:15" ht="20.25">
      <c r="A46" s="84"/>
      <c r="B46" s="84"/>
      <c r="C46" s="86"/>
      <c r="D46" s="86"/>
      <c r="E46" s="68"/>
      <c r="F46" s="68"/>
      <c r="G46" s="68"/>
      <c r="H46" s="68"/>
      <c r="I46" s="68"/>
      <c r="J46" s="68"/>
      <c r="K46" s="68"/>
      <c r="L46" s="68"/>
      <c r="M46" s="68"/>
      <c r="N46" s="68"/>
      <c r="O46" s="68"/>
    </row>
    <row r="47" spans="1:15" ht="20.25">
      <c r="A47" s="84"/>
      <c r="B47" s="84"/>
      <c r="C47" s="86"/>
      <c r="D47" s="86"/>
      <c r="E47" s="68"/>
      <c r="F47" s="68"/>
      <c r="G47" s="68"/>
      <c r="H47" s="68"/>
      <c r="I47" s="68"/>
      <c r="J47" s="68"/>
      <c r="K47" s="68"/>
      <c r="L47" s="68"/>
      <c r="M47" s="68"/>
      <c r="N47" s="68"/>
      <c r="O47" s="68"/>
    </row>
    <row r="48" spans="1:15" ht="20.25">
      <c r="A48" s="84"/>
      <c r="B48" s="84"/>
      <c r="C48" s="86"/>
      <c r="D48" s="86"/>
      <c r="E48" s="68"/>
      <c r="F48" s="68"/>
      <c r="G48" s="68"/>
      <c r="H48" s="68"/>
      <c r="I48" s="68"/>
      <c r="J48" s="68"/>
      <c r="K48" s="68"/>
      <c r="L48" s="68"/>
      <c r="M48" s="68"/>
      <c r="N48" s="68"/>
      <c r="O48" s="68"/>
    </row>
    <row r="49" spans="1:15" ht="20.25">
      <c r="A49" s="84"/>
      <c r="B49" s="84"/>
      <c r="C49" s="86"/>
      <c r="D49" s="86"/>
      <c r="E49" s="68"/>
      <c r="F49" s="68"/>
      <c r="G49" s="68"/>
      <c r="H49" s="68"/>
      <c r="I49" s="68"/>
      <c r="J49" s="68"/>
      <c r="K49" s="68"/>
      <c r="L49" s="68"/>
      <c r="M49" s="68"/>
      <c r="N49" s="68"/>
      <c r="O49" s="68"/>
    </row>
    <row r="50" spans="1:15" ht="20.25">
      <c r="A50" s="84"/>
      <c r="B50" s="84"/>
      <c r="C50" s="86"/>
      <c r="D50" s="86"/>
      <c r="E50" s="68"/>
      <c r="F50" s="68"/>
      <c r="G50" s="68"/>
      <c r="H50" s="68"/>
      <c r="I50" s="68"/>
      <c r="J50" s="68"/>
      <c r="K50" s="68"/>
      <c r="L50" s="68"/>
      <c r="M50" s="68"/>
      <c r="N50" s="68"/>
      <c r="O50" s="68"/>
    </row>
    <row r="51" spans="1:15" ht="20.25">
      <c r="A51" s="84"/>
      <c r="B51" s="84"/>
      <c r="C51" s="86"/>
      <c r="D51" s="86"/>
      <c r="E51" s="68"/>
      <c r="F51" s="68"/>
      <c r="G51" s="68"/>
      <c r="H51" s="68"/>
      <c r="I51" s="68"/>
      <c r="J51" s="68"/>
      <c r="K51" s="68"/>
      <c r="L51" s="68"/>
      <c r="M51" s="68"/>
      <c r="N51" s="68"/>
      <c r="O51" s="68"/>
    </row>
    <row r="52" spans="1:15" ht="20.25">
      <c r="A52" s="84"/>
      <c r="B52" s="15"/>
      <c r="C52" s="20"/>
      <c r="D52" s="20"/>
    </row>
    <row r="53" spans="1:15" ht="20.25">
      <c r="A53" s="84"/>
      <c r="B53" s="15"/>
      <c r="C53" s="20"/>
      <c r="D53" s="20"/>
    </row>
    <row r="54" spans="1:15" ht="20.25">
      <c r="A54" s="84"/>
      <c r="B54" s="15"/>
      <c r="C54" s="20"/>
      <c r="D54" s="20"/>
    </row>
    <row r="55" spans="1:15" ht="20.25">
      <c r="A55" s="84"/>
      <c r="B55" s="15"/>
      <c r="C55" s="20"/>
      <c r="D55" s="20"/>
    </row>
    <row r="56" spans="1:15" ht="20.25">
      <c r="A56" s="84"/>
      <c r="B56" s="15"/>
      <c r="C56" s="20"/>
      <c r="D56" s="20"/>
    </row>
    <row r="57" spans="1:15" ht="20.25">
      <c r="A57" s="84"/>
      <c r="B57" s="15"/>
      <c r="C57" s="20"/>
      <c r="D57" s="20"/>
    </row>
    <row r="58" spans="1:15" ht="20.25">
      <c r="A58" s="84"/>
      <c r="B58" s="15"/>
      <c r="C58" s="20"/>
      <c r="D58" s="20"/>
    </row>
    <row r="59" spans="1:15" ht="20.25">
      <c r="A59" s="84"/>
      <c r="B59" s="15"/>
      <c r="C59" s="20"/>
      <c r="D59" s="20"/>
    </row>
    <row r="60" spans="1:15" ht="20.25">
      <c r="A60" s="84"/>
      <c r="B60" s="15"/>
      <c r="C60" s="20"/>
      <c r="D60" s="20"/>
    </row>
    <row r="61" spans="1:15" ht="20.25">
      <c r="A61" s="84"/>
      <c r="B61" s="15"/>
      <c r="C61" s="20"/>
      <c r="D61" s="20"/>
    </row>
    <row r="62" spans="1:15" ht="20.25">
      <c r="A62" s="84"/>
      <c r="B62" s="15"/>
      <c r="C62" s="20"/>
      <c r="D62" s="20"/>
    </row>
    <row r="63" spans="1:15" ht="20.25">
      <c r="A63" s="84"/>
      <c r="B63" s="15"/>
      <c r="C63" s="20"/>
      <c r="D63" s="20"/>
    </row>
    <row r="64" spans="1:15" ht="20.25">
      <c r="A64" s="84"/>
      <c r="B64" s="15"/>
      <c r="C64" s="20"/>
      <c r="D64" s="20"/>
    </row>
    <row r="65" spans="1:4" ht="20.25">
      <c r="A65" s="84"/>
      <c r="B65" s="15"/>
      <c r="C65" s="20"/>
      <c r="D65" s="20"/>
    </row>
    <row r="66" spans="1:4" ht="20.25">
      <c r="A66" s="84"/>
      <c r="B66" s="15"/>
      <c r="C66" s="20"/>
      <c r="D66" s="20"/>
    </row>
    <row r="67" spans="1:4" ht="20.25">
      <c r="A67" s="84"/>
      <c r="B67" s="15"/>
      <c r="C67" s="20"/>
      <c r="D67" s="20"/>
    </row>
    <row r="68" spans="1:4" ht="20.25">
      <c r="A68" s="84"/>
      <c r="B68" s="15"/>
      <c r="C68" s="20"/>
      <c r="D68" s="20"/>
    </row>
    <row r="69" spans="1:4" ht="20.25">
      <c r="A69" s="84"/>
      <c r="B69" s="15"/>
      <c r="C69" s="20"/>
      <c r="D69" s="20"/>
    </row>
    <row r="70" spans="1:4" ht="20.25">
      <c r="A70" s="84"/>
      <c r="B70" s="15"/>
      <c r="C70" s="20"/>
      <c r="D70" s="20"/>
    </row>
    <row r="71" spans="1:4" ht="20.25">
      <c r="A71" s="84"/>
      <c r="B71" s="15"/>
      <c r="C71" s="20"/>
      <c r="D71" s="20"/>
    </row>
    <row r="72" spans="1:4" ht="20.25">
      <c r="A72" s="84"/>
      <c r="B72" s="15"/>
      <c r="C72" s="20"/>
      <c r="D72" s="20"/>
    </row>
    <row r="73" spans="1:4" ht="20.25">
      <c r="A73" s="84"/>
      <c r="B73" s="15"/>
      <c r="C73" s="20"/>
      <c r="D73" s="20"/>
    </row>
    <row r="74" spans="1:4" ht="20.25">
      <c r="A74" s="84"/>
      <c r="B74" s="15"/>
      <c r="C74" s="20"/>
      <c r="D74" s="20"/>
    </row>
    <row r="75" spans="1:4" ht="20.25">
      <c r="A75" s="84"/>
      <c r="B75" s="15"/>
      <c r="C75" s="20"/>
      <c r="D75" s="20"/>
    </row>
    <row r="76" spans="1:4" ht="20.25">
      <c r="A76" s="84"/>
      <c r="B76" s="15"/>
      <c r="C76" s="20"/>
      <c r="D76" s="20"/>
    </row>
    <row r="77" spans="1:4" ht="20.25">
      <c r="A77" s="84"/>
      <c r="B77" s="15"/>
      <c r="C77" s="20"/>
      <c r="D77" s="20"/>
    </row>
    <row r="78" spans="1:4" ht="20.25">
      <c r="A78" s="84"/>
      <c r="B78" s="15"/>
      <c r="C78" s="20"/>
      <c r="D78" s="20"/>
    </row>
    <row r="79" spans="1:4" ht="20.25">
      <c r="A79" s="84"/>
      <c r="B79" s="15"/>
      <c r="C79" s="20"/>
      <c r="D79" s="20"/>
    </row>
    <row r="80" spans="1:4" ht="20.25">
      <c r="A80" s="84"/>
      <c r="B80" s="15"/>
      <c r="C80" s="20"/>
      <c r="D80" s="20"/>
    </row>
    <row r="81" spans="1:4" ht="20.25">
      <c r="A81" s="84"/>
      <c r="B81" s="15"/>
      <c r="C81" s="20"/>
      <c r="D81" s="20"/>
    </row>
    <row r="82" spans="1:4" ht="20.25">
      <c r="A82" s="84"/>
      <c r="B82" s="15"/>
      <c r="C82" s="20"/>
      <c r="D82" s="20"/>
    </row>
    <row r="83" spans="1:4" ht="20.25">
      <c r="A83" s="84"/>
      <c r="B83" s="15"/>
      <c r="C83" s="20"/>
      <c r="D83" s="20"/>
    </row>
    <row r="84" spans="1:4" ht="20.25">
      <c r="A84" s="84"/>
      <c r="B84" s="15"/>
      <c r="C84" s="20"/>
      <c r="D84" s="20"/>
    </row>
    <row r="85" spans="1:4" ht="20.25">
      <c r="A85" s="84"/>
      <c r="B85" s="15"/>
      <c r="C85" s="20"/>
      <c r="D85" s="20"/>
    </row>
    <row r="86" spans="1:4" ht="20.25">
      <c r="A86" s="84"/>
      <c r="B86" s="15"/>
      <c r="C86" s="20"/>
      <c r="D86" s="20"/>
    </row>
    <row r="87" spans="1:4" ht="20.25">
      <c r="A87" s="84"/>
      <c r="B87" s="15"/>
      <c r="C87" s="20"/>
      <c r="D87" s="20"/>
    </row>
    <row r="88" spans="1:4" ht="20.25">
      <c r="A88" s="84"/>
      <c r="B88" s="15"/>
      <c r="C88" s="20"/>
      <c r="D88" s="20"/>
    </row>
    <row r="89" spans="1:4" ht="20.25">
      <c r="A89" s="84"/>
      <c r="B89" s="15"/>
      <c r="C89" s="20"/>
      <c r="D89" s="20"/>
    </row>
    <row r="90" spans="1:4" ht="20.25">
      <c r="A90" s="84"/>
      <c r="B90" s="15"/>
      <c r="C90" s="20"/>
      <c r="D90" s="20"/>
    </row>
    <row r="91" spans="1:4" ht="20.25">
      <c r="A91" s="84"/>
      <c r="B91" s="15"/>
      <c r="C91" s="20"/>
      <c r="D91" s="20"/>
    </row>
    <row r="92" spans="1:4" ht="20.25">
      <c r="A92" s="84"/>
      <c r="B92" s="15"/>
      <c r="C92" s="20"/>
      <c r="D92" s="20"/>
    </row>
    <row r="93" spans="1:4" ht="20.25">
      <c r="A93" s="84"/>
      <c r="B93" s="15"/>
      <c r="C93" s="20"/>
      <c r="D93" s="20"/>
    </row>
    <row r="94" spans="1:4" ht="20.25">
      <c r="A94" s="84"/>
      <c r="B94" s="15"/>
      <c r="C94" s="20"/>
      <c r="D94" s="20"/>
    </row>
    <row r="95" spans="1:4" ht="20.25">
      <c r="A95" s="84"/>
      <c r="B95" s="15"/>
      <c r="C95" s="20"/>
      <c r="D95" s="20"/>
    </row>
    <row r="96" spans="1:4" ht="20.25">
      <c r="A96" s="84"/>
      <c r="B96" s="15"/>
      <c r="C96" s="20"/>
      <c r="D96" s="20"/>
    </row>
    <row r="97" spans="1:4" ht="20.25">
      <c r="A97" s="84"/>
      <c r="B97" s="15"/>
      <c r="C97" s="20"/>
      <c r="D97" s="20"/>
    </row>
    <row r="98" spans="1:4" ht="20.25">
      <c r="A98" s="84"/>
      <c r="B98" s="15"/>
      <c r="C98" s="20"/>
      <c r="D98" s="20"/>
    </row>
    <row r="99" spans="1:4" ht="20.25">
      <c r="A99" s="84"/>
      <c r="B99" s="15"/>
      <c r="C99" s="20"/>
      <c r="D99" s="20"/>
    </row>
    <row r="100" spans="1:4" ht="20.25">
      <c r="A100" s="84"/>
      <c r="B100" s="15"/>
      <c r="C100" s="20"/>
      <c r="D100" s="20"/>
    </row>
    <row r="101" spans="1:4" ht="20.25">
      <c r="A101" s="84"/>
      <c r="B101" s="15"/>
      <c r="C101" s="20"/>
      <c r="D101" s="20"/>
    </row>
    <row r="102" spans="1:4" ht="20.25">
      <c r="A102" s="84"/>
      <c r="B102" s="15"/>
      <c r="C102" s="20"/>
      <c r="D102" s="20"/>
    </row>
    <row r="103" spans="1:4" ht="20.25">
      <c r="A103" s="84"/>
      <c r="B103" s="15"/>
      <c r="C103" s="20"/>
      <c r="D103" s="20"/>
    </row>
    <row r="104" spans="1:4" ht="20.25">
      <c r="A104" s="84"/>
      <c r="B104" s="15"/>
      <c r="C104" s="20"/>
      <c r="D104" s="20"/>
    </row>
    <row r="105" spans="1:4" ht="20.25">
      <c r="A105" s="84"/>
      <c r="B105" s="15"/>
      <c r="C105" s="20"/>
      <c r="D105" s="20"/>
    </row>
    <row r="106" spans="1:4" ht="20.25">
      <c r="A106" s="84"/>
      <c r="B106" s="15"/>
      <c r="C106" s="20"/>
      <c r="D106" s="20"/>
    </row>
    <row r="107" spans="1:4" ht="20.25">
      <c r="A107" s="84"/>
      <c r="B107" s="15"/>
      <c r="C107" s="20"/>
      <c r="D107" s="20"/>
    </row>
    <row r="108" spans="1:4" ht="20.25">
      <c r="A108" s="84"/>
      <c r="B108" s="15"/>
      <c r="C108" s="20"/>
      <c r="D108" s="20"/>
    </row>
    <row r="109" spans="1:4" ht="20.25">
      <c r="A109" s="84"/>
      <c r="B109" s="15"/>
      <c r="C109" s="20"/>
      <c r="D109" s="20"/>
    </row>
    <row r="110" spans="1:4" ht="20.25">
      <c r="A110" s="84"/>
      <c r="B110" s="15"/>
      <c r="C110" s="20"/>
      <c r="D110" s="20"/>
    </row>
    <row r="111" spans="1:4" ht="20.25">
      <c r="A111" s="84"/>
      <c r="B111" s="15"/>
      <c r="C111" s="20"/>
      <c r="D111" s="20"/>
    </row>
    <row r="112" spans="1:4" ht="20.25">
      <c r="A112" s="84"/>
      <c r="B112" s="15"/>
      <c r="C112" s="20"/>
      <c r="D112" s="20"/>
    </row>
    <row r="113" spans="1:4" ht="20.25">
      <c r="A113" s="84"/>
      <c r="B113" s="15"/>
      <c r="C113" s="20"/>
      <c r="D113" s="20"/>
    </row>
    <row r="114" spans="1:4" ht="20.25">
      <c r="A114" s="84"/>
      <c r="B114" s="15"/>
      <c r="C114" s="20"/>
      <c r="D114" s="20"/>
    </row>
    <row r="115" spans="1:4" ht="20.25">
      <c r="A115" s="84"/>
      <c r="B115" s="15"/>
      <c r="C115" s="20"/>
      <c r="D115" s="20"/>
    </row>
    <row r="116" spans="1:4" ht="20.25">
      <c r="A116" s="84"/>
      <c r="B116" s="15"/>
      <c r="C116" s="20"/>
      <c r="D116" s="20"/>
    </row>
    <row r="117" spans="1:4" ht="20.25">
      <c r="A117" s="84"/>
      <c r="B117" s="15"/>
      <c r="C117" s="20"/>
      <c r="D117" s="20"/>
    </row>
    <row r="118" spans="1:4" ht="20.25">
      <c r="A118" s="84"/>
      <c r="B118" s="15"/>
      <c r="C118" s="20"/>
      <c r="D118" s="20"/>
    </row>
    <row r="119" spans="1:4" ht="20.25">
      <c r="A119" s="84"/>
      <c r="B119" s="15"/>
      <c r="C119" s="20"/>
      <c r="D119" s="20"/>
    </row>
    <row r="120" spans="1:4" ht="20.25">
      <c r="A120" s="84"/>
      <c r="B120" s="15"/>
      <c r="C120" s="20"/>
      <c r="D120" s="20"/>
    </row>
    <row r="121" spans="1:4" ht="20.25">
      <c r="A121" s="84"/>
      <c r="B121" s="15"/>
      <c r="C121" s="20"/>
      <c r="D121" s="20"/>
    </row>
    <row r="122" spans="1:4" ht="20.25">
      <c r="A122" s="84"/>
      <c r="B122" s="15"/>
      <c r="C122" s="20"/>
      <c r="D122" s="20"/>
    </row>
    <row r="123" spans="1:4" ht="20.25">
      <c r="A123" s="84"/>
      <c r="B123" s="15"/>
      <c r="C123" s="20"/>
      <c r="D123" s="20"/>
    </row>
    <row r="124" spans="1:4" ht="20.25">
      <c r="A124" s="84"/>
      <c r="B124" s="15"/>
      <c r="C124" s="20"/>
      <c r="D124" s="20"/>
    </row>
    <row r="125" spans="1:4" ht="20.25">
      <c r="A125" s="84"/>
      <c r="B125" s="15"/>
      <c r="C125" s="20"/>
      <c r="D125" s="20"/>
    </row>
    <row r="126" spans="1:4" ht="20.25">
      <c r="A126" s="84"/>
      <c r="B126" s="15"/>
      <c r="C126" s="20"/>
      <c r="D126" s="20"/>
    </row>
    <row r="127" spans="1:4" ht="20.25">
      <c r="A127" s="84"/>
      <c r="B127" s="15"/>
      <c r="C127" s="20"/>
      <c r="D127" s="20"/>
    </row>
    <row r="128" spans="1:4" ht="20.25">
      <c r="A128" s="84"/>
      <c r="B128" s="15"/>
      <c r="C128" s="20"/>
      <c r="D128" s="20"/>
    </row>
    <row r="129" spans="1:4" ht="20.25">
      <c r="A129" s="84"/>
      <c r="B129" s="15"/>
      <c r="C129" s="20"/>
      <c r="D129" s="20"/>
    </row>
    <row r="130" spans="1:4" ht="20.25">
      <c r="A130" s="84"/>
      <c r="B130" s="15"/>
      <c r="C130" s="20"/>
      <c r="D130" s="20"/>
    </row>
    <row r="131" spans="1:4" ht="20.25">
      <c r="A131" s="84"/>
      <c r="B131" s="15"/>
      <c r="C131" s="20"/>
      <c r="D131" s="20"/>
    </row>
    <row r="132" spans="1:4" ht="20.25">
      <c r="A132" s="84"/>
      <c r="B132" s="15"/>
      <c r="C132" s="20"/>
      <c r="D132" s="20"/>
    </row>
    <row r="133" spans="1:4" ht="20.25">
      <c r="A133" s="84"/>
      <c r="B133" s="15"/>
      <c r="C133" s="20"/>
      <c r="D133" s="20"/>
    </row>
    <row r="134" spans="1:4" ht="20.25">
      <c r="A134" s="84"/>
      <c r="B134" s="15"/>
      <c r="C134" s="20"/>
      <c r="D134" s="20"/>
    </row>
    <row r="135" spans="1:4" ht="20.25">
      <c r="A135" s="84"/>
      <c r="B135" s="15"/>
      <c r="C135" s="20"/>
      <c r="D135" s="20"/>
    </row>
    <row r="136" spans="1:4" ht="20.25">
      <c r="A136" s="84"/>
      <c r="B136" s="15"/>
      <c r="C136" s="20"/>
      <c r="D136" s="20"/>
    </row>
    <row r="137" spans="1:4" ht="20.25">
      <c r="A137" s="84"/>
      <c r="B137" s="15"/>
      <c r="C137" s="20"/>
      <c r="D137" s="20"/>
    </row>
    <row r="138" spans="1:4" ht="20.25">
      <c r="A138" s="84"/>
      <c r="B138" s="15"/>
      <c r="C138" s="20"/>
      <c r="D138" s="20"/>
    </row>
    <row r="139" spans="1:4" ht="20.25">
      <c r="A139" s="84"/>
      <c r="B139" s="15"/>
      <c r="C139" s="20"/>
      <c r="D139" s="20"/>
    </row>
    <row r="140" spans="1:4" ht="20.25">
      <c r="A140" s="84"/>
      <c r="B140" s="15"/>
      <c r="C140" s="20"/>
      <c r="D140" s="20"/>
    </row>
    <row r="141" spans="1:4" ht="20.25">
      <c r="A141" s="84"/>
      <c r="B141" s="15"/>
      <c r="C141" s="20"/>
      <c r="D141" s="20"/>
    </row>
    <row r="142" spans="1:4" ht="20.25">
      <c r="A142" s="84"/>
      <c r="B142" s="15"/>
      <c r="C142" s="20"/>
      <c r="D142" s="20"/>
    </row>
    <row r="143" spans="1:4" ht="20.25">
      <c r="A143" s="84"/>
      <c r="B143" s="15"/>
      <c r="C143" s="20"/>
      <c r="D143" s="20"/>
    </row>
    <row r="144" spans="1:4" ht="20.25">
      <c r="A144" s="84"/>
      <c r="B144" s="15"/>
      <c r="C144" s="20"/>
      <c r="D144" s="20"/>
    </row>
    <row r="145" spans="1:4" ht="20.25">
      <c r="A145" s="84"/>
      <c r="B145" s="15"/>
      <c r="C145" s="20"/>
      <c r="D145" s="20"/>
    </row>
    <row r="146" spans="1:4" ht="20.25">
      <c r="A146" s="84"/>
      <c r="B146" s="15"/>
      <c r="C146" s="20"/>
      <c r="D146" s="20"/>
    </row>
    <row r="147" spans="1:4" ht="20.25">
      <c r="A147" s="84"/>
      <c r="B147" s="15"/>
      <c r="C147" s="20"/>
      <c r="D147" s="20"/>
    </row>
    <row r="148" spans="1:4" ht="20.25">
      <c r="A148" s="84"/>
      <c r="B148" s="15"/>
      <c r="C148" s="20"/>
      <c r="D148" s="20"/>
    </row>
    <row r="149" spans="1:4" ht="20.25">
      <c r="A149" s="84"/>
      <c r="B149" s="15"/>
      <c r="C149" s="20"/>
      <c r="D149" s="20"/>
    </row>
    <row r="150" spans="1:4" ht="20.25">
      <c r="A150" s="84"/>
      <c r="B150" s="15"/>
      <c r="C150" s="20"/>
      <c r="D150" s="20"/>
    </row>
    <row r="151" spans="1:4" ht="20.25">
      <c r="A151" s="84"/>
      <c r="B151" s="15"/>
      <c r="C151" s="20"/>
      <c r="D151" s="20"/>
    </row>
    <row r="152" spans="1:4" ht="20.25">
      <c r="A152" s="84"/>
      <c r="B152" s="15"/>
      <c r="C152" s="20"/>
      <c r="D152" s="20"/>
    </row>
    <row r="153" spans="1:4" ht="20.25">
      <c r="A153" s="84"/>
      <c r="B153" s="15"/>
      <c r="C153" s="20"/>
      <c r="D153" s="20"/>
    </row>
    <row r="154" spans="1:4" ht="20.25">
      <c r="A154" s="84"/>
      <c r="B154" s="15"/>
      <c r="C154" s="20"/>
      <c r="D154" s="20"/>
    </row>
    <row r="155" spans="1:4" ht="20.25">
      <c r="A155" s="84"/>
      <c r="B155" s="15"/>
      <c r="C155" s="20"/>
      <c r="D155" s="20"/>
    </row>
    <row r="156" spans="1:4" ht="20.25">
      <c r="A156" s="84"/>
      <c r="B156" s="15"/>
      <c r="C156" s="20"/>
      <c r="D156" s="20"/>
    </row>
    <row r="157" spans="1:4" ht="20.25">
      <c r="A157" s="84"/>
      <c r="B157" s="15"/>
      <c r="C157" s="20"/>
      <c r="D157" s="20"/>
    </row>
    <row r="158" spans="1:4" ht="20.25">
      <c r="A158" s="84"/>
      <c r="B158" s="15"/>
      <c r="C158" s="20"/>
      <c r="D158" s="20"/>
    </row>
    <row r="159" spans="1:4" ht="20.25">
      <c r="A159" s="84"/>
      <c r="B159" s="15"/>
      <c r="C159" s="20"/>
      <c r="D159" s="20"/>
    </row>
    <row r="160" spans="1:4" ht="20.25">
      <c r="A160" s="84"/>
      <c r="B160" s="15"/>
      <c r="C160" s="20"/>
      <c r="D160" s="20"/>
    </row>
    <row r="161" spans="1:4" ht="20.25">
      <c r="A161" s="84"/>
      <c r="B161" s="15"/>
      <c r="C161" s="20"/>
      <c r="D161" s="20"/>
    </row>
    <row r="162" spans="1:4" ht="20.25">
      <c r="A162" s="84"/>
      <c r="B162" s="15"/>
      <c r="C162" s="20"/>
      <c r="D162" s="20"/>
    </row>
    <row r="163" spans="1:4" ht="20.25">
      <c r="A163" s="84"/>
      <c r="B163" s="15"/>
      <c r="C163" s="20"/>
      <c r="D163" s="20"/>
    </row>
    <row r="164" spans="1:4" ht="20.25">
      <c r="A164" s="84"/>
      <c r="B164" s="15"/>
      <c r="C164" s="20"/>
      <c r="D164" s="20"/>
    </row>
    <row r="165" spans="1:4" ht="20.25">
      <c r="A165" s="84"/>
      <c r="B165" s="15"/>
      <c r="C165" s="20"/>
      <c r="D165" s="20"/>
    </row>
    <row r="166" spans="1:4" ht="20.25">
      <c r="A166" s="84"/>
      <c r="B166" s="15"/>
      <c r="C166" s="20"/>
      <c r="D166" s="20"/>
    </row>
    <row r="167" spans="1:4" ht="20.25">
      <c r="A167" s="84"/>
      <c r="B167" s="15"/>
      <c r="C167" s="20"/>
      <c r="D167" s="20"/>
    </row>
    <row r="168" spans="1:4" ht="20.25">
      <c r="A168" s="84"/>
      <c r="B168" s="15"/>
      <c r="C168" s="20"/>
      <c r="D168" s="20"/>
    </row>
    <row r="169" spans="1:4" ht="20.25">
      <c r="A169" s="84"/>
      <c r="B169" s="15"/>
      <c r="C169" s="20"/>
      <c r="D169" s="20"/>
    </row>
    <row r="170" spans="1:4" ht="20.25">
      <c r="A170" s="84"/>
      <c r="B170" s="15"/>
      <c r="C170" s="20"/>
      <c r="D170" s="20"/>
    </row>
    <row r="171" spans="1:4" ht="20.25">
      <c r="A171" s="84"/>
      <c r="B171" s="15"/>
      <c r="C171" s="20"/>
      <c r="D171" s="20"/>
    </row>
    <row r="172" spans="1:4" ht="20.25">
      <c r="A172" s="84"/>
      <c r="B172" s="15"/>
      <c r="C172" s="20"/>
      <c r="D172" s="20"/>
    </row>
    <row r="173" spans="1:4" ht="20.25">
      <c r="A173" s="84"/>
      <c r="B173" s="15"/>
      <c r="C173" s="20"/>
      <c r="D173" s="20"/>
    </row>
    <row r="174" spans="1:4" ht="20.25">
      <c r="A174" s="84"/>
      <c r="B174" s="15"/>
      <c r="C174" s="20"/>
      <c r="D174" s="20"/>
    </row>
    <row r="175" spans="1:4" ht="20.25">
      <c r="A175" s="84"/>
      <c r="B175" s="15"/>
      <c r="C175" s="20"/>
      <c r="D175" s="20"/>
    </row>
    <row r="176" spans="1:4" ht="20.25">
      <c r="A176" s="84"/>
      <c r="B176" s="15"/>
      <c r="C176" s="20"/>
      <c r="D176" s="20"/>
    </row>
    <row r="177" spans="1:4" ht="20.25">
      <c r="A177" s="84"/>
      <c r="B177" s="15"/>
      <c r="C177" s="20"/>
      <c r="D177" s="20"/>
    </row>
    <row r="178" spans="1:4" ht="20.25">
      <c r="A178" s="84"/>
      <c r="B178" s="15"/>
      <c r="C178" s="20"/>
      <c r="D178" s="20"/>
    </row>
    <row r="179" spans="1:4" ht="20.25">
      <c r="A179" s="84"/>
      <c r="B179" s="15"/>
      <c r="C179" s="20"/>
      <c r="D179" s="20"/>
    </row>
    <row r="180" spans="1:4" ht="20.25">
      <c r="A180" s="84"/>
      <c r="B180" s="15"/>
      <c r="C180" s="20"/>
      <c r="D180" s="20"/>
    </row>
    <row r="181" spans="1:4" ht="20.25">
      <c r="A181" s="84"/>
      <c r="B181" s="15"/>
      <c r="C181" s="20"/>
      <c r="D181" s="20"/>
    </row>
    <row r="182" spans="1:4" ht="20.25">
      <c r="A182" s="84"/>
      <c r="B182" s="15"/>
      <c r="C182" s="20"/>
      <c r="D182" s="20"/>
    </row>
    <row r="183" spans="1:4" ht="20.25">
      <c r="A183" s="84"/>
      <c r="B183" s="15"/>
      <c r="C183" s="20"/>
      <c r="D183" s="20"/>
    </row>
    <row r="184" spans="1:4" ht="20.25">
      <c r="A184" s="84"/>
      <c r="B184" s="15"/>
      <c r="C184" s="20"/>
      <c r="D184" s="20"/>
    </row>
    <row r="185" spans="1:4" ht="20.25">
      <c r="A185" s="84"/>
      <c r="B185" s="15"/>
      <c r="C185" s="20"/>
      <c r="D185" s="20"/>
    </row>
    <row r="186" spans="1:4" ht="20.25">
      <c r="A186" s="84"/>
      <c r="B186" s="15"/>
      <c r="C186" s="20"/>
      <c r="D186" s="20"/>
    </row>
    <row r="187" spans="1:4" ht="20.25">
      <c r="A187" s="84"/>
      <c r="B187" s="15"/>
      <c r="C187" s="20"/>
      <c r="D187" s="20"/>
    </row>
    <row r="188" spans="1:4" ht="20.25">
      <c r="A188" s="84"/>
      <c r="B188" s="15"/>
      <c r="C188" s="20"/>
      <c r="D188" s="20"/>
    </row>
    <row r="189" spans="1:4" ht="20.25">
      <c r="A189" s="84"/>
      <c r="B189" s="15"/>
      <c r="C189" s="20"/>
      <c r="D189" s="20"/>
    </row>
    <row r="190" spans="1:4" ht="20.25">
      <c r="A190" s="84"/>
      <c r="B190" s="15"/>
      <c r="C190" s="20"/>
      <c r="D190" s="20"/>
    </row>
    <row r="191" spans="1:4" ht="20.25">
      <c r="A191" s="84"/>
      <c r="B191" s="15"/>
      <c r="C191" s="20"/>
      <c r="D191" s="20"/>
    </row>
    <row r="192" spans="1:4" ht="20.25">
      <c r="A192" s="84"/>
      <c r="B192" s="15"/>
      <c r="C192" s="20"/>
      <c r="D192" s="20"/>
    </row>
    <row r="193" spans="1:4" ht="20.25">
      <c r="A193" s="84"/>
      <c r="B193" s="15"/>
      <c r="C193" s="20"/>
      <c r="D193" s="20"/>
    </row>
    <row r="194" spans="1:4" ht="20.25">
      <c r="A194" s="84"/>
      <c r="B194" s="15"/>
      <c r="C194" s="20"/>
      <c r="D194" s="20"/>
    </row>
    <row r="195" spans="1:4" ht="20.25">
      <c r="A195" s="84"/>
      <c r="B195" s="15"/>
      <c r="C195" s="20"/>
      <c r="D195" s="20"/>
    </row>
    <row r="196" spans="1:4" ht="20.25">
      <c r="A196" s="84"/>
      <c r="B196" s="15"/>
      <c r="C196" s="20"/>
      <c r="D196" s="20"/>
    </row>
    <row r="197" spans="1:4" ht="20.25">
      <c r="A197" s="84"/>
      <c r="B197" s="15"/>
      <c r="C197" s="20"/>
      <c r="D197" s="20"/>
    </row>
    <row r="198" spans="1:4" ht="20.25">
      <c r="A198" s="84"/>
      <c r="B198" s="15"/>
      <c r="C198" s="20"/>
      <c r="D198" s="20"/>
    </row>
    <row r="199" spans="1:4" ht="20.25">
      <c r="A199" s="84"/>
      <c r="B199" s="15"/>
      <c r="C199" s="20"/>
      <c r="D199" s="20"/>
    </row>
    <row r="200" spans="1:4" ht="20.25">
      <c r="A200" s="84"/>
      <c r="B200" s="15"/>
      <c r="C200" s="20"/>
      <c r="D200" s="20"/>
    </row>
    <row r="201" spans="1:4" ht="20.25">
      <c r="A201" s="84"/>
      <c r="B201" s="15"/>
      <c r="C201" s="20"/>
      <c r="D201" s="20"/>
    </row>
    <row r="202" spans="1:4" ht="20.25">
      <c r="A202" s="84"/>
      <c r="B202" s="15"/>
      <c r="C202" s="20"/>
      <c r="D202" s="20"/>
    </row>
    <row r="203" spans="1:4" ht="20.25">
      <c r="A203" s="84"/>
      <c r="B203" s="15"/>
      <c r="C203" s="20"/>
      <c r="D203" s="20"/>
    </row>
    <row r="204" spans="1:4" ht="20.25">
      <c r="A204" s="84"/>
      <c r="B204" s="15"/>
      <c r="C204" s="20"/>
      <c r="D204" s="20"/>
    </row>
    <row r="205" spans="1:4" ht="20.25">
      <c r="A205" s="84"/>
      <c r="B205" s="15"/>
      <c r="C205" s="20"/>
      <c r="D205" s="20"/>
    </row>
    <row r="206" spans="1:4" ht="20.25">
      <c r="A206" s="84"/>
      <c r="B206" s="15"/>
      <c r="C206" s="20"/>
      <c r="D206" s="20"/>
    </row>
    <row r="207" spans="1:4" ht="20.25">
      <c r="A207" s="84"/>
      <c r="B207" s="15"/>
      <c r="C207" s="20"/>
      <c r="D207" s="20"/>
    </row>
    <row r="208" spans="1:4">
      <c r="A208" s="68"/>
      <c r="B208" s="15"/>
      <c r="C208" s="15"/>
      <c r="D208" s="15"/>
    </row>
    <row r="209" spans="1:8" ht="20.25">
      <c r="A209" s="68"/>
      <c r="B209" s="16" t="s">
        <v>428</v>
      </c>
      <c r="C209" s="16" t="s">
        <v>429</v>
      </c>
      <c r="D209" s="19" t="s">
        <v>428</v>
      </c>
      <c r="E209" s="19" t="s">
        <v>429</v>
      </c>
    </row>
    <row r="210" spans="1:8" ht="21">
      <c r="A210" s="68"/>
      <c r="B210" s="17" t="s">
        <v>430</v>
      </c>
      <c r="C210" s="17" t="s">
        <v>431</v>
      </c>
      <c r="D210" t="s">
        <v>430</v>
      </c>
      <c r="F210" t="str">
        <f>IF(NOT(ISBLANK(D210)),D210,IF(NOT(ISBLANK(E210)),"     "&amp;E210,FALSE))</f>
        <v>Afectación Económica o presupuestal</v>
      </c>
      <c r="G210" t="s">
        <v>430</v>
      </c>
      <c r="H210" t="str">
        <f>IF(NOT(ISERROR(MATCH(G210,_xlfn.ANCHORARRAY(B221),0))),F223&amp;"Por favor no seleccionar los criterios de impacto",G210)</f>
        <v>❌Por favor no seleccionar los criterios de impacto</v>
      </c>
    </row>
    <row r="211" spans="1:8" ht="21">
      <c r="A211" s="68"/>
      <c r="B211" s="17" t="s">
        <v>430</v>
      </c>
      <c r="C211" s="17" t="s">
        <v>415</v>
      </c>
      <c r="E211" t="s">
        <v>431</v>
      </c>
      <c r="F211" t="str">
        <f t="shared" ref="F211:F221" si="0">IF(NOT(ISBLANK(D211)),D211,IF(NOT(ISBLANK(E211)),"     "&amp;E211,FALSE))</f>
        <v xml:space="preserve">     Afectación menor a 10 SMLMV .</v>
      </c>
    </row>
    <row r="212" spans="1:8" ht="21">
      <c r="A212" s="68"/>
      <c r="B212" s="17" t="s">
        <v>430</v>
      </c>
      <c r="C212" s="17" t="s">
        <v>418</v>
      </c>
      <c r="E212" t="s">
        <v>415</v>
      </c>
      <c r="F212" t="str">
        <f t="shared" si="0"/>
        <v xml:space="preserve">     Entre 10 y 50 SMLMV </v>
      </c>
    </row>
    <row r="213" spans="1:8" ht="21">
      <c r="A213" s="68"/>
      <c r="B213" s="17" t="s">
        <v>430</v>
      </c>
      <c r="C213" s="17" t="s">
        <v>421</v>
      </c>
      <c r="E213" t="s">
        <v>418</v>
      </c>
      <c r="F213" t="str">
        <f t="shared" si="0"/>
        <v xml:space="preserve">     Entre 50 y 100 SMLMV </v>
      </c>
    </row>
    <row r="214" spans="1:8" ht="21">
      <c r="A214" s="68"/>
      <c r="B214" s="17" t="s">
        <v>430</v>
      </c>
      <c r="C214" s="17" t="s">
        <v>424</v>
      </c>
      <c r="E214" t="s">
        <v>421</v>
      </c>
      <c r="F214" t="str">
        <f t="shared" si="0"/>
        <v xml:space="preserve">     Entre 100 y 500 SMLMV </v>
      </c>
    </row>
    <row r="215" spans="1:8" ht="21">
      <c r="A215" s="68"/>
      <c r="B215" s="17" t="s">
        <v>409</v>
      </c>
      <c r="C215" s="17" t="s">
        <v>413</v>
      </c>
      <c r="E215" t="s">
        <v>424</v>
      </c>
      <c r="F215" t="str">
        <f t="shared" si="0"/>
        <v xml:space="preserve">     Mayor a 500 SMLMV </v>
      </c>
    </row>
    <row r="216" spans="1:8" ht="21">
      <c r="A216" s="68"/>
      <c r="B216" s="17" t="s">
        <v>409</v>
      </c>
      <c r="C216" s="17" t="s">
        <v>416</v>
      </c>
      <c r="D216" t="s">
        <v>409</v>
      </c>
      <c r="F216" t="str">
        <f t="shared" si="0"/>
        <v>Pérdida Reputacional</v>
      </c>
    </row>
    <row r="217" spans="1:8" ht="21">
      <c r="A217" s="68"/>
      <c r="B217" s="17" t="s">
        <v>409</v>
      </c>
      <c r="C217" s="17" t="s">
        <v>419</v>
      </c>
      <c r="E217" t="s">
        <v>413</v>
      </c>
      <c r="F217" t="str">
        <f t="shared" si="0"/>
        <v xml:space="preserve">     El riesgo afecta la imagen de alguna área de la organización</v>
      </c>
    </row>
    <row r="218" spans="1:8" ht="21">
      <c r="A218" s="68"/>
      <c r="B218" s="17" t="s">
        <v>409</v>
      </c>
      <c r="C218" s="17" t="s">
        <v>432</v>
      </c>
      <c r="E218" t="s">
        <v>416</v>
      </c>
      <c r="F218" t="str">
        <f t="shared" si="0"/>
        <v xml:space="preserve">     El riesgo afecta la imagen de la entidad internamente, de conocimiento general, nivel interno, de junta dircetiva y accionistas y/o de provedores</v>
      </c>
    </row>
    <row r="219" spans="1:8" ht="21">
      <c r="A219" s="68"/>
      <c r="B219" s="17" t="s">
        <v>409</v>
      </c>
      <c r="C219" s="17" t="s">
        <v>425</v>
      </c>
      <c r="E219" t="s">
        <v>419</v>
      </c>
      <c r="F219" t="str">
        <f t="shared" si="0"/>
        <v xml:space="preserve">     El riesgo afecta la imagen de la entidad con algunos usuarios de relevancia frente al logro de los objetivos</v>
      </c>
    </row>
    <row r="220" spans="1:8">
      <c r="A220" s="68"/>
      <c r="B220" s="18"/>
      <c r="C220" s="18"/>
      <c r="E220" t="s">
        <v>432</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425</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433</v>
      </c>
    </row>
    <row r="224" spans="1:8">
      <c r="B224" s="14"/>
      <c r="C224" s="14"/>
      <c r="F224" s="21" t="s">
        <v>434</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10" workbookViewId="0">
      <selection activeCell="I11" sqref="I11"/>
    </sheetView>
  </sheetViews>
  <sheetFormatPr defaultColWidth="14.28515625" defaultRowHeight="12.75"/>
  <cols>
    <col min="1" max="2" width="14.28515625" style="73"/>
    <col min="3" max="3" width="17" style="73" customWidth="1"/>
    <col min="4" max="4" width="14.28515625" style="73"/>
    <col min="5" max="5" width="46" style="73" customWidth="1"/>
    <col min="6" max="16384" width="14.28515625" style="73"/>
  </cols>
  <sheetData>
    <row r="1" spans="2:6" ht="24" customHeight="1" thickBot="1">
      <c r="B1" s="614" t="s">
        <v>435</v>
      </c>
      <c r="C1" s="615"/>
      <c r="D1" s="615"/>
      <c r="E1" s="615"/>
      <c r="F1" s="616"/>
    </row>
    <row r="2" spans="2:6" ht="16.5" thickBot="1">
      <c r="B2" s="74"/>
      <c r="C2" s="74"/>
      <c r="D2" s="74"/>
      <c r="E2" s="74"/>
      <c r="F2" s="74"/>
    </row>
    <row r="3" spans="2:6" ht="16.5" thickBot="1">
      <c r="B3" s="618" t="s">
        <v>436</v>
      </c>
      <c r="C3" s="619"/>
      <c r="D3" s="619"/>
      <c r="E3" s="169" t="s">
        <v>437</v>
      </c>
      <c r="F3" s="83" t="s">
        <v>438</v>
      </c>
    </row>
    <row r="4" spans="2:6" ht="31.5">
      <c r="B4" s="620" t="s">
        <v>439</v>
      </c>
      <c r="C4" s="622" t="s">
        <v>102</v>
      </c>
      <c r="D4" s="170" t="s">
        <v>140</v>
      </c>
      <c r="E4" s="75" t="s">
        <v>440</v>
      </c>
      <c r="F4" s="76">
        <v>0.25</v>
      </c>
    </row>
    <row r="5" spans="2:6" ht="47.25">
      <c r="B5" s="621"/>
      <c r="C5" s="623"/>
      <c r="D5" s="171" t="s">
        <v>119</v>
      </c>
      <c r="E5" s="77" t="s">
        <v>441</v>
      </c>
      <c r="F5" s="78">
        <v>0.15</v>
      </c>
    </row>
    <row r="6" spans="2:6" ht="47.25">
      <c r="B6" s="621"/>
      <c r="C6" s="623"/>
      <c r="D6" s="171" t="s">
        <v>223</v>
      </c>
      <c r="E6" s="77" t="s">
        <v>442</v>
      </c>
      <c r="F6" s="78">
        <v>0.1</v>
      </c>
    </row>
    <row r="7" spans="2:6" ht="63">
      <c r="B7" s="621"/>
      <c r="C7" s="623" t="s">
        <v>103</v>
      </c>
      <c r="D7" s="171" t="s">
        <v>120</v>
      </c>
      <c r="E7" s="77" t="s">
        <v>443</v>
      </c>
      <c r="F7" s="78">
        <v>0.25</v>
      </c>
    </row>
    <row r="8" spans="2:6" ht="31.5">
      <c r="B8" s="621"/>
      <c r="C8" s="623"/>
      <c r="D8" s="171" t="s">
        <v>141</v>
      </c>
      <c r="E8" s="77" t="s">
        <v>444</v>
      </c>
      <c r="F8" s="78">
        <v>0.15</v>
      </c>
    </row>
    <row r="9" spans="2:6" ht="47.25">
      <c r="B9" s="621" t="s">
        <v>445</v>
      </c>
      <c r="C9" s="623" t="s">
        <v>55</v>
      </c>
      <c r="D9" s="171" t="s">
        <v>121</v>
      </c>
      <c r="E9" s="77" t="s">
        <v>446</v>
      </c>
      <c r="F9" s="79" t="s">
        <v>447</v>
      </c>
    </row>
    <row r="10" spans="2:6" ht="63">
      <c r="B10" s="621"/>
      <c r="C10" s="623"/>
      <c r="D10" s="171" t="s">
        <v>211</v>
      </c>
      <c r="E10" s="77" t="s">
        <v>448</v>
      </c>
      <c r="F10" s="79" t="s">
        <v>447</v>
      </c>
    </row>
    <row r="11" spans="2:6" ht="47.25">
      <c r="B11" s="621"/>
      <c r="C11" s="623" t="s">
        <v>105</v>
      </c>
      <c r="D11" s="171" t="s">
        <v>122</v>
      </c>
      <c r="E11" s="77" t="s">
        <v>449</v>
      </c>
      <c r="F11" s="79" t="s">
        <v>447</v>
      </c>
    </row>
    <row r="12" spans="2:6" ht="47.25">
      <c r="B12" s="621"/>
      <c r="C12" s="623"/>
      <c r="D12" s="171" t="s">
        <v>212</v>
      </c>
      <c r="E12" s="77" t="s">
        <v>450</v>
      </c>
      <c r="F12" s="79" t="s">
        <v>447</v>
      </c>
    </row>
    <row r="13" spans="2:6" ht="31.5">
      <c r="B13" s="621"/>
      <c r="C13" s="623" t="s">
        <v>106</v>
      </c>
      <c r="D13" s="171" t="s">
        <v>123</v>
      </c>
      <c r="E13" s="77" t="s">
        <v>451</v>
      </c>
      <c r="F13" s="79" t="s">
        <v>447</v>
      </c>
    </row>
    <row r="14" spans="2:6" ht="32.25" thickBot="1">
      <c r="B14" s="624"/>
      <c r="C14" s="625"/>
      <c r="D14" s="172" t="s">
        <v>452</v>
      </c>
      <c r="E14" s="80" t="s">
        <v>453</v>
      </c>
      <c r="F14" s="81" t="s">
        <v>447</v>
      </c>
    </row>
    <row r="15" spans="2:6" ht="49.5" customHeight="1">
      <c r="B15" s="617" t="s">
        <v>454</v>
      </c>
      <c r="C15" s="617"/>
      <c r="D15" s="617"/>
      <c r="E15" s="617"/>
      <c r="F15" s="617"/>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workbookViewId="0">
      <selection activeCell="E27" sqref="E27"/>
    </sheetView>
  </sheetViews>
  <sheetFormatPr defaultColWidth="11.42578125" defaultRowHeight="15"/>
  <cols>
    <col min="1" max="1" width="17.42578125" customWidth="1"/>
    <col min="2" max="2" width="9.7109375" customWidth="1"/>
    <col min="4" max="4" width="72.28515625" customWidth="1"/>
    <col min="5" max="6" width="11" customWidth="1"/>
    <col min="7" max="7" width="11.42578125" style="132"/>
    <col min="8" max="8" width="11.42578125" style="15"/>
  </cols>
  <sheetData>
    <row r="1" spans="1:8" ht="15.75" thickBot="1"/>
    <row r="2" spans="1:8" ht="19.5" customHeight="1">
      <c r="B2" s="318" t="s">
        <v>0</v>
      </c>
      <c r="C2" s="319"/>
      <c r="D2" s="335" t="s">
        <v>7</v>
      </c>
      <c r="E2" s="351" t="s">
        <v>8</v>
      </c>
      <c r="F2" s="325"/>
    </row>
    <row r="3" spans="1:8" ht="19.5" customHeight="1">
      <c r="B3" s="320"/>
      <c r="C3" s="321"/>
      <c r="D3" s="336"/>
      <c r="E3" s="352" t="s">
        <v>3</v>
      </c>
      <c r="F3" s="327"/>
    </row>
    <row r="4" spans="1:8" ht="19.5" customHeight="1">
      <c r="B4" s="320"/>
      <c r="C4" s="321"/>
      <c r="D4" s="336"/>
      <c r="E4" s="352" t="s">
        <v>4</v>
      </c>
      <c r="F4" s="327"/>
    </row>
    <row r="5" spans="1:8" ht="19.5" customHeight="1" thickBot="1">
      <c r="A5" t="s">
        <v>9</v>
      </c>
      <c r="B5" s="322"/>
      <c r="C5" s="323"/>
      <c r="D5" s="337"/>
      <c r="E5" s="353" t="s">
        <v>5</v>
      </c>
      <c r="F5" s="329"/>
    </row>
    <row r="6" spans="1:8" ht="15.75" thickBot="1"/>
    <row r="7" spans="1:8">
      <c r="B7" s="338" t="s">
        <v>10</v>
      </c>
      <c r="C7" s="341" t="s">
        <v>11</v>
      </c>
      <c r="D7" s="342"/>
      <c r="E7" s="347" t="s">
        <v>12</v>
      </c>
      <c r="F7" s="348"/>
    </row>
    <row r="8" spans="1:8" ht="15.75" thickBot="1">
      <c r="B8" s="339"/>
      <c r="C8" s="343"/>
      <c r="D8" s="344"/>
      <c r="E8" s="349"/>
      <c r="F8" s="350"/>
      <c r="H8" s="142"/>
    </row>
    <row r="9" spans="1:8" ht="15.75" thickBot="1">
      <c r="B9" s="340"/>
      <c r="C9" s="345" t="s">
        <v>13</v>
      </c>
      <c r="D9" s="346"/>
      <c r="E9" s="139" t="s">
        <v>14</v>
      </c>
      <c r="F9" s="139" t="s">
        <v>15</v>
      </c>
      <c r="H9" s="142"/>
    </row>
    <row r="10" spans="1:8" ht="15.75" thickBot="1">
      <c r="B10" s="138">
        <v>1</v>
      </c>
      <c r="C10" s="333" t="s">
        <v>16</v>
      </c>
      <c r="D10" s="334"/>
      <c r="E10" s="134" t="s">
        <v>17</v>
      </c>
      <c r="F10" s="135"/>
      <c r="H10" s="142"/>
    </row>
    <row r="11" spans="1:8" ht="15.75" thickBot="1">
      <c r="B11" s="138">
        <v>2</v>
      </c>
      <c r="C11" s="333" t="s">
        <v>18</v>
      </c>
      <c r="D11" s="334" t="s">
        <v>18</v>
      </c>
      <c r="E11" s="134" t="s">
        <v>17</v>
      </c>
      <c r="F11" s="135"/>
      <c r="H11" s="143"/>
    </row>
    <row r="12" spans="1:8" ht="15.75" thickBot="1">
      <c r="B12" s="138">
        <v>3</v>
      </c>
      <c r="C12" s="333" t="s">
        <v>19</v>
      </c>
      <c r="D12" s="334" t="s">
        <v>19</v>
      </c>
      <c r="E12" s="134"/>
      <c r="F12" s="135" t="s">
        <v>17</v>
      </c>
    </row>
    <row r="13" spans="1:8" ht="15.75" thickBot="1">
      <c r="B13" s="138">
        <v>4</v>
      </c>
      <c r="C13" s="333" t="s">
        <v>20</v>
      </c>
      <c r="D13" s="334" t="s">
        <v>21</v>
      </c>
      <c r="E13" s="134"/>
      <c r="F13" s="135"/>
    </row>
    <row r="14" spans="1:8" ht="15.75" thickBot="1">
      <c r="B14" s="138">
        <v>5</v>
      </c>
      <c r="C14" s="333" t="s">
        <v>22</v>
      </c>
      <c r="D14" s="334" t="s">
        <v>22</v>
      </c>
      <c r="E14" s="134" t="s">
        <v>17</v>
      </c>
      <c r="F14" s="135"/>
    </row>
    <row r="15" spans="1:8" ht="15.75" thickBot="1">
      <c r="B15" s="138">
        <v>6</v>
      </c>
      <c r="C15" s="333" t="s">
        <v>23</v>
      </c>
      <c r="D15" s="334" t="s">
        <v>23</v>
      </c>
      <c r="E15" s="134"/>
      <c r="F15" s="135"/>
    </row>
    <row r="16" spans="1:8" ht="15.75" thickBot="1">
      <c r="B16" s="138">
        <v>7</v>
      </c>
      <c r="C16" s="333" t="s">
        <v>24</v>
      </c>
      <c r="D16" s="334" t="s">
        <v>24</v>
      </c>
      <c r="E16" s="134" t="s">
        <v>17</v>
      </c>
      <c r="F16" s="135"/>
    </row>
    <row r="17" spans="1:7" ht="28.5" customHeight="1" thickBot="1">
      <c r="B17" s="138">
        <v>8</v>
      </c>
      <c r="C17" s="333" t="s">
        <v>25</v>
      </c>
      <c r="D17" s="334" t="s">
        <v>25</v>
      </c>
      <c r="E17" s="134"/>
      <c r="F17" s="135"/>
    </row>
    <row r="18" spans="1:7" ht="18.75" customHeight="1" thickBot="1">
      <c r="B18" s="138">
        <v>9</v>
      </c>
      <c r="C18" s="333" t="s">
        <v>26</v>
      </c>
      <c r="D18" s="334" t="s">
        <v>26</v>
      </c>
      <c r="E18" s="134"/>
      <c r="F18" s="135"/>
    </row>
    <row r="19" spans="1:7" ht="15.75" thickBot="1">
      <c r="B19" s="138">
        <v>10</v>
      </c>
      <c r="C19" s="333" t="s">
        <v>27</v>
      </c>
      <c r="D19" s="334" t="s">
        <v>27</v>
      </c>
      <c r="E19" s="134"/>
      <c r="F19" s="135"/>
    </row>
    <row r="20" spans="1:7" ht="15.75" thickBot="1">
      <c r="B20" s="138">
        <v>11</v>
      </c>
      <c r="C20" s="333" t="s">
        <v>28</v>
      </c>
      <c r="D20" s="334" t="s">
        <v>28</v>
      </c>
      <c r="E20" s="134"/>
      <c r="F20" s="135"/>
    </row>
    <row r="21" spans="1:7" ht="15.75" thickBot="1">
      <c r="B21" s="138">
        <v>12</v>
      </c>
      <c r="C21" s="333" t="s">
        <v>29</v>
      </c>
      <c r="D21" s="334" t="s">
        <v>29</v>
      </c>
      <c r="E21" s="134"/>
      <c r="F21" s="135"/>
    </row>
    <row r="22" spans="1:7" ht="15.75" thickBot="1">
      <c r="B22" s="138">
        <v>13</v>
      </c>
      <c r="C22" s="333" t="s">
        <v>30</v>
      </c>
      <c r="D22" s="334" t="s">
        <v>30</v>
      </c>
      <c r="E22" s="134"/>
      <c r="F22" s="135"/>
    </row>
    <row r="23" spans="1:7" ht="15.75" thickBot="1">
      <c r="B23" s="138">
        <v>14</v>
      </c>
      <c r="C23" s="333" t="s">
        <v>31</v>
      </c>
      <c r="D23" s="334" t="s">
        <v>31</v>
      </c>
      <c r="E23" s="134"/>
      <c r="F23" s="135"/>
    </row>
    <row r="24" spans="1:7" ht="15.75" thickBot="1">
      <c r="B24" s="138">
        <v>15</v>
      </c>
      <c r="C24" s="333" t="s">
        <v>32</v>
      </c>
      <c r="D24" s="334" t="s">
        <v>32</v>
      </c>
      <c r="E24" s="134" t="s">
        <v>17</v>
      </c>
      <c r="F24" s="135"/>
    </row>
    <row r="25" spans="1:7" ht="15.75" thickBot="1">
      <c r="B25" s="138">
        <v>16</v>
      </c>
      <c r="C25" s="333" t="s">
        <v>33</v>
      </c>
      <c r="D25" s="334" t="s">
        <v>33</v>
      </c>
      <c r="E25" s="134"/>
      <c r="F25" s="135"/>
    </row>
    <row r="26" spans="1:7" ht="15.75" thickBot="1">
      <c r="B26" s="138">
        <v>17</v>
      </c>
      <c r="C26" s="333" t="s">
        <v>34</v>
      </c>
      <c r="D26" s="334" t="s">
        <v>34</v>
      </c>
      <c r="E26" s="134"/>
      <c r="F26" s="135"/>
    </row>
    <row r="27" spans="1:7" ht="15.75" thickBot="1">
      <c r="B27" s="138">
        <v>18</v>
      </c>
      <c r="C27" s="333" t="s">
        <v>35</v>
      </c>
      <c r="D27" s="334" t="s">
        <v>35</v>
      </c>
      <c r="E27" s="134"/>
      <c r="F27" s="135"/>
    </row>
    <row r="28" spans="1:7" ht="15.75" thickBot="1">
      <c r="B28" s="138">
        <v>19</v>
      </c>
      <c r="C28" s="333" t="s">
        <v>36</v>
      </c>
      <c r="D28" s="334" t="s">
        <v>36</v>
      </c>
      <c r="E28" s="134"/>
      <c r="F28" s="135"/>
    </row>
    <row r="29" spans="1:7">
      <c r="C29" s="133"/>
      <c r="D29" s="133"/>
      <c r="E29" s="141">
        <f>COUNTIF(E10:E28,"x")</f>
        <v>5</v>
      </c>
      <c r="F29" s="141">
        <f>COUNTIF(F10:F28,"x")</f>
        <v>1</v>
      </c>
      <c r="G29" s="140" t="str">
        <f>IF(E29=0,"",IF(E29&lt;=5,"Moderado",IF(E29&lt;=11,"Mayor",IF(E29&lt;=19,"Catastrófico",""))))</f>
        <v>Moderado</v>
      </c>
    </row>
    <row r="30" spans="1:7">
      <c r="C30" s="131"/>
      <c r="D30" s="131"/>
      <c r="E30" s="131"/>
      <c r="F30" s="131"/>
    </row>
    <row r="31" spans="1:7" ht="66" customHeight="1">
      <c r="A31" s="330" t="s">
        <v>37</v>
      </c>
      <c r="B31" s="331"/>
      <c r="C31" s="331"/>
      <c r="D31" s="331"/>
      <c r="E31" s="331"/>
      <c r="F31" s="332"/>
    </row>
  </sheetData>
  <mergeCells count="30">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s>
  <conditionalFormatting sqref="G29">
    <cfRule type="cellIs" dxfId="25" priority="1" stopIfTrue="1" operator="equal">
      <formula>"Catastrófico"</formula>
    </cfRule>
    <cfRule type="cellIs" dxfId="24" priority="2" stopIfTrue="1" operator="equal">
      <formula>"Moderado"</formula>
    </cfRule>
    <cfRule type="cellIs" dxfId="23"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defaultColWidth="8.710937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defaultColWidth="8.7109375"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defaultColWidth="11.42578125" defaultRowHeight="15"/>
  <sheetData>
    <row r="2" spans="2:5">
      <c r="B2" t="s">
        <v>204</v>
      </c>
      <c r="E2" t="s">
        <v>198</v>
      </c>
    </row>
    <row r="3" spans="2:5">
      <c r="B3" t="s">
        <v>214</v>
      </c>
      <c r="E3" t="s">
        <v>108</v>
      </c>
    </row>
    <row r="4" spans="2:5">
      <c r="B4" t="s">
        <v>232</v>
      </c>
      <c r="E4" t="s">
        <v>218</v>
      </c>
    </row>
    <row r="5" spans="2:5">
      <c r="B5" t="s">
        <v>125</v>
      </c>
    </row>
    <row r="8" spans="2:5">
      <c r="B8" t="s">
        <v>196</v>
      </c>
    </row>
    <row r="9" spans="2:5">
      <c r="B9" t="s">
        <v>205</v>
      </c>
    </row>
    <row r="10" spans="2:5">
      <c r="B10" t="s">
        <v>215</v>
      </c>
    </row>
    <row r="13" spans="2:5">
      <c r="B13" t="s">
        <v>201</v>
      </c>
    </row>
    <row r="14" spans="2:5">
      <c r="B14" t="s">
        <v>209</v>
      </c>
    </row>
    <row r="15" spans="2:5">
      <c r="B15" t="s">
        <v>221</v>
      </c>
    </row>
    <row r="16" spans="2:5">
      <c r="B16" t="s">
        <v>227</v>
      </c>
    </row>
    <row r="17" spans="2:2">
      <c r="B17" t="s">
        <v>230</v>
      </c>
    </row>
    <row r="18" spans="2:2">
      <c r="B18" t="s">
        <v>234</v>
      </c>
    </row>
    <row r="19" spans="2:2">
      <c r="B19" t="s">
        <v>113</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defaultColWidth="11.42578125" defaultRowHeight="12.75"/>
  <cols>
    <col min="1" max="1" width="32.7109375" style="1" customWidth="1"/>
    <col min="2" max="16384" width="11.42578125" style="1"/>
  </cols>
  <sheetData>
    <row r="3" spans="1:1">
      <c r="A3" s="2" t="s">
        <v>140</v>
      </c>
    </row>
    <row r="4" spans="1:1">
      <c r="A4" s="2" t="s">
        <v>119</v>
      </c>
    </row>
    <row r="5" spans="1:1">
      <c r="A5" s="2" t="s">
        <v>223</v>
      </c>
    </row>
    <row r="6" spans="1:1">
      <c r="A6" s="2" t="s">
        <v>120</v>
      </c>
    </row>
    <row r="7" spans="1:1">
      <c r="A7" s="2" t="s">
        <v>141</v>
      </c>
    </row>
    <row r="8" spans="1:1">
      <c r="A8" s="2" t="s">
        <v>121</v>
      </c>
    </row>
    <row r="9" spans="1:1">
      <c r="A9" s="2" t="s">
        <v>211</v>
      </c>
    </row>
    <row r="10" spans="1:1">
      <c r="A10" s="2" t="s">
        <v>122</v>
      </c>
    </row>
    <row r="11" spans="1:1">
      <c r="A11" s="2" t="s">
        <v>212</v>
      </c>
    </row>
    <row r="12" spans="1:1">
      <c r="A12" s="2" t="s">
        <v>203</v>
      </c>
    </row>
    <row r="13" spans="1:1">
      <c r="A13" s="2" t="s">
        <v>213</v>
      </c>
    </row>
    <row r="14" spans="1:1">
      <c r="A14" s="2" t="s">
        <v>224</v>
      </c>
    </row>
    <row r="16" spans="1:1">
      <c r="A16" s="2" t="s">
        <v>225</v>
      </c>
    </row>
    <row r="17" spans="1:1">
      <c r="A17" s="2" t="s">
        <v>204</v>
      </c>
    </row>
    <row r="18" spans="1:1">
      <c r="A18" s="2" t="s">
        <v>214</v>
      </c>
    </row>
    <row r="20" spans="1:1">
      <c r="A20" s="2" t="s">
        <v>205</v>
      </c>
    </row>
    <row r="21" spans="1:1">
      <c r="A21" s="2" t="s">
        <v>215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37"/>
  <sheetViews>
    <sheetView tabSelected="1" topLeftCell="B1" zoomScaleNormal="100" workbookViewId="0">
      <selection activeCell="AT19" sqref="AT19"/>
    </sheetView>
  </sheetViews>
  <sheetFormatPr defaultColWidth="11.42578125" defaultRowHeight="12.75"/>
  <cols>
    <col min="1" max="1" width="0" style="181" hidden="1" customWidth="1"/>
    <col min="2" max="2" width="4.5703125" style="181" customWidth="1"/>
    <col min="3" max="3" width="6.28515625" style="181" customWidth="1"/>
    <col min="4" max="4" width="4.7109375" style="178" customWidth="1"/>
    <col min="5" max="5" width="21" style="178" customWidth="1"/>
    <col min="6" max="7" width="20.7109375" style="178" customWidth="1"/>
    <col min="8" max="8" width="18.28515625" style="178" customWidth="1"/>
    <col min="9" max="9" width="31" style="178" customWidth="1"/>
    <col min="10" max="10" width="29" style="178" customWidth="1"/>
    <col min="11" max="11" width="58.28515625" style="181" customWidth="1"/>
    <col min="12" max="12" width="25.5703125" style="182" customWidth="1"/>
    <col min="13" max="13" width="31.85546875" style="182" customWidth="1"/>
    <col min="14" max="14" width="23.85546875" style="182" customWidth="1"/>
    <col min="15" max="15" width="13.5703125" style="181" customWidth="1"/>
    <col min="16" max="16" width="16.42578125" style="181" customWidth="1"/>
    <col min="17" max="17" width="8.85546875" style="181" customWidth="1"/>
    <col min="18" max="18" width="21.28515625" style="181" customWidth="1"/>
    <col min="19" max="19" width="17.42578125" style="181" customWidth="1"/>
    <col min="20" max="20" width="10.5703125" style="181" customWidth="1"/>
    <col min="21" max="21" width="16" style="181" customWidth="1"/>
    <col min="22" max="22" width="5.7109375" style="181" customWidth="1"/>
    <col min="23" max="23" width="63.42578125" style="181" customWidth="1"/>
    <col min="24" max="24" width="57.28515625" style="181" customWidth="1"/>
    <col min="25" max="25" width="15.28515625" style="181" customWidth="1"/>
    <col min="26" max="26" width="6.7109375" style="181" customWidth="1"/>
    <col min="27" max="27" width="5" style="181" customWidth="1"/>
    <col min="28" max="28" width="5.42578125" style="181" customWidth="1"/>
    <col min="29" max="29" width="7.28515625" style="181" customWidth="1"/>
    <col min="30" max="30" width="6.7109375" style="181" customWidth="1"/>
    <col min="31" max="31" width="8.28515625" style="181" customWidth="1"/>
    <col min="32" max="32" width="16.5703125" style="181" customWidth="1"/>
    <col min="33" max="33" width="13.7109375" style="181" customWidth="1"/>
    <col min="34" max="38" width="16.140625" style="181" customWidth="1"/>
    <col min="39" max="40" width="7.28515625" style="181" customWidth="1"/>
    <col min="41" max="41" width="46.5703125" style="181" customWidth="1"/>
    <col min="42" max="42" width="24.28515625" style="181" customWidth="1"/>
    <col min="43" max="43" width="23.140625" style="181" customWidth="1"/>
    <col min="44" max="46" width="19.7109375" style="181" customWidth="1"/>
    <col min="47" max="47" width="35.5703125" style="181" customWidth="1"/>
    <col min="48" max="50" width="34.7109375" style="181" customWidth="1"/>
    <col min="51" max="51" width="29" style="181" customWidth="1"/>
    <col min="52" max="52" width="23.28515625" style="181" customWidth="1"/>
    <col min="53" max="53" width="68.42578125" style="181" customWidth="1"/>
    <col min="54" max="54" width="31.42578125" style="181" customWidth="1"/>
    <col min="55" max="55" width="30.5703125" style="181" customWidth="1"/>
    <col min="56" max="56" width="53" style="181" customWidth="1"/>
    <col min="57" max="59" width="0" style="181" hidden="1" customWidth="1"/>
    <col min="60" max="61" width="11.42578125" style="181" hidden="1" customWidth="1"/>
    <col min="62" max="63" width="0" style="181" hidden="1" customWidth="1"/>
    <col min="64" max="16384" width="11.42578125" style="181"/>
  </cols>
  <sheetData>
    <row r="1" spans="1:82" ht="13.5" thickBot="1"/>
    <row r="2" spans="1:82" ht="27.75" customHeight="1">
      <c r="D2" s="269" t="s">
        <v>38</v>
      </c>
      <c r="E2" s="270"/>
      <c r="F2" s="270"/>
      <c r="G2" s="270"/>
      <c r="H2" s="271"/>
      <c r="I2" s="278" t="s">
        <v>39</v>
      </c>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173" t="s">
        <v>8</v>
      </c>
    </row>
    <row r="3" spans="1:82" ht="27.75" customHeight="1">
      <c r="D3" s="272"/>
      <c r="E3" s="273"/>
      <c r="F3" s="273"/>
      <c r="G3" s="273"/>
      <c r="H3" s="274"/>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177" t="s">
        <v>40</v>
      </c>
    </row>
    <row r="4" spans="1:82" ht="27.75" customHeight="1">
      <c r="D4" s="272"/>
      <c r="E4" s="273"/>
      <c r="F4" s="273"/>
      <c r="G4" s="273"/>
      <c r="H4" s="274"/>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c r="AU4" s="278"/>
      <c r="AV4" s="278"/>
      <c r="AW4" s="278"/>
      <c r="AX4" s="278"/>
      <c r="AY4" s="278"/>
      <c r="AZ4" s="278"/>
      <c r="BA4" s="278"/>
      <c r="BB4" s="278"/>
      <c r="BC4" s="278"/>
      <c r="BD4" s="174" t="s">
        <v>4</v>
      </c>
    </row>
    <row r="5" spans="1:82" ht="27.75" customHeight="1" thickBot="1">
      <c r="D5" s="275"/>
      <c r="E5" s="276"/>
      <c r="F5" s="276"/>
      <c r="G5" s="276"/>
      <c r="H5" s="277"/>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c r="AK5" s="278"/>
      <c r="AL5" s="278"/>
      <c r="AM5" s="278"/>
      <c r="AN5" s="278"/>
      <c r="AO5" s="278"/>
      <c r="AP5" s="278"/>
      <c r="AQ5" s="278"/>
      <c r="AR5" s="278"/>
      <c r="AS5" s="278"/>
      <c r="AT5" s="278"/>
      <c r="AU5" s="278"/>
      <c r="AV5" s="278"/>
      <c r="AW5" s="278"/>
      <c r="AX5" s="278"/>
      <c r="AY5" s="278"/>
      <c r="AZ5" s="278"/>
      <c r="BA5" s="278"/>
      <c r="BB5" s="278"/>
      <c r="BC5" s="278"/>
      <c r="BD5" s="174" t="s">
        <v>41</v>
      </c>
    </row>
    <row r="6" spans="1:82" ht="13.9" customHeight="1">
      <c r="D6" s="183"/>
      <c r="E6" s="184"/>
      <c r="F6" s="184"/>
      <c r="G6" s="184"/>
      <c r="H6" s="184"/>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85"/>
      <c r="AL6" s="185"/>
      <c r="AM6" s="185"/>
      <c r="AN6" s="185"/>
      <c r="AO6" s="185"/>
      <c r="AP6" s="185"/>
      <c r="AQ6" s="185"/>
      <c r="AR6" s="185"/>
      <c r="AS6" s="185"/>
      <c r="AT6" s="185"/>
      <c r="AU6" s="185"/>
      <c r="AV6" s="185"/>
      <c r="AW6" s="185"/>
      <c r="AX6" s="185"/>
      <c r="AY6" s="185"/>
      <c r="AZ6" s="185"/>
      <c r="BA6" s="185"/>
      <c r="BB6" s="185"/>
      <c r="BC6" s="185"/>
      <c r="BD6" s="109"/>
    </row>
    <row r="7" spans="1:82" ht="26.25" customHeight="1">
      <c r="D7" s="284" t="s">
        <v>42</v>
      </c>
      <c r="E7" s="285"/>
      <c r="F7" s="285"/>
      <c r="G7" s="286"/>
      <c r="H7" s="279" t="s">
        <v>43</v>
      </c>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0"/>
      <c r="AK7" s="280"/>
      <c r="AL7" s="280"/>
      <c r="AM7" s="280"/>
      <c r="AN7" s="280"/>
      <c r="AO7" s="280"/>
      <c r="AP7" s="280"/>
      <c r="AQ7" s="280"/>
      <c r="AR7" s="280"/>
      <c r="AS7" s="280"/>
      <c r="AT7" s="280"/>
      <c r="AU7" s="280"/>
      <c r="AV7" s="280"/>
      <c r="AW7" s="280"/>
      <c r="AX7" s="280"/>
      <c r="AY7" s="280"/>
      <c r="AZ7" s="280"/>
      <c r="BA7" s="280"/>
      <c r="BB7" s="280"/>
      <c r="BC7" s="280"/>
      <c r="BD7" s="280"/>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row>
    <row r="8" spans="1:82" ht="138" customHeight="1">
      <c r="D8" s="284" t="s">
        <v>44</v>
      </c>
      <c r="E8" s="285"/>
      <c r="F8" s="285"/>
      <c r="G8" s="286"/>
      <c r="H8" s="279" t="s">
        <v>45</v>
      </c>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80"/>
      <c r="AQ8" s="280"/>
      <c r="AR8" s="280"/>
      <c r="AS8" s="280"/>
      <c r="AT8" s="280"/>
      <c r="AU8" s="280"/>
      <c r="AV8" s="280"/>
      <c r="AW8" s="280"/>
      <c r="AX8" s="280"/>
      <c r="AY8" s="280"/>
      <c r="AZ8" s="280"/>
      <c r="BA8" s="280"/>
      <c r="BB8" s="280"/>
      <c r="BC8" s="280"/>
      <c r="BD8" s="280"/>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row>
    <row r="9" spans="1:82" ht="134.25" customHeight="1">
      <c r="D9" s="284" t="s">
        <v>46</v>
      </c>
      <c r="E9" s="285"/>
      <c r="F9" s="285"/>
      <c r="G9" s="286"/>
      <c r="H9" s="279" t="s">
        <v>47</v>
      </c>
      <c r="I9" s="280"/>
      <c r="J9" s="280"/>
      <c r="K9" s="280"/>
      <c r="L9" s="280"/>
      <c r="M9" s="280"/>
      <c r="N9" s="280"/>
      <c r="O9" s="280"/>
      <c r="P9" s="280"/>
      <c r="Q9" s="280"/>
      <c r="R9" s="280"/>
      <c r="S9" s="280"/>
      <c r="T9" s="280"/>
      <c r="U9" s="280"/>
      <c r="V9" s="280"/>
      <c r="W9" s="280"/>
      <c r="X9" s="280"/>
      <c r="Y9" s="280"/>
      <c r="Z9" s="280"/>
      <c r="AA9" s="280"/>
      <c r="AB9" s="280"/>
      <c r="AC9" s="280"/>
      <c r="AD9" s="280"/>
      <c r="AE9" s="280"/>
      <c r="AF9" s="280"/>
      <c r="AG9" s="280"/>
      <c r="AH9" s="280"/>
      <c r="AI9" s="280"/>
      <c r="AJ9" s="280"/>
      <c r="AK9" s="280"/>
      <c r="AL9" s="280"/>
      <c r="AM9" s="280"/>
      <c r="AN9" s="280"/>
      <c r="AO9" s="280"/>
      <c r="AP9" s="280"/>
      <c r="AQ9" s="280"/>
      <c r="AR9" s="280"/>
      <c r="AS9" s="280"/>
      <c r="AT9" s="280"/>
      <c r="AU9" s="280"/>
      <c r="AV9" s="280"/>
      <c r="AW9" s="280"/>
      <c r="AX9" s="280"/>
      <c r="AY9" s="280"/>
      <c r="AZ9" s="280"/>
      <c r="BA9" s="280"/>
      <c r="BB9" s="280"/>
      <c r="BC9" s="280"/>
      <c r="BD9" s="280"/>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row>
    <row r="10" spans="1:82" s="187" customFormat="1" ht="24" customHeight="1">
      <c r="D10" s="188"/>
      <c r="E10" s="189"/>
      <c r="F10" s="190"/>
      <c r="G10" s="190"/>
      <c r="H10" s="188"/>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2"/>
      <c r="AT10" s="192"/>
      <c r="AU10" s="192"/>
      <c r="AV10" s="192"/>
      <c r="AW10" s="192"/>
      <c r="AX10" s="192"/>
      <c r="AY10" s="192"/>
      <c r="AZ10" s="193"/>
      <c r="BA10" s="193"/>
      <c r="BB10" s="193"/>
      <c r="BC10" s="193"/>
      <c r="BD10" s="193"/>
    </row>
    <row r="11" spans="1:82" s="187" customFormat="1" ht="25.5" customHeight="1">
      <c r="A11" s="305" t="s">
        <v>9</v>
      </c>
      <c r="B11" s="305"/>
      <c r="C11" s="306"/>
      <c r="D11" s="259" t="s">
        <v>48</v>
      </c>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96"/>
      <c r="AS11" s="268" t="s">
        <v>49</v>
      </c>
      <c r="AT11" s="268"/>
      <c r="AU11" s="268"/>
      <c r="AV11" s="268"/>
      <c r="AW11" s="268"/>
      <c r="AX11" s="268"/>
      <c r="AY11" s="268"/>
      <c r="AZ11" s="288" t="s">
        <v>50</v>
      </c>
      <c r="BA11" s="289"/>
      <c r="BB11" s="289"/>
      <c r="BC11" s="290" t="s">
        <v>51</v>
      </c>
      <c r="BD11" s="291"/>
    </row>
    <row r="12" spans="1:82" ht="27" customHeight="1">
      <c r="D12" s="283" t="s">
        <v>52</v>
      </c>
      <c r="E12" s="283"/>
      <c r="F12" s="283"/>
      <c r="G12" s="283"/>
      <c r="H12" s="283"/>
      <c r="I12" s="258"/>
      <c r="J12" s="258"/>
      <c r="K12" s="258"/>
      <c r="L12" s="258"/>
      <c r="M12" s="258"/>
      <c r="N12" s="258"/>
      <c r="O12" s="258"/>
      <c r="P12" s="258" t="s">
        <v>53</v>
      </c>
      <c r="Q12" s="258"/>
      <c r="R12" s="258"/>
      <c r="S12" s="258"/>
      <c r="T12" s="258"/>
      <c r="U12" s="258"/>
      <c r="V12" s="258" t="s">
        <v>54</v>
      </c>
      <c r="W12" s="258"/>
      <c r="X12" s="258"/>
      <c r="Y12" s="258"/>
      <c r="Z12" s="258"/>
      <c r="AA12" s="258"/>
      <c r="AB12" s="258"/>
      <c r="AC12" s="258"/>
      <c r="AD12" s="258"/>
      <c r="AE12" s="258"/>
      <c r="AF12" s="302" t="s">
        <v>55</v>
      </c>
      <c r="AG12" s="258" t="s">
        <v>56</v>
      </c>
      <c r="AH12" s="258"/>
      <c r="AI12" s="258"/>
      <c r="AJ12" s="258"/>
      <c r="AK12" s="258"/>
      <c r="AL12" s="258"/>
      <c r="AM12" s="258"/>
      <c r="AN12" s="194"/>
      <c r="AO12" s="259" t="s">
        <v>57</v>
      </c>
      <c r="AP12" s="260"/>
      <c r="AQ12" s="260"/>
      <c r="AR12" s="260"/>
      <c r="AS12" s="268"/>
      <c r="AT12" s="268"/>
      <c r="AU12" s="268"/>
      <c r="AV12" s="268"/>
      <c r="AW12" s="268"/>
      <c r="AX12" s="268"/>
      <c r="AY12" s="268"/>
      <c r="AZ12" s="288"/>
      <c r="BA12" s="289"/>
      <c r="BB12" s="289"/>
      <c r="BC12" s="292"/>
      <c r="BD12" s="293"/>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row>
    <row r="13" spans="1:82" ht="45.75" customHeight="1">
      <c r="D13" s="287" t="s">
        <v>58</v>
      </c>
      <c r="E13" s="257" t="s">
        <v>59</v>
      </c>
      <c r="F13" s="307" t="s">
        <v>60</v>
      </c>
      <c r="G13" s="281" t="s">
        <v>61</v>
      </c>
      <c r="H13" s="283" t="s">
        <v>62</v>
      </c>
      <c r="I13" s="257" t="s">
        <v>63</v>
      </c>
      <c r="J13" s="257" t="s">
        <v>64</v>
      </c>
      <c r="K13" s="257" t="s">
        <v>65</v>
      </c>
      <c r="L13" s="281" t="s">
        <v>66</v>
      </c>
      <c r="M13" s="300" t="s">
        <v>67</v>
      </c>
      <c r="N13" s="301"/>
      <c r="O13" s="257" t="s">
        <v>68</v>
      </c>
      <c r="P13" s="257" t="s">
        <v>69</v>
      </c>
      <c r="Q13" s="283" t="s">
        <v>70</v>
      </c>
      <c r="R13" s="257" t="s">
        <v>71</v>
      </c>
      <c r="S13" s="257" t="s">
        <v>72</v>
      </c>
      <c r="T13" s="283" t="s">
        <v>70</v>
      </c>
      <c r="U13" s="257" t="s">
        <v>73</v>
      </c>
      <c r="V13" s="261" t="s">
        <v>74</v>
      </c>
      <c r="W13" s="257" t="s">
        <v>75</v>
      </c>
      <c r="X13" s="257" t="s">
        <v>76</v>
      </c>
      <c r="Y13" s="257" t="s">
        <v>77</v>
      </c>
      <c r="Z13" s="257" t="s">
        <v>78</v>
      </c>
      <c r="AA13" s="257"/>
      <c r="AB13" s="257"/>
      <c r="AC13" s="257"/>
      <c r="AD13" s="257"/>
      <c r="AE13" s="257"/>
      <c r="AF13" s="303"/>
      <c r="AG13" s="261" t="s">
        <v>79</v>
      </c>
      <c r="AH13" s="261" t="s">
        <v>80</v>
      </c>
      <c r="AI13" s="261" t="s">
        <v>70</v>
      </c>
      <c r="AJ13" s="261" t="s">
        <v>81</v>
      </c>
      <c r="AK13" s="261" t="s">
        <v>70</v>
      </c>
      <c r="AL13" s="261" t="s">
        <v>82</v>
      </c>
      <c r="AM13" s="261" t="s">
        <v>83</v>
      </c>
      <c r="AN13" s="261" t="s">
        <v>84</v>
      </c>
      <c r="AO13" s="257" t="s">
        <v>85</v>
      </c>
      <c r="AP13" s="257" t="s">
        <v>86</v>
      </c>
      <c r="AQ13" s="257" t="s">
        <v>87</v>
      </c>
      <c r="AR13" s="281" t="s">
        <v>88</v>
      </c>
      <c r="AS13" s="294" t="s">
        <v>89</v>
      </c>
      <c r="AT13" s="294" t="s">
        <v>90</v>
      </c>
      <c r="AU13" s="294" t="s">
        <v>91</v>
      </c>
      <c r="AV13" s="294" t="s">
        <v>92</v>
      </c>
      <c r="AW13" s="294" t="s">
        <v>93</v>
      </c>
      <c r="AX13" s="294" t="s">
        <v>94</v>
      </c>
      <c r="AY13" s="294" t="s">
        <v>95</v>
      </c>
      <c r="AZ13" s="257" t="s">
        <v>96</v>
      </c>
      <c r="BA13" s="257" t="s">
        <v>97</v>
      </c>
      <c r="BB13" s="257" t="s">
        <v>98</v>
      </c>
      <c r="BC13" s="294" t="s">
        <v>96</v>
      </c>
      <c r="BD13" s="294" t="s">
        <v>99</v>
      </c>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row>
    <row r="14" spans="1:82" s="198" customFormat="1" ht="94.5" customHeight="1">
      <c r="A14" s="192"/>
      <c r="B14" s="192"/>
      <c r="C14" s="192"/>
      <c r="D14" s="287"/>
      <c r="E14" s="257"/>
      <c r="F14" s="258"/>
      <c r="G14" s="282"/>
      <c r="H14" s="283"/>
      <c r="I14" s="257"/>
      <c r="J14" s="257"/>
      <c r="K14" s="283"/>
      <c r="L14" s="282"/>
      <c r="M14" s="196" t="s">
        <v>100</v>
      </c>
      <c r="N14" s="196" t="s">
        <v>101</v>
      </c>
      <c r="O14" s="257"/>
      <c r="P14" s="257"/>
      <c r="Q14" s="283"/>
      <c r="R14" s="257"/>
      <c r="S14" s="283"/>
      <c r="T14" s="283"/>
      <c r="U14" s="257"/>
      <c r="V14" s="261"/>
      <c r="W14" s="257"/>
      <c r="X14" s="257"/>
      <c r="Y14" s="257"/>
      <c r="Z14" s="195" t="s">
        <v>102</v>
      </c>
      <c r="AA14" s="195" t="s">
        <v>103</v>
      </c>
      <c r="AB14" s="195" t="s">
        <v>104</v>
      </c>
      <c r="AC14" s="195" t="s">
        <v>55</v>
      </c>
      <c r="AD14" s="195" t="s">
        <v>105</v>
      </c>
      <c r="AE14" s="195" t="s">
        <v>106</v>
      </c>
      <c r="AF14" s="304"/>
      <c r="AG14" s="261"/>
      <c r="AH14" s="261"/>
      <c r="AI14" s="261"/>
      <c r="AJ14" s="261"/>
      <c r="AK14" s="261"/>
      <c r="AL14" s="261"/>
      <c r="AM14" s="261"/>
      <c r="AN14" s="261"/>
      <c r="AO14" s="257"/>
      <c r="AP14" s="257"/>
      <c r="AQ14" s="257"/>
      <c r="AR14" s="282"/>
      <c r="AS14" s="295"/>
      <c r="AT14" s="295"/>
      <c r="AU14" s="295"/>
      <c r="AV14" s="295"/>
      <c r="AW14" s="295"/>
      <c r="AX14" s="295"/>
      <c r="AY14" s="295"/>
      <c r="AZ14" s="281"/>
      <c r="BA14" s="281"/>
      <c r="BB14" s="281"/>
      <c r="BC14" s="295"/>
      <c r="BD14" s="295"/>
      <c r="BE14" s="197"/>
      <c r="BF14" s="197"/>
      <c r="BG14" s="197"/>
      <c r="BH14" s="197"/>
      <c r="BI14" s="197"/>
      <c r="BJ14" s="197"/>
      <c r="BK14" s="197"/>
      <c r="BL14" s="197"/>
      <c r="BM14" s="197"/>
      <c r="BN14" s="197"/>
      <c r="BO14" s="197"/>
      <c r="BP14" s="197"/>
      <c r="BQ14" s="197"/>
      <c r="BR14" s="197"/>
      <c r="BS14" s="197"/>
      <c r="BT14" s="197"/>
      <c r="BU14" s="197"/>
      <c r="BV14" s="197"/>
      <c r="BW14" s="197"/>
      <c r="BX14" s="197"/>
      <c r="BY14" s="197"/>
      <c r="BZ14" s="197"/>
      <c r="CA14" s="197"/>
      <c r="CB14" s="197"/>
      <c r="CC14" s="197"/>
      <c r="CD14" s="197"/>
    </row>
    <row r="15" spans="1:82" s="106" customFormat="1" ht="234.75" customHeight="1">
      <c r="D15" s="253">
        <v>1</v>
      </c>
      <c r="E15" s="249" t="s">
        <v>107</v>
      </c>
      <c r="F15" s="249" t="s">
        <v>108</v>
      </c>
      <c r="G15" s="249"/>
      <c r="H15" s="249" t="s">
        <v>109</v>
      </c>
      <c r="I15" s="239" t="s">
        <v>110</v>
      </c>
      <c r="J15" s="239" t="s">
        <v>111</v>
      </c>
      <c r="K15" s="239" t="s">
        <v>112</v>
      </c>
      <c r="L15" s="239" t="s">
        <v>113</v>
      </c>
      <c r="M15" s="239" t="s">
        <v>114</v>
      </c>
      <c r="N15" s="239" t="s">
        <v>115</v>
      </c>
      <c r="O15" s="239">
        <v>1200</v>
      </c>
      <c r="P15" s="241" t="str">
        <f>IF(O15&lt;=0,"",IF(O15&lt;=2,"Muy Baja",IF(O15&lt;=24,"Baja",IF(O15&lt;=500,"Media",IF(O15&lt;=5000,"Alta","Muy Alta")))))</f>
        <v>Alta</v>
      </c>
      <c r="Q15" s="245">
        <f>IF(P15="","",IF(P15="Muy Baja",0.2,IF(P15="Baja",0.4,IF(P15="Media",0.6,IF(P15="Alta",0.8,IF(P15="Muy Alta",1,))))))</f>
        <v>0.8</v>
      </c>
      <c r="R15" s="247" t="s">
        <v>116</v>
      </c>
      <c r="S15" s="241" t="str">
        <f>IFERROR(VLOOKUP(R15,Criterios[],2,FALSE),"")</f>
        <v>Moderado</v>
      </c>
      <c r="T15" s="245">
        <f t="shared" ref="T15" si="0">IF(S15="","",IF(S15="Leve",0.2,IF(S15="Menor",0.4,IF(S15="Moderado",0.6,IF(S15="Mayor",0.8,IF(S15="Catastrófico",1,))))))</f>
        <v>0.6</v>
      </c>
      <c r="U15" s="241"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Alto</v>
      </c>
      <c r="V15" s="199">
        <v>1</v>
      </c>
      <c r="W15" s="180" t="s">
        <v>117</v>
      </c>
      <c r="X15" s="180" t="s">
        <v>118</v>
      </c>
      <c r="Y15" s="200" t="str">
        <f t="shared" ref="Y15:Y30" si="1">IF(OR(Z15="Preventivo",Z15="Detectivo"),"Probabilidad",IF(Z15="Correctivo","Impacto",""))</f>
        <v>Probabilidad</v>
      </c>
      <c r="Z15" s="201" t="s">
        <v>119</v>
      </c>
      <c r="AA15" s="201" t="s">
        <v>120</v>
      </c>
      <c r="AB15" s="202" t="str">
        <f t="shared" ref="AB15:AB30" si="2">IF(AND(Z15="Preventivo",AA15="Automático"),"50%",IF(AND(Z15="Preventivo",AA15="Manual"),"40%",IF(AND(Z15="Detectivo",AA15="Automático"),"40%",IF(AND(Z15="Detectivo",AA15="Manual"),"30%",IF(AND(Z15="Correctivo",AA15="Automático"),"35%",IF(AND(Z15="Correctivo",AA15="Manual"),"25%",""))))))</f>
        <v>40%</v>
      </c>
      <c r="AC15" s="201" t="s">
        <v>121</v>
      </c>
      <c r="AD15" s="201" t="s">
        <v>122</v>
      </c>
      <c r="AE15" s="201" t="s">
        <v>123</v>
      </c>
      <c r="AF15" s="175" t="s">
        <v>124</v>
      </c>
      <c r="AG15" s="203">
        <f>IFERROR(IF(Y15="Probabilidad",(Q15-(+ Q15*AB15)),IF(Y15="Impacto",Q15,"")),"")</f>
        <v>0.48</v>
      </c>
      <c r="AH15" s="204" t="str">
        <f>IFERROR(IF(AG15="","",IF(AG15&lt;=0.2,"Muy Baja",IF(AG15&lt;=0.4,"Baja",IF(AG15&lt;=0.6,"Media",IF(AG15&lt;=0.8,"Alta","Muy Alta"))))),"")</f>
        <v>Media</v>
      </c>
      <c r="AI15" s="202">
        <f>+AG15</f>
        <v>0.48</v>
      </c>
      <c r="AJ15" s="204" t="str">
        <f>IFERROR(IF(AK15="","",IF(AK15&lt;=0.2,"Leve",IF(AK15&lt;=0.4,"Menor",IF(AK15&lt;=0.6,"Moderado",IF(AK15&lt;=0.8,"Mayor","Catastrófico"))))),"")</f>
        <v>Moderado</v>
      </c>
      <c r="AK15" s="202">
        <f>IFERROR(IF(Y15="Impacto",(T15-(+T15*AB15)),IF(Y15="Probabilidad",T15,"")),"")</f>
        <v>0.6</v>
      </c>
      <c r="AL15" s="204"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243" t="s">
        <v>125</v>
      </c>
      <c r="AN15" s="199">
        <v>1</v>
      </c>
      <c r="AO15" s="239" t="s">
        <v>126</v>
      </c>
      <c r="AP15" s="237" t="s">
        <v>127</v>
      </c>
      <c r="AQ15" s="237" t="s">
        <v>128</v>
      </c>
      <c r="AR15" s="237" t="s">
        <v>129</v>
      </c>
      <c r="AS15" s="234"/>
      <c r="AT15" s="205"/>
      <c r="AU15" s="205"/>
      <c r="AV15" s="205"/>
      <c r="AW15" s="205"/>
      <c r="AX15" s="205"/>
      <c r="AY15" s="205"/>
      <c r="AZ15" s="228"/>
      <c r="BA15" s="206"/>
      <c r="BB15" s="207"/>
      <c r="BC15" s="231"/>
      <c r="BD15" s="208"/>
      <c r="BE15" s="209"/>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row>
    <row r="16" spans="1:82" s="106" customFormat="1" ht="80.25" customHeight="1">
      <c r="D16" s="254"/>
      <c r="E16" s="250"/>
      <c r="F16" s="250"/>
      <c r="G16" s="250"/>
      <c r="H16" s="250"/>
      <c r="I16" s="240"/>
      <c r="J16" s="240"/>
      <c r="K16" s="240"/>
      <c r="L16" s="240"/>
      <c r="M16" s="240"/>
      <c r="N16" s="240"/>
      <c r="O16" s="240"/>
      <c r="P16" s="242"/>
      <c r="Q16" s="246"/>
      <c r="R16" s="248"/>
      <c r="S16" s="242"/>
      <c r="T16" s="246"/>
      <c r="U16" s="242"/>
      <c r="V16" s="211">
        <v>2</v>
      </c>
      <c r="W16" s="179"/>
      <c r="X16" s="180"/>
      <c r="Y16" s="200" t="str">
        <f t="shared" si="1"/>
        <v/>
      </c>
      <c r="Z16" s="201"/>
      <c r="AA16" s="201"/>
      <c r="AB16" s="202" t="str">
        <f t="shared" si="2"/>
        <v/>
      </c>
      <c r="AC16" s="201"/>
      <c r="AD16" s="201"/>
      <c r="AE16" s="201"/>
      <c r="AF16" s="175"/>
      <c r="AG16" s="203" t="str">
        <f>IFERROR(IF(Y16="Probabilidad",(Q15-(+ Q16*AB16)),IF(Y16="Impacto",Q16,"")),"")</f>
        <v/>
      </c>
      <c r="AH16" s="204" t="str">
        <f t="shared" ref="AH16:AH30" si="3">IFERROR(IF(AG16="","",IF(AG16&lt;=0.2,"Muy Baja",IF(AG16&lt;=0.4,"Baja",IF(AG16&lt;=0.6,"Media",IF(AG16&lt;=0.8,"Alta","Muy Alta"))))),"")</f>
        <v/>
      </c>
      <c r="AI16" s="202" t="str">
        <f t="shared" ref="AI16:AI30" si="4">+AG16</f>
        <v/>
      </c>
      <c r="AJ16" s="204" t="str">
        <f t="shared" ref="AJ16:AJ30" si="5">IFERROR(IF(AK16="","",IF(AK16&lt;=0.2,"Leve",IF(AK16&lt;=0.4,"Menor",IF(AK16&lt;=0.6,"Moderado",IF(AK16&lt;=0.8,"Mayor","Catastrófico"))))),"")</f>
        <v/>
      </c>
      <c r="AK16" s="202" t="str">
        <f>IFERROR(IF(Y16="Impacto",(T16-(+T16*AB16)),IF(Y16="Probabilidad",T15,"")),"")</f>
        <v/>
      </c>
      <c r="AL16" s="204" t="str">
        <f t="shared" ref="AL16:AL30" si="6">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
      </c>
      <c r="AM16" s="244"/>
      <c r="AN16" s="211">
        <v>2</v>
      </c>
      <c r="AO16" s="240"/>
      <c r="AP16" s="238"/>
      <c r="AQ16" s="238"/>
      <c r="AR16" s="238"/>
      <c r="AS16" s="235"/>
      <c r="AT16" s="205"/>
      <c r="AU16" s="205"/>
      <c r="AV16" s="205"/>
      <c r="AW16" s="205"/>
      <c r="AX16" s="205"/>
      <c r="AY16" s="205"/>
      <c r="AZ16" s="229"/>
      <c r="BA16" s="206"/>
      <c r="BB16" s="212"/>
      <c r="BC16" s="232"/>
      <c r="BD16" s="208"/>
      <c r="BE16" s="213"/>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row>
    <row r="17" spans="4:82" s="106" customFormat="1" ht="150.75" customHeight="1">
      <c r="D17" s="253">
        <v>2</v>
      </c>
      <c r="E17" s="249" t="s">
        <v>130</v>
      </c>
      <c r="F17" s="249" t="s">
        <v>108</v>
      </c>
      <c r="G17" s="249"/>
      <c r="H17" s="249" t="s">
        <v>131</v>
      </c>
      <c r="I17" s="239" t="s">
        <v>132</v>
      </c>
      <c r="J17" s="239" t="s">
        <v>133</v>
      </c>
      <c r="K17" s="239" t="s">
        <v>134</v>
      </c>
      <c r="L17" s="239" t="s">
        <v>113</v>
      </c>
      <c r="M17" s="239" t="s">
        <v>135</v>
      </c>
      <c r="N17" s="239" t="s">
        <v>136</v>
      </c>
      <c r="O17" s="239">
        <v>20</v>
      </c>
      <c r="P17" s="241" t="str">
        <f>IF(O17&lt;=0,"",IF(O17&lt;=2,"Muy Baja",IF(O17&lt;=24,"Baja",IF(O17&lt;=500,"Media",IF(O17&lt;=5000,"Alta","Muy Alta")))))</f>
        <v>Baja</v>
      </c>
      <c r="Q17" s="245">
        <f t="shared" ref="Q17" si="7">IF(P17="","",IF(P17="Muy Baja",0.2,IF(P17="Baja",0.4,IF(P17="Media",0.6,IF(P17="Alta",0.8,IF(P17="Muy Alta",1,))))))</f>
        <v>0.4</v>
      </c>
      <c r="R17" s="247" t="s">
        <v>137</v>
      </c>
      <c r="S17" s="241" t="str">
        <f>IFERROR(VLOOKUP(R17,Criterios[],2,FALSE),"")</f>
        <v>Moderado</v>
      </c>
      <c r="T17" s="245">
        <f t="shared" ref="T17" si="8">IF(S17="","",IF(S17="Leve",0.2,IF(S17="Menor",0.4,IF(S17="Moderado",0.6,IF(S17="Mayor",0.8,IF(S17="Catastrófico",1,))))))</f>
        <v>0.6</v>
      </c>
      <c r="U17" s="241"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Moderado</v>
      </c>
      <c r="V17" s="199">
        <v>1</v>
      </c>
      <c r="W17" s="179" t="s">
        <v>138</v>
      </c>
      <c r="X17" s="180" t="s">
        <v>139</v>
      </c>
      <c r="Y17" s="200" t="str">
        <f t="shared" si="1"/>
        <v>Probabilidad</v>
      </c>
      <c r="Z17" s="201" t="s">
        <v>140</v>
      </c>
      <c r="AA17" s="201" t="s">
        <v>141</v>
      </c>
      <c r="AB17" s="202" t="str">
        <f t="shared" si="2"/>
        <v>40%</v>
      </c>
      <c r="AC17" s="201" t="s">
        <v>121</v>
      </c>
      <c r="AD17" s="201" t="s">
        <v>122</v>
      </c>
      <c r="AE17" s="201" t="s">
        <v>123</v>
      </c>
      <c r="AF17" s="175" t="s">
        <v>142</v>
      </c>
      <c r="AG17" s="203">
        <f>IFERROR(IF(Y17="Probabilidad",(Q17-(+ Q17*AB17)),IF(Y17="Impacto",Q17,"")),"")</f>
        <v>0.24</v>
      </c>
      <c r="AH17" s="204" t="str">
        <f t="shared" si="3"/>
        <v>Baja</v>
      </c>
      <c r="AI17" s="202">
        <f t="shared" si="4"/>
        <v>0.24</v>
      </c>
      <c r="AJ17" s="204" t="str">
        <f t="shared" si="5"/>
        <v>Moderado</v>
      </c>
      <c r="AK17" s="202">
        <f>IFERROR(IF(Y17="Impacto",(T115-(+T17*AB17)),IF(Y17="Probabilidad",T17,"")),"")</f>
        <v>0.6</v>
      </c>
      <c r="AL17" s="204" t="str">
        <f t="shared" si="6"/>
        <v>Moderado</v>
      </c>
      <c r="AM17" s="243" t="s">
        <v>125</v>
      </c>
      <c r="AN17" s="199">
        <v>1</v>
      </c>
      <c r="AO17" s="239" t="s">
        <v>143</v>
      </c>
      <c r="AP17" s="237" t="s">
        <v>144</v>
      </c>
      <c r="AQ17" s="237" t="s">
        <v>145</v>
      </c>
      <c r="AR17" s="237" t="s">
        <v>129</v>
      </c>
      <c r="AS17" s="235"/>
      <c r="AT17" s="205"/>
      <c r="AU17" s="205"/>
      <c r="AV17" s="205"/>
      <c r="AW17" s="205"/>
      <c r="AX17" s="205"/>
      <c r="AY17" s="205"/>
      <c r="AZ17" s="229"/>
      <c r="BA17" s="206"/>
      <c r="BB17" s="212"/>
      <c r="BC17" s="232"/>
      <c r="BD17" s="208"/>
      <c r="BE17" s="210"/>
      <c r="BF17" s="213"/>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row>
    <row r="18" spans="4:82" s="106" customFormat="1" ht="136.5" customHeight="1">
      <c r="D18" s="254"/>
      <c r="E18" s="250"/>
      <c r="F18" s="250"/>
      <c r="G18" s="250"/>
      <c r="H18" s="250"/>
      <c r="I18" s="240"/>
      <c r="J18" s="240"/>
      <c r="K18" s="240"/>
      <c r="L18" s="240"/>
      <c r="M18" s="240"/>
      <c r="N18" s="240"/>
      <c r="O18" s="240"/>
      <c r="P18" s="242"/>
      <c r="Q18" s="246"/>
      <c r="R18" s="248"/>
      <c r="S18" s="242"/>
      <c r="T18" s="246"/>
      <c r="U18" s="242"/>
      <c r="V18" s="211">
        <v>2</v>
      </c>
      <c r="W18" s="179" t="s">
        <v>146</v>
      </c>
      <c r="X18" s="180" t="s">
        <v>147</v>
      </c>
      <c r="Y18" s="200" t="str">
        <f t="shared" si="1"/>
        <v>Probabilidad</v>
      </c>
      <c r="Z18" s="201" t="s">
        <v>140</v>
      </c>
      <c r="AA18" s="201" t="s">
        <v>120</v>
      </c>
      <c r="AB18" s="202"/>
      <c r="AC18" s="201" t="s">
        <v>121</v>
      </c>
      <c r="AD18" s="201" t="s">
        <v>122</v>
      </c>
      <c r="AE18" s="201" t="s">
        <v>123</v>
      </c>
      <c r="AF18" s="175" t="s">
        <v>148</v>
      </c>
      <c r="AG18" s="203">
        <f>IFERROR(IF(Y18="Probabilidad",(Q17-(+ Q18*AB18)),IF(Y18="Impacto",Q18,"")),"")</f>
        <v>0.4</v>
      </c>
      <c r="AH18" s="204" t="str">
        <f t="shared" si="3"/>
        <v>Baja</v>
      </c>
      <c r="AI18" s="202">
        <f t="shared" si="4"/>
        <v>0.4</v>
      </c>
      <c r="AJ18" s="204" t="str">
        <f t="shared" si="5"/>
        <v>Moderado</v>
      </c>
      <c r="AK18" s="202">
        <f>IFERROR(IF(Y18="Impacto",(T18-(+T18*AB18)),IF(Y18="Probabilidad",T17,"")),"")</f>
        <v>0.6</v>
      </c>
      <c r="AL18" s="204" t="str">
        <f t="shared" si="6"/>
        <v>Moderado</v>
      </c>
      <c r="AM18" s="244"/>
      <c r="AN18" s="211">
        <v>2</v>
      </c>
      <c r="AO18" s="240"/>
      <c r="AP18" s="238"/>
      <c r="AQ18" s="238"/>
      <c r="AR18" s="238"/>
      <c r="AS18" s="235"/>
      <c r="AT18" s="205"/>
      <c r="AU18" s="205"/>
      <c r="AV18" s="205"/>
      <c r="AW18" s="205"/>
      <c r="AX18" s="205"/>
      <c r="AY18" s="205"/>
      <c r="AZ18" s="229"/>
      <c r="BA18" s="206"/>
      <c r="BB18" s="212"/>
      <c r="BC18" s="232"/>
      <c r="BD18" s="208"/>
      <c r="BE18" s="210"/>
      <c r="BF18" s="213"/>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row>
    <row r="19" spans="4:82" s="218" customFormat="1" ht="159" customHeight="1">
      <c r="D19" s="255">
        <v>4</v>
      </c>
      <c r="E19" s="249" t="s">
        <v>67</v>
      </c>
      <c r="F19" s="249" t="s">
        <v>108</v>
      </c>
      <c r="G19" s="249"/>
      <c r="H19" s="249" t="s">
        <v>109</v>
      </c>
      <c r="I19" s="239" t="s">
        <v>149</v>
      </c>
      <c r="J19" s="239" t="s">
        <v>150</v>
      </c>
      <c r="K19" s="239" t="s">
        <v>151</v>
      </c>
      <c r="L19" s="239" t="s">
        <v>113</v>
      </c>
      <c r="M19" s="239" t="s">
        <v>114</v>
      </c>
      <c r="N19" s="239" t="s">
        <v>152</v>
      </c>
      <c r="O19" s="239">
        <v>365</v>
      </c>
      <c r="P19" s="241" t="str">
        <f>IF(O19&lt;=0,"",IF(O19&lt;=2,"Muy Baja",IF(O19&lt;=24,"Baja",IF(O19&lt;=500,"Media",IF(O19&lt;=5000,"Alta","Muy Alta")))))</f>
        <v>Media</v>
      </c>
      <c r="Q19" s="245">
        <f t="shared" ref="Q19" si="9">IF(P19="","",IF(P19="Muy Baja",0.2,IF(P19="Baja",0.4,IF(P19="Media",0.6,IF(P19="Alta",0.8,IF(P19="Muy Alta",1,))))))</f>
        <v>0.6</v>
      </c>
      <c r="R19" s="247" t="s">
        <v>137</v>
      </c>
      <c r="S19" s="241" t="str">
        <f>IFERROR(VLOOKUP(R19,Criterios[],2,FALSE),"")</f>
        <v>Moderado</v>
      </c>
      <c r="T19" s="245">
        <f t="shared" ref="T19" si="10">IF(S19="","",IF(S19="Leve",0.2,IF(S19="Menor",0.4,IF(S19="Moderado",0.6,IF(S19="Mayor",0.8,IF(S19="Catastrófico",1,))))))</f>
        <v>0.6</v>
      </c>
      <c r="U19" s="241"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Moderado</v>
      </c>
      <c r="V19" s="199">
        <v>1</v>
      </c>
      <c r="W19" s="179" t="s">
        <v>153</v>
      </c>
      <c r="X19" s="180" t="s">
        <v>154</v>
      </c>
      <c r="Y19" s="200" t="str">
        <f t="shared" si="1"/>
        <v>Probabilidad</v>
      </c>
      <c r="Z19" s="201" t="s">
        <v>140</v>
      </c>
      <c r="AA19" s="201" t="s">
        <v>141</v>
      </c>
      <c r="AB19" s="202" t="str">
        <f t="shared" si="2"/>
        <v>40%</v>
      </c>
      <c r="AC19" s="201" t="s">
        <v>121</v>
      </c>
      <c r="AD19" s="201" t="s">
        <v>122</v>
      </c>
      <c r="AE19" s="214" t="s">
        <v>123</v>
      </c>
      <c r="AF19" s="175" t="s">
        <v>148</v>
      </c>
      <c r="AG19" s="203">
        <f>IFERROR(IF(Y19="Probabilidad",(Q19-(+ Q19*AB19)),IF(Y19="Impacto",Q19,"")),"")</f>
        <v>0.36</v>
      </c>
      <c r="AH19" s="204" t="str">
        <f t="shared" si="3"/>
        <v>Baja</v>
      </c>
      <c r="AI19" s="202">
        <f t="shared" si="4"/>
        <v>0.36</v>
      </c>
      <c r="AJ19" s="204" t="str">
        <f t="shared" si="5"/>
        <v>Moderado</v>
      </c>
      <c r="AK19" s="202">
        <f>IFERROR(IF(Y19="Impacto",(T19-(+T19*AB19)),IF(Y19="Probabilidad",T19,"")),"")</f>
        <v>0.6</v>
      </c>
      <c r="AL19" s="204" t="str">
        <f t="shared" si="6"/>
        <v>Moderado</v>
      </c>
      <c r="AM19" s="243" t="s">
        <v>125</v>
      </c>
      <c r="AN19" s="199">
        <v>1</v>
      </c>
      <c r="AO19" s="239" t="s">
        <v>155</v>
      </c>
      <c r="AP19" s="237" t="s">
        <v>156</v>
      </c>
      <c r="AQ19" s="237" t="s">
        <v>157</v>
      </c>
      <c r="AR19" s="237" t="s">
        <v>158</v>
      </c>
      <c r="AS19" s="235"/>
      <c r="AT19" s="205"/>
      <c r="AU19" s="205"/>
      <c r="AV19" s="205"/>
      <c r="AW19" s="205"/>
      <c r="AX19" s="205"/>
      <c r="AY19" s="205"/>
      <c r="AZ19" s="229"/>
      <c r="BA19" s="215"/>
      <c r="BB19" s="215"/>
      <c r="BC19" s="232"/>
      <c r="BD19" s="216"/>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row>
    <row r="20" spans="4:82" s="218" customFormat="1" ht="39.75" customHeight="1">
      <c r="D20" s="256"/>
      <c r="E20" s="250"/>
      <c r="F20" s="250"/>
      <c r="G20" s="250"/>
      <c r="H20" s="250"/>
      <c r="I20" s="240"/>
      <c r="J20" s="240"/>
      <c r="K20" s="240"/>
      <c r="L20" s="240"/>
      <c r="M20" s="240"/>
      <c r="N20" s="240"/>
      <c r="O20" s="240"/>
      <c r="P20" s="242"/>
      <c r="Q20" s="246"/>
      <c r="R20" s="248"/>
      <c r="S20" s="242"/>
      <c r="T20" s="246"/>
      <c r="U20" s="242"/>
      <c r="V20" s="211">
        <v>2</v>
      </c>
      <c r="W20" s="179"/>
      <c r="X20" s="180"/>
      <c r="Y20" s="200" t="str">
        <f t="shared" si="1"/>
        <v/>
      </c>
      <c r="Z20" s="201"/>
      <c r="AA20" s="201"/>
      <c r="AB20" s="202" t="str">
        <f t="shared" si="2"/>
        <v/>
      </c>
      <c r="AC20" s="201"/>
      <c r="AD20" s="201"/>
      <c r="AE20" s="214"/>
      <c r="AF20" s="175"/>
      <c r="AG20" s="203" t="str">
        <f>IFERROR(IF(Y20="Probabilidad",(Q19-(+ Q20*AB20)),IF(Y20="Impacto",Q20,"")),"")</f>
        <v/>
      </c>
      <c r="AH20" s="204" t="str">
        <f t="shared" si="3"/>
        <v/>
      </c>
      <c r="AI20" s="202" t="str">
        <f t="shared" si="4"/>
        <v/>
      </c>
      <c r="AJ20" s="204" t="str">
        <f t="shared" si="5"/>
        <v/>
      </c>
      <c r="AK20" s="202" t="str">
        <f>IFERROR(IF(Y20="Impacto",(T19-(+T19*AB20)),IF(Y20="Probabilidad",T19,"")),"")</f>
        <v/>
      </c>
      <c r="AL20" s="204" t="str">
        <f t="shared" si="6"/>
        <v/>
      </c>
      <c r="AM20" s="244"/>
      <c r="AN20" s="211">
        <v>2</v>
      </c>
      <c r="AO20" s="240"/>
      <c r="AP20" s="238"/>
      <c r="AQ20" s="238"/>
      <c r="AR20" s="238"/>
      <c r="AS20" s="235"/>
      <c r="AT20" s="205"/>
      <c r="AU20" s="205"/>
      <c r="AV20" s="205"/>
      <c r="AW20" s="205"/>
      <c r="AX20" s="205"/>
      <c r="AY20" s="205"/>
      <c r="AZ20" s="229"/>
      <c r="BA20" s="215"/>
      <c r="BB20" s="215"/>
      <c r="BC20" s="232"/>
      <c r="BD20" s="216"/>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c r="CD20" s="217"/>
    </row>
    <row r="21" spans="4:82" s="218" customFormat="1" ht="39.75" customHeight="1">
      <c r="D21" s="251">
        <v>5</v>
      </c>
      <c r="E21" s="249"/>
      <c r="F21" s="249"/>
      <c r="G21" s="249"/>
      <c r="H21" s="249"/>
      <c r="I21" s="239"/>
      <c r="J21" s="239"/>
      <c r="K21" s="239"/>
      <c r="L21" s="239"/>
      <c r="M21" s="239"/>
      <c r="N21" s="239"/>
      <c r="O21" s="239"/>
      <c r="P21" s="241" t="str">
        <f t="shared" ref="P21:P29" si="11">IF(O21&lt;=0,"",IF(O21&lt;=2,"Muy Baja",IF(O21&lt;=24,"Baja",IF(O21&lt;=500,"Media",IF(O21&lt;=5000,"Alta","Muy Alta")))))</f>
        <v/>
      </c>
      <c r="Q21" s="245" t="str">
        <f t="shared" ref="Q21" si="12">IF(P21="","",IF(P21="Muy Baja",0.2,IF(P21="Baja",0.4,IF(P21="Media",0.6,IF(P21="Alta",0.8,IF(P21="Muy Alta",1,))))))</f>
        <v/>
      </c>
      <c r="R21" s="247"/>
      <c r="S21" s="241" t="str">
        <f>IFERROR(VLOOKUP(R21,Criterios[],2,FALSE),"")</f>
        <v/>
      </c>
      <c r="T21" s="245" t="str">
        <f t="shared" ref="T21" si="13">IF(S21="","",IF(S21="Leve",0.2,IF(S21="Menor",0.4,IF(S21="Moderado",0.6,IF(S21="Mayor",0.8,IF(S21="Catastrófico",1,))))))</f>
        <v/>
      </c>
      <c r="U21" s="241" t="str">
        <f>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
      </c>
      <c r="V21" s="199">
        <v>1</v>
      </c>
      <c r="W21" s="179"/>
      <c r="X21" s="180"/>
      <c r="Y21" s="200" t="str">
        <f t="shared" si="1"/>
        <v/>
      </c>
      <c r="Z21" s="201"/>
      <c r="AA21" s="201"/>
      <c r="AB21" s="202" t="str">
        <f t="shared" si="2"/>
        <v/>
      </c>
      <c r="AC21" s="201"/>
      <c r="AD21" s="201"/>
      <c r="AE21" s="214"/>
      <c r="AF21" s="175"/>
      <c r="AG21" s="203" t="str">
        <f>IFERROR(IF(Y21="Probabilidad",(Q21-(+ Q21*AB21)),IF(Y21="Impacto",Q21,"")),"")</f>
        <v/>
      </c>
      <c r="AH21" s="204" t="str">
        <f t="shared" si="3"/>
        <v/>
      </c>
      <c r="AI21" s="202" t="str">
        <f t="shared" si="4"/>
        <v/>
      </c>
      <c r="AJ21" s="204" t="str">
        <f t="shared" si="5"/>
        <v/>
      </c>
      <c r="AK21" s="202" t="str">
        <f>IFERROR(IF(Y21="Impacto",(T21-(+T21*AB21)),IF(Y21="Probabilidad",T21,"")),"")</f>
        <v/>
      </c>
      <c r="AL21" s="204" t="str">
        <f t="shared" si="6"/>
        <v/>
      </c>
      <c r="AM21" s="243" t="s">
        <v>125</v>
      </c>
      <c r="AN21" s="199">
        <v>1</v>
      </c>
      <c r="AO21" s="239"/>
      <c r="AP21" s="237"/>
      <c r="AQ21" s="237"/>
      <c r="AR21" s="237"/>
      <c r="AS21" s="235"/>
      <c r="AT21" s="205"/>
      <c r="AU21" s="205"/>
      <c r="AV21" s="205"/>
      <c r="AW21" s="205"/>
      <c r="AX21" s="205"/>
      <c r="AY21" s="205"/>
      <c r="AZ21" s="229"/>
      <c r="BA21" s="215"/>
      <c r="BB21" s="215"/>
      <c r="BC21" s="232"/>
      <c r="BD21" s="216"/>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c r="CD21" s="217"/>
    </row>
    <row r="22" spans="4:82" s="218" customFormat="1" ht="39.75" customHeight="1">
      <c r="D22" s="252"/>
      <c r="E22" s="250"/>
      <c r="F22" s="250"/>
      <c r="G22" s="250"/>
      <c r="H22" s="250"/>
      <c r="I22" s="240"/>
      <c r="J22" s="240"/>
      <c r="K22" s="240"/>
      <c r="L22" s="240"/>
      <c r="M22" s="240"/>
      <c r="N22" s="240"/>
      <c r="O22" s="240"/>
      <c r="P22" s="242"/>
      <c r="Q22" s="246"/>
      <c r="R22" s="248"/>
      <c r="S22" s="242"/>
      <c r="T22" s="246"/>
      <c r="U22" s="242"/>
      <c r="V22" s="211">
        <v>2</v>
      </c>
      <c r="W22" s="179"/>
      <c r="X22" s="180"/>
      <c r="Y22" s="200" t="str">
        <f t="shared" si="1"/>
        <v/>
      </c>
      <c r="Z22" s="201"/>
      <c r="AA22" s="201"/>
      <c r="AB22" s="202" t="str">
        <f t="shared" si="2"/>
        <v/>
      </c>
      <c r="AC22" s="201"/>
      <c r="AD22" s="201"/>
      <c r="AE22" s="214"/>
      <c r="AF22" s="175"/>
      <c r="AG22" s="203" t="str">
        <f>IFERROR(IF(Y22="Probabilidad",(Q21-(+ Q22*AB22)),IF(Y22="Impacto",Q22,"")),"")</f>
        <v/>
      </c>
      <c r="AH22" s="204" t="str">
        <f t="shared" si="3"/>
        <v/>
      </c>
      <c r="AI22" s="202" t="str">
        <f t="shared" si="4"/>
        <v/>
      </c>
      <c r="AJ22" s="204" t="str">
        <f t="shared" si="5"/>
        <v/>
      </c>
      <c r="AK22" s="202" t="str">
        <f t="shared" ref="AK22:AK30" si="14">IFERROR(IF(Y22="Impacto",(T21-(+T21*AB22)),IF(Y22="Probabilidad",T21,"")),"")</f>
        <v/>
      </c>
      <c r="AL22" s="204" t="str">
        <f t="shared" si="6"/>
        <v/>
      </c>
      <c r="AM22" s="244"/>
      <c r="AN22" s="211">
        <v>2</v>
      </c>
      <c r="AO22" s="240"/>
      <c r="AP22" s="238"/>
      <c r="AQ22" s="238"/>
      <c r="AR22" s="238"/>
      <c r="AS22" s="235"/>
      <c r="AT22" s="205"/>
      <c r="AU22" s="205"/>
      <c r="AV22" s="205"/>
      <c r="AW22" s="205"/>
      <c r="AX22" s="205"/>
      <c r="AY22" s="205"/>
      <c r="AZ22" s="229"/>
      <c r="BA22" s="215"/>
      <c r="BB22" s="215"/>
      <c r="BC22" s="232"/>
      <c r="BD22" s="216"/>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c r="CD22" s="217"/>
    </row>
    <row r="23" spans="4:82" s="218" customFormat="1" ht="39.75" customHeight="1">
      <c r="D23" s="253">
        <v>6</v>
      </c>
      <c r="E23" s="249"/>
      <c r="F23" s="249"/>
      <c r="G23" s="249"/>
      <c r="H23" s="249"/>
      <c r="I23" s="239"/>
      <c r="J23" s="239"/>
      <c r="K23" s="239"/>
      <c r="L23" s="239"/>
      <c r="M23" s="239"/>
      <c r="N23" s="239"/>
      <c r="O23" s="239"/>
      <c r="P23" s="241" t="str">
        <f t="shared" si="11"/>
        <v/>
      </c>
      <c r="Q23" s="245" t="str">
        <f t="shared" ref="Q23" si="15">IF(P23="","",IF(P23="Muy Baja",0.2,IF(P23="Baja",0.4,IF(P23="Media",0.6,IF(P23="Alta",0.8,IF(P23="Muy Alta",1,))))))</f>
        <v/>
      </c>
      <c r="R23" s="247"/>
      <c r="S23" s="241" t="str">
        <f>IFERROR(VLOOKUP(R23,Criterios[],2,FALSE),"")</f>
        <v/>
      </c>
      <c r="T23" s="245" t="str">
        <f t="shared" ref="T23" si="16">IF(S23="","",IF(S23="Leve",0.2,IF(S23="Menor",0.4,IF(S23="Moderado",0.6,IF(S23="Mayor",0.8,IF(S23="Catastrófico",1,))))))</f>
        <v/>
      </c>
      <c r="U23" s="241" t="str">
        <f>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
      </c>
      <c r="V23" s="199">
        <v>1</v>
      </c>
      <c r="W23" s="179"/>
      <c r="X23" s="180"/>
      <c r="Y23" s="200" t="str">
        <f t="shared" si="1"/>
        <v/>
      </c>
      <c r="Z23" s="201"/>
      <c r="AA23" s="201"/>
      <c r="AB23" s="202" t="str">
        <f t="shared" si="2"/>
        <v/>
      </c>
      <c r="AC23" s="201"/>
      <c r="AD23" s="201"/>
      <c r="AE23" s="214"/>
      <c r="AF23" s="175"/>
      <c r="AG23" s="203" t="str">
        <f>IFERROR(IF(Y23="Probabilidad",(Q23-(+Q23*AB23)),IF(Y23="Impacto",Q23,"")),"")</f>
        <v/>
      </c>
      <c r="AH23" s="204" t="str">
        <f t="shared" si="3"/>
        <v/>
      </c>
      <c r="AI23" s="202" t="str">
        <f t="shared" si="4"/>
        <v/>
      </c>
      <c r="AJ23" s="204" t="str">
        <f t="shared" si="5"/>
        <v/>
      </c>
      <c r="AK23" s="202" t="str">
        <f>IFERROR(IF(Y23="Impacto",(T23-(+T23*AB23)),IF(Y23="Probabilidad",T23,"")),"")</f>
        <v/>
      </c>
      <c r="AL23" s="204" t="str">
        <f t="shared" si="6"/>
        <v/>
      </c>
      <c r="AM23" s="243" t="s">
        <v>125</v>
      </c>
      <c r="AN23" s="199">
        <v>1</v>
      </c>
      <c r="AO23" s="239"/>
      <c r="AP23" s="237"/>
      <c r="AQ23" s="237"/>
      <c r="AR23" s="237"/>
      <c r="AS23" s="235"/>
      <c r="AT23" s="205"/>
      <c r="AU23" s="205"/>
      <c r="AV23" s="205"/>
      <c r="AW23" s="205"/>
      <c r="AX23" s="205"/>
      <c r="AY23" s="205"/>
      <c r="AZ23" s="229"/>
      <c r="BA23" s="215"/>
      <c r="BB23" s="215"/>
      <c r="BC23" s="232"/>
      <c r="BD23" s="216"/>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17"/>
      <c r="CA23" s="217"/>
      <c r="CB23" s="217"/>
      <c r="CC23" s="217"/>
      <c r="CD23" s="217"/>
    </row>
    <row r="24" spans="4:82" s="218" customFormat="1" ht="39.75" customHeight="1">
      <c r="D24" s="254"/>
      <c r="E24" s="250"/>
      <c r="F24" s="250"/>
      <c r="G24" s="250"/>
      <c r="H24" s="250"/>
      <c r="I24" s="240"/>
      <c r="J24" s="240"/>
      <c r="K24" s="240"/>
      <c r="L24" s="240"/>
      <c r="M24" s="240"/>
      <c r="N24" s="240"/>
      <c r="O24" s="240"/>
      <c r="P24" s="242"/>
      <c r="Q24" s="246"/>
      <c r="R24" s="248"/>
      <c r="S24" s="242"/>
      <c r="T24" s="246"/>
      <c r="U24" s="242"/>
      <c r="V24" s="211">
        <v>2</v>
      </c>
      <c r="W24" s="179"/>
      <c r="X24" s="180"/>
      <c r="Y24" s="200" t="str">
        <f t="shared" si="1"/>
        <v/>
      </c>
      <c r="Z24" s="201"/>
      <c r="AA24" s="201"/>
      <c r="AB24" s="202" t="str">
        <f t="shared" si="2"/>
        <v/>
      </c>
      <c r="AC24" s="201"/>
      <c r="AD24" s="201"/>
      <c r="AE24" s="214"/>
      <c r="AF24" s="175"/>
      <c r="AG24" s="203" t="str">
        <f>IFERROR(IF(Y24="Probabilidad",(Q23-(+Q24*AB24)),IF(Y24="Impacto",Q24,"")),"")</f>
        <v/>
      </c>
      <c r="AH24" s="204" t="str">
        <f t="shared" si="3"/>
        <v/>
      </c>
      <c r="AI24" s="202" t="str">
        <f t="shared" si="4"/>
        <v/>
      </c>
      <c r="AJ24" s="204" t="str">
        <f t="shared" si="5"/>
        <v/>
      </c>
      <c r="AK24" s="202" t="str">
        <f t="shared" si="14"/>
        <v/>
      </c>
      <c r="AL24" s="204" t="str">
        <f t="shared" si="6"/>
        <v/>
      </c>
      <c r="AM24" s="244"/>
      <c r="AN24" s="211">
        <v>2</v>
      </c>
      <c r="AO24" s="240"/>
      <c r="AP24" s="238"/>
      <c r="AQ24" s="238"/>
      <c r="AR24" s="238"/>
      <c r="AS24" s="235"/>
      <c r="AT24" s="205"/>
      <c r="AU24" s="205"/>
      <c r="AV24" s="205"/>
      <c r="AW24" s="205"/>
      <c r="AX24" s="205"/>
      <c r="AY24" s="205"/>
      <c r="AZ24" s="229"/>
      <c r="BA24" s="215"/>
      <c r="BB24" s="215"/>
      <c r="BC24" s="232"/>
      <c r="BD24" s="216"/>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row>
    <row r="25" spans="4:82" s="218" customFormat="1" ht="39.75" customHeight="1">
      <c r="D25" s="253">
        <v>7</v>
      </c>
      <c r="E25" s="249"/>
      <c r="F25" s="249"/>
      <c r="G25" s="249"/>
      <c r="H25" s="249"/>
      <c r="I25" s="239"/>
      <c r="J25" s="239"/>
      <c r="K25" s="239"/>
      <c r="L25" s="239"/>
      <c r="M25" s="239"/>
      <c r="N25" s="239"/>
      <c r="O25" s="239"/>
      <c r="P25" s="241" t="str">
        <f t="shared" si="11"/>
        <v/>
      </c>
      <c r="Q25" s="245" t="str">
        <f t="shared" ref="Q25" si="17">IF(P25="","",IF(P25="Muy Baja",0.2,IF(P25="Baja",0.4,IF(P25="Media",0.6,IF(P25="Alta",0.8,IF(P25="Muy Alta",1,))))))</f>
        <v/>
      </c>
      <c r="R25" s="247"/>
      <c r="S25" s="241" t="str">
        <f>IFERROR(VLOOKUP(R25,Criterios[],2,FALSE),"")</f>
        <v/>
      </c>
      <c r="T25" s="245" t="str">
        <f t="shared" ref="T25" si="18">IF(S25="","",IF(S25="Leve",0.2,IF(S25="Menor",0.4,IF(S25="Moderado",0.6,IF(S25="Mayor",0.8,IF(S25="Catastrófico",1,))))))</f>
        <v/>
      </c>
      <c r="U25" s="241" t="str">
        <f>IF(OR(AND(P25="Muy Baja",S25="Leve"),AND(P25="Muy Baja",S25="Menor"),AND(P25="Baja",S25="Leve")),"Bajo",IF(OR(AND(P25="Muy baja",S25="Moderado"),AND(P25="Baja",S25="Menor"),AND(P25="Baja",S25="Moderado"),AND(P25="Media",S25="Leve"),AND(P25="Media",S25="Menor"),AND(P25="Media",S25="Moderado"),AND(P25="Alta",S25="Leve"),AND(P25="Alta",S25="Menor")),"Moderado",IF(OR(AND(P25="Muy Baja",S25="Mayor"),AND(P25="Baja",S25="Mayor"),AND(P25="Media",S25="Mayor"),AND(P25="Alta",S25="Moderado"),AND(P25="Alta",S25="Mayor"),AND(P25="Muy Alta",S25="Leve"),AND(P25="Muy Alta",S25="Menor"),AND(P25="Muy Alta",S25="Moderado"),AND(P25="Muy Alta",S25="Mayor")),"Alto",IF(OR(AND(P25="Muy Baja",S25="Catastrófico"),AND(P25="Baja",S25="Catastrófico"),AND(P25="Media",S25="Catastrófico"),AND(P25="Alta",S25="Catastrófico"),AND(P25="Muy Alta",S25="Catastrófico")),"Extremo",""))))</f>
        <v/>
      </c>
      <c r="V25" s="199">
        <v>1</v>
      </c>
      <c r="W25" s="179"/>
      <c r="X25" s="180"/>
      <c r="Y25" s="200" t="str">
        <f t="shared" si="1"/>
        <v/>
      </c>
      <c r="Z25" s="201"/>
      <c r="AA25" s="201"/>
      <c r="AB25" s="202" t="str">
        <f t="shared" si="2"/>
        <v/>
      </c>
      <c r="AC25" s="201"/>
      <c r="AD25" s="201"/>
      <c r="AE25" s="214"/>
      <c r="AF25" s="175"/>
      <c r="AG25" s="203" t="str">
        <f>IFERROR(IF(Y25="Probabilidad",(Q25-(+Q25*AB25)),IF(Y25="Impacto",Q25,"")),"")</f>
        <v/>
      </c>
      <c r="AH25" s="204" t="str">
        <f t="shared" si="3"/>
        <v/>
      </c>
      <c r="AI25" s="202" t="str">
        <f t="shared" si="4"/>
        <v/>
      </c>
      <c r="AJ25" s="204" t="str">
        <f t="shared" si="5"/>
        <v/>
      </c>
      <c r="AK25" s="202" t="str">
        <f>IFERROR(IF(Y25="Impacto",(T25-(+T25*AB25)),IF(Y25="Probabilidad",T25,"")),"")</f>
        <v/>
      </c>
      <c r="AL25" s="204" t="str">
        <f t="shared" si="6"/>
        <v/>
      </c>
      <c r="AM25" s="243" t="s">
        <v>125</v>
      </c>
      <c r="AN25" s="199">
        <v>1</v>
      </c>
      <c r="AO25" s="239"/>
      <c r="AP25" s="237"/>
      <c r="AQ25" s="237"/>
      <c r="AR25" s="237"/>
      <c r="AS25" s="235"/>
      <c r="AT25" s="205"/>
      <c r="AU25" s="205"/>
      <c r="AV25" s="205"/>
      <c r="AW25" s="205"/>
      <c r="AX25" s="205"/>
      <c r="AY25" s="205"/>
      <c r="AZ25" s="229"/>
      <c r="BA25" s="215"/>
      <c r="BB25" s="215"/>
      <c r="BC25" s="232"/>
      <c r="BD25" s="216"/>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217"/>
      <c r="CD25" s="217"/>
    </row>
    <row r="26" spans="4:82" s="218" customFormat="1" ht="39.75" customHeight="1">
      <c r="D26" s="254"/>
      <c r="E26" s="250"/>
      <c r="F26" s="250"/>
      <c r="G26" s="250"/>
      <c r="H26" s="250"/>
      <c r="I26" s="240"/>
      <c r="J26" s="240"/>
      <c r="K26" s="240"/>
      <c r="L26" s="240"/>
      <c r="M26" s="240"/>
      <c r="N26" s="240"/>
      <c r="O26" s="240"/>
      <c r="P26" s="242"/>
      <c r="Q26" s="246"/>
      <c r="R26" s="248"/>
      <c r="S26" s="242"/>
      <c r="T26" s="246"/>
      <c r="U26" s="242"/>
      <c r="V26" s="211">
        <v>2</v>
      </c>
      <c r="W26" s="179"/>
      <c r="X26" s="180"/>
      <c r="Y26" s="200" t="str">
        <f t="shared" si="1"/>
        <v/>
      </c>
      <c r="Z26" s="201"/>
      <c r="AA26" s="201"/>
      <c r="AB26" s="202" t="str">
        <f t="shared" si="2"/>
        <v/>
      </c>
      <c r="AC26" s="201"/>
      <c r="AD26" s="201"/>
      <c r="AE26" s="214"/>
      <c r="AF26" s="175"/>
      <c r="AG26" s="203" t="str">
        <f>IFERROR(IF(Y26="Probabilidad",(Q25-(+Q26*AB26)),IF(Y26="Impacto",Q26,"")),"")</f>
        <v/>
      </c>
      <c r="AH26" s="204" t="str">
        <f t="shared" si="3"/>
        <v/>
      </c>
      <c r="AI26" s="202" t="str">
        <f t="shared" si="4"/>
        <v/>
      </c>
      <c r="AJ26" s="204" t="str">
        <f t="shared" si="5"/>
        <v/>
      </c>
      <c r="AK26" s="202" t="str">
        <f t="shared" si="14"/>
        <v/>
      </c>
      <c r="AL26" s="204" t="str">
        <f t="shared" si="6"/>
        <v/>
      </c>
      <c r="AM26" s="244"/>
      <c r="AN26" s="211">
        <v>2</v>
      </c>
      <c r="AO26" s="240"/>
      <c r="AP26" s="238"/>
      <c r="AQ26" s="238"/>
      <c r="AR26" s="238"/>
      <c r="AS26" s="235"/>
      <c r="AT26" s="205"/>
      <c r="AU26" s="205"/>
      <c r="AV26" s="205"/>
      <c r="AW26" s="205"/>
      <c r="AX26" s="205"/>
      <c r="AY26" s="205"/>
      <c r="AZ26" s="229"/>
      <c r="BA26" s="215"/>
      <c r="BB26" s="215"/>
      <c r="BC26" s="232"/>
      <c r="BD26" s="216"/>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c r="CD26" s="217"/>
    </row>
    <row r="27" spans="4:82" s="218" customFormat="1" ht="39.75" customHeight="1">
      <c r="D27" s="255">
        <v>8</v>
      </c>
      <c r="E27" s="249"/>
      <c r="F27" s="249"/>
      <c r="G27" s="249"/>
      <c r="H27" s="249"/>
      <c r="I27" s="239"/>
      <c r="J27" s="239"/>
      <c r="K27" s="239"/>
      <c r="L27" s="239"/>
      <c r="M27" s="239"/>
      <c r="N27" s="239"/>
      <c r="O27" s="239"/>
      <c r="P27" s="241" t="str">
        <f t="shared" si="11"/>
        <v/>
      </c>
      <c r="Q27" s="245" t="str">
        <f t="shared" ref="Q27" si="19">IF(P27="","",IF(P27="Muy Baja",0.2,IF(P27="Baja",0.4,IF(P27="Media",0.6,IF(P27="Alta",0.8,IF(P27="Muy Alta",1,))))))</f>
        <v/>
      </c>
      <c r="R27" s="247"/>
      <c r="S27" s="241" t="str">
        <f>IFERROR(VLOOKUP(R27,Criterios[],2,FALSE),"")</f>
        <v/>
      </c>
      <c r="T27" s="245" t="str">
        <f t="shared" ref="T27" si="20">IF(S27="","",IF(S27="Leve",0.2,IF(S27="Menor",0.4,IF(S27="Moderado",0.6,IF(S27="Mayor",0.8,IF(S27="Catastrófico",1,))))))</f>
        <v/>
      </c>
      <c r="U27" s="241" t="str">
        <f>IF(OR(AND(P27="Muy Baja",S27="Leve"),AND(P27="Muy Baja",S27="Menor"),AND(P27="Baja",S27="Leve")),"Bajo",IF(OR(AND(P27="Muy baja",S27="Moderado"),AND(P27="Baja",S27="Menor"),AND(P27="Baja",S27="Moderado"),AND(P27="Media",S27="Leve"),AND(P27="Media",S27="Menor"),AND(P27="Media",S27="Moderado"),AND(P27="Alta",S27="Leve"),AND(P27="Alta",S27="Menor")),"Moderado",IF(OR(AND(P27="Muy Baja",S27="Mayor"),AND(P27="Baja",S27="Mayor"),AND(P27="Media",S27="Mayor"),AND(P27="Alta",S27="Moderado"),AND(P27="Alta",S27="Mayor"),AND(P27="Muy Alta",S27="Leve"),AND(P27="Muy Alta",S27="Menor"),AND(P27="Muy Alta",S27="Moderado"),AND(P27="Muy Alta",S27="Mayor")),"Alto",IF(OR(AND(P27="Muy Baja",S27="Catastrófico"),AND(P27="Baja",S27="Catastrófico"),AND(P27="Media",S27="Catastrófico"),AND(P27="Alta",S27="Catastrófico"),AND(P27="Muy Alta",S27="Catastrófico")),"Extremo",""))))</f>
        <v/>
      </c>
      <c r="V27" s="199">
        <v>1</v>
      </c>
      <c r="W27" s="179"/>
      <c r="X27" s="180"/>
      <c r="Y27" s="200" t="str">
        <f t="shared" si="1"/>
        <v/>
      </c>
      <c r="Z27" s="201"/>
      <c r="AA27" s="201"/>
      <c r="AB27" s="202" t="str">
        <f t="shared" si="2"/>
        <v/>
      </c>
      <c r="AC27" s="201"/>
      <c r="AD27" s="201"/>
      <c r="AE27" s="214"/>
      <c r="AF27" s="175"/>
      <c r="AG27" s="203" t="str">
        <f>IFERROR(IF(Y27="Probabilidad",(Q27-(+Q27*AB27)),IF(Y27="Impacto",Q27,"")),"")</f>
        <v/>
      </c>
      <c r="AH27" s="204" t="str">
        <f t="shared" si="3"/>
        <v/>
      </c>
      <c r="AI27" s="202" t="str">
        <f t="shared" si="4"/>
        <v/>
      </c>
      <c r="AJ27" s="204" t="str">
        <f t="shared" si="5"/>
        <v/>
      </c>
      <c r="AK27" s="202" t="str">
        <f>IFERROR(IF(Y27="Impacto",(T27-(+T27*AB27)),IF(Y27="Probabilidad",T27,"")),"")</f>
        <v/>
      </c>
      <c r="AL27" s="204" t="str">
        <f t="shared" si="6"/>
        <v/>
      </c>
      <c r="AM27" s="243" t="s">
        <v>125</v>
      </c>
      <c r="AN27" s="199">
        <v>1</v>
      </c>
      <c r="AO27" s="239"/>
      <c r="AP27" s="237"/>
      <c r="AQ27" s="237"/>
      <c r="AR27" s="237"/>
      <c r="AS27" s="235"/>
      <c r="AT27" s="205"/>
      <c r="AU27" s="205"/>
      <c r="AV27" s="205"/>
      <c r="AW27" s="205"/>
      <c r="AX27" s="205"/>
      <c r="AY27" s="205"/>
      <c r="AZ27" s="229"/>
      <c r="BA27" s="215"/>
      <c r="BB27" s="215"/>
      <c r="BC27" s="232"/>
      <c r="BD27" s="216"/>
      <c r="BE27" s="217"/>
      <c r="BF27" s="217"/>
      <c r="BG27" s="217"/>
      <c r="BH27" s="217"/>
      <c r="BI27" s="217"/>
      <c r="BJ27" s="217"/>
      <c r="BK27" s="217"/>
      <c r="BL27" s="217"/>
      <c r="BM27" s="217"/>
      <c r="BN27" s="217"/>
      <c r="BO27" s="217"/>
      <c r="BP27" s="217"/>
      <c r="BQ27" s="217"/>
      <c r="BR27" s="217"/>
      <c r="BS27" s="217"/>
      <c r="BT27" s="217"/>
      <c r="BU27" s="217"/>
      <c r="BV27" s="217"/>
      <c r="BW27" s="217"/>
      <c r="BX27" s="217"/>
      <c r="BY27" s="217"/>
      <c r="BZ27" s="217"/>
      <c r="CA27" s="217"/>
      <c r="CB27" s="217"/>
      <c r="CC27" s="217"/>
      <c r="CD27" s="217"/>
    </row>
    <row r="28" spans="4:82" s="218" customFormat="1" ht="39.75" customHeight="1">
      <c r="D28" s="256"/>
      <c r="E28" s="250"/>
      <c r="F28" s="250"/>
      <c r="G28" s="250"/>
      <c r="H28" s="250"/>
      <c r="I28" s="240"/>
      <c r="J28" s="240"/>
      <c r="K28" s="240"/>
      <c r="L28" s="240"/>
      <c r="M28" s="240"/>
      <c r="N28" s="240"/>
      <c r="O28" s="240"/>
      <c r="P28" s="242"/>
      <c r="Q28" s="246"/>
      <c r="R28" s="248"/>
      <c r="S28" s="242"/>
      <c r="T28" s="246"/>
      <c r="U28" s="242"/>
      <c r="V28" s="211">
        <v>2</v>
      </c>
      <c r="W28" s="179"/>
      <c r="X28" s="180"/>
      <c r="Y28" s="200" t="str">
        <f t="shared" si="1"/>
        <v/>
      </c>
      <c r="Z28" s="201"/>
      <c r="AA28" s="201"/>
      <c r="AB28" s="202" t="str">
        <f t="shared" si="2"/>
        <v/>
      </c>
      <c r="AC28" s="201"/>
      <c r="AD28" s="201"/>
      <c r="AE28" s="214"/>
      <c r="AF28" s="175"/>
      <c r="AG28" s="203" t="str">
        <f>IFERROR(IF(Y28="Probabilidad",(Q27-(+Q28*AB28)),IF(Y28="Impacto",Q28,"")),"")</f>
        <v/>
      </c>
      <c r="AH28" s="204" t="str">
        <f t="shared" si="3"/>
        <v/>
      </c>
      <c r="AI28" s="202" t="str">
        <f t="shared" si="4"/>
        <v/>
      </c>
      <c r="AJ28" s="204" t="str">
        <f t="shared" si="5"/>
        <v/>
      </c>
      <c r="AK28" s="202" t="str">
        <f t="shared" si="14"/>
        <v/>
      </c>
      <c r="AL28" s="204" t="str">
        <f t="shared" si="6"/>
        <v/>
      </c>
      <c r="AM28" s="244"/>
      <c r="AN28" s="211">
        <v>2</v>
      </c>
      <c r="AO28" s="240"/>
      <c r="AP28" s="238"/>
      <c r="AQ28" s="238"/>
      <c r="AR28" s="238"/>
      <c r="AS28" s="235"/>
      <c r="AT28" s="205"/>
      <c r="AU28" s="205"/>
      <c r="AV28" s="205"/>
      <c r="AW28" s="205"/>
      <c r="AX28" s="205"/>
      <c r="AY28" s="205"/>
      <c r="AZ28" s="229"/>
      <c r="BA28" s="215"/>
      <c r="BB28" s="215"/>
      <c r="BC28" s="232"/>
      <c r="BD28" s="216"/>
      <c r="BE28" s="217"/>
      <c r="BF28" s="217"/>
      <c r="BG28" s="217"/>
      <c r="BH28" s="217"/>
      <c r="BI28" s="217"/>
      <c r="BJ28" s="217"/>
      <c r="BK28" s="217"/>
      <c r="BL28" s="217"/>
      <c r="BM28" s="217"/>
      <c r="BN28" s="217"/>
      <c r="BO28" s="217"/>
      <c r="BP28" s="217"/>
      <c r="BQ28" s="217"/>
      <c r="BR28" s="217"/>
      <c r="BS28" s="217"/>
      <c r="BT28" s="217"/>
      <c r="BU28" s="217"/>
      <c r="BV28" s="217"/>
      <c r="BW28" s="217"/>
      <c r="BX28" s="217"/>
      <c r="BY28" s="217"/>
      <c r="BZ28" s="217"/>
      <c r="CA28" s="217"/>
      <c r="CB28" s="217"/>
      <c r="CC28" s="217"/>
      <c r="CD28" s="217"/>
    </row>
    <row r="29" spans="4:82" s="218" customFormat="1" ht="39.75" customHeight="1">
      <c r="D29" s="251">
        <v>9</v>
      </c>
      <c r="E29" s="249"/>
      <c r="F29" s="249"/>
      <c r="G29" s="249"/>
      <c r="H29" s="249"/>
      <c r="I29" s="239"/>
      <c r="J29" s="239"/>
      <c r="K29" s="239"/>
      <c r="L29" s="239"/>
      <c r="M29" s="239"/>
      <c r="N29" s="239"/>
      <c r="O29" s="239"/>
      <c r="P29" s="241" t="str">
        <f t="shared" si="11"/>
        <v/>
      </c>
      <c r="Q29" s="245" t="str">
        <f t="shared" ref="Q29" si="21">IF(P29="","",IF(P29="Muy Baja",0.2,IF(P29="Baja",0.4,IF(P29="Media",0.6,IF(P29="Alta",0.8,IF(P29="Muy Alta",1,))))))</f>
        <v/>
      </c>
      <c r="R29" s="247"/>
      <c r="S29" s="241" t="str">
        <f>IFERROR(VLOOKUP(R29,Criterios[],2,FALSE),"")</f>
        <v/>
      </c>
      <c r="T29" s="245" t="str">
        <f t="shared" ref="T29" si="22">IF(S29="","",IF(S29="Leve",0.2,IF(S29="Menor",0.4,IF(S29="Moderado",0.6,IF(S29="Mayor",0.8,IF(S29="Catastrófico",1,))))))</f>
        <v/>
      </c>
      <c r="U29" s="241" t="str">
        <f>IF(OR(AND(P29="Muy Baja",S29="Leve"),AND(P29="Muy Baja",S29="Menor"),AND(P29="Baja",S29="Leve")),"Bajo",IF(OR(AND(P29="Muy baja",S29="Moderado"),AND(P29="Baja",S29="Menor"),AND(P29="Baja",S29="Moderado"),AND(P29="Media",S29="Leve"),AND(P29="Media",S29="Menor"),AND(P29="Media",S29="Moderado"),AND(P29="Alta",S29="Leve"),AND(P29="Alta",S29="Menor")),"Moderado",IF(OR(AND(P29="Muy Baja",S29="Mayor"),AND(P29="Baja",S29="Mayor"),AND(P29="Media",S29="Mayor"),AND(P29="Alta",S29="Moderado"),AND(P29="Alta",S29="Mayor"),AND(P29="Muy Alta",S29="Leve"),AND(P29="Muy Alta",S29="Menor"),AND(P29="Muy Alta",S29="Moderado"),AND(P29="Muy Alta",S29="Mayor")),"Alto",IF(OR(AND(P29="Muy Baja",S29="Catastrófico"),AND(P29="Baja",S29="Catastrófico"),AND(P29="Media",S29="Catastrófico"),AND(P29="Alta",S29="Catastrófico"),AND(P29="Muy Alta",S29="Catastrófico")),"Extremo",""))))</f>
        <v/>
      </c>
      <c r="V29" s="199">
        <v>1</v>
      </c>
      <c r="W29" s="179"/>
      <c r="X29" s="180"/>
      <c r="Y29" s="200" t="str">
        <f t="shared" si="1"/>
        <v/>
      </c>
      <c r="Z29" s="201"/>
      <c r="AA29" s="201"/>
      <c r="AB29" s="202" t="str">
        <f t="shared" si="2"/>
        <v/>
      </c>
      <c r="AC29" s="201"/>
      <c r="AD29" s="201"/>
      <c r="AE29" s="214"/>
      <c r="AF29" s="175"/>
      <c r="AG29" s="203" t="str">
        <f>IFERROR(IF(Y29="Probabilidad",(Q29-(+Q29*AB29)),IF(Y29="Impacto",Q29,"")),"")</f>
        <v/>
      </c>
      <c r="AH29" s="204" t="str">
        <f t="shared" si="3"/>
        <v/>
      </c>
      <c r="AI29" s="202" t="str">
        <f t="shared" si="4"/>
        <v/>
      </c>
      <c r="AJ29" s="204" t="str">
        <f t="shared" si="5"/>
        <v/>
      </c>
      <c r="AK29" s="202" t="str">
        <f>IFERROR(IF(Y29="Impacto",(T29-(+T29*AB29)),IF(Y29="Probabilidad",T29,"")),"")</f>
        <v/>
      </c>
      <c r="AL29" s="204" t="str">
        <f t="shared" si="6"/>
        <v/>
      </c>
      <c r="AM29" s="243" t="s">
        <v>125</v>
      </c>
      <c r="AN29" s="199">
        <v>1</v>
      </c>
      <c r="AO29" s="239"/>
      <c r="AP29" s="237"/>
      <c r="AQ29" s="237"/>
      <c r="AR29" s="237"/>
      <c r="AS29" s="235"/>
      <c r="AT29" s="205"/>
      <c r="AU29" s="205"/>
      <c r="AV29" s="205"/>
      <c r="AW29" s="205"/>
      <c r="AX29" s="205"/>
      <c r="AY29" s="205"/>
      <c r="AZ29" s="229"/>
      <c r="BA29" s="215"/>
      <c r="BB29" s="215"/>
      <c r="BC29" s="232"/>
      <c r="BD29" s="216"/>
      <c r="BE29" s="217"/>
      <c r="BF29" s="217"/>
      <c r="BG29" s="217"/>
      <c r="BH29" s="217"/>
      <c r="BI29" s="217"/>
      <c r="BJ29" s="217"/>
      <c r="BK29" s="217"/>
      <c r="BL29" s="217"/>
      <c r="BM29" s="217"/>
      <c r="BN29" s="217"/>
      <c r="BO29" s="217"/>
      <c r="BP29" s="217"/>
      <c r="BQ29" s="217"/>
      <c r="BR29" s="217"/>
      <c r="BS29" s="217"/>
      <c r="BT29" s="217"/>
      <c r="BU29" s="217"/>
      <c r="BV29" s="217"/>
      <c r="BW29" s="217"/>
      <c r="BX29" s="217"/>
      <c r="BY29" s="217"/>
      <c r="BZ29" s="217"/>
      <c r="CA29" s="217"/>
      <c r="CB29" s="217"/>
      <c r="CC29" s="217"/>
      <c r="CD29" s="217"/>
    </row>
    <row r="30" spans="4:82" s="218" customFormat="1" ht="39.75" customHeight="1">
      <c r="D30" s="252"/>
      <c r="E30" s="250"/>
      <c r="F30" s="250"/>
      <c r="G30" s="250"/>
      <c r="H30" s="250"/>
      <c r="I30" s="240"/>
      <c r="J30" s="240"/>
      <c r="K30" s="240"/>
      <c r="L30" s="240"/>
      <c r="M30" s="240"/>
      <c r="N30" s="240"/>
      <c r="O30" s="240"/>
      <c r="P30" s="242"/>
      <c r="Q30" s="246"/>
      <c r="R30" s="248"/>
      <c r="S30" s="242"/>
      <c r="T30" s="246"/>
      <c r="U30" s="242"/>
      <c r="V30" s="211">
        <v>2</v>
      </c>
      <c r="W30" s="179"/>
      <c r="X30" s="180"/>
      <c r="Y30" s="200" t="str">
        <f t="shared" si="1"/>
        <v/>
      </c>
      <c r="Z30" s="201"/>
      <c r="AA30" s="201"/>
      <c r="AB30" s="202" t="str">
        <f t="shared" si="2"/>
        <v/>
      </c>
      <c r="AC30" s="201"/>
      <c r="AD30" s="201"/>
      <c r="AE30" s="214"/>
      <c r="AF30" s="176"/>
      <c r="AG30" s="203" t="str">
        <f>IFERROR(IF(Y30="Probabilidad",(Q29-(+Q30*AB30)),IF(Y30="Impacto",Q30,"")),"")</f>
        <v/>
      </c>
      <c r="AH30" s="204" t="str">
        <f t="shared" si="3"/>
        <v/>
      </c>
      <c r="AI30" s="202" t="str">
        <f t="shared" si="4"/>
        <v/>
      </c>
      <c r="AJ30" s="204" t="str">
        <f t="shared" si="5"/>
        <v/>
      </c>
      <c r="AK30" s="202" t="str">
        <f t="shared" si="14"/>
        <v/>
      </c>
      <c r="AL30" s="204" t="str">
        <f t="shared" si="6"/>
        <v/>
      </c>
      <c r="AM30" s="244"/>
      <c r="AN30" s="211">
        <v>2</v>
      </c>
      <c r="AO30" s="240"/>
      <c r="AP30" s="238"/>
      <c r="AQ30" s="238"/>
      <c r="AR30" s="238"/>
      <c r="AS30" s="236"/>
      <c r="AT30" s="205"/>
      <c r="AU30" s="205"/>
      <c r="AV30" s="205"/>
      <c r="AW30" s="205"/>
      <c r="AX30" s="205"/>
      <c r="AY30" s="205"/>
      <c r="AZ30" s="230"/>
      <c r="BA30" s="215"/>
      <c r="BB30" s="215"/>
      <c r="BC30" s="233"/>
      <c r="BD30" s="216"/>
      <c r="BE30" s="217"/>
      <c r="BF30" s="217"/>
      <c r="BG30" s="217"/>
      <c r="BH30" s="217"/>
      <c r="BI30" s="217"/>
      <c r="BJ30" s="217"/>
      <c r="BK30" s="217"/>
      <c r="BL30" s="217"/>
      <c r="BM30" s="217"/>
      <c r="BN30" s="217"/>
      <c r="BO30" s="217"/>
      <c r="BP30" s="217"/>
      <c r="BQ30" s="217"/>
      <c r="BR30" s="217"/>
      <c r="BS30" s="217"/>
      <c r="BT30" s="217"/>
      <c r="BU30" s="217"/>
      <c r="BV30" s="217"/>
      <c r="BW30" s="217"/>
      <c r="BX30" s="217"/>
      <c r="BY30" s="217"/>
      <c r="BZ30" s="217"/>
      <c r="CA30" s="217"/>
      <c r="CB30" s="217"/>
      <c r="CC30" s="217"/>
      <c r="CD30" s="217"/>
    </row>
    <row r="31" spans="4:82" ht="49.5" customHeight="1">
      <c r="D31" s="219"/>
      <c r="E31" s="220"/>
      <c r="F31" s="220"/>
      <c r="G31" s="220"/>
      <c r="H31" s="220"/>
      <c r="I31" s="297" t="s">
        <v>159</v>
      </c>
      <c r="J31" s="297"/>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row>
    <row r="33" spans="4:60">
      <c r="D33" s="104"/>
      <c r="E33" s="105"/>
      <c r="F33" s="105"/>
      <c r="G33" s="105"/>
      <c r="H33" s="105"/>
      <c r="I33" s="105"/>
      <c r="J33" s="105"/>
      <c r="K33" s="105"/>
      <c r="L33" s="181"/>
      <c r="M33" s="181"/>
      <c r="N33" s="181"/>
      <c r="P33" s="221"/>
      <c r="Q33" s="105"/>
      <c r="R33" s="105"/>
      <c r="S33" s="105"/>
      <c r="T33" s="105"/>
      <c r="U33" s="105"/>
      <c r="V33" s="105"/>
      <c r="W33" s="105"/>
      <c r="X33" s="105"/>
      <c r="Y33" s="106"/>
      <c r="Z33" s="106"/>
      <c r="AA33" s="105"/>
      <c r="AB33" s="105"/>
      <c r="AC33" s="105"/>
      <c r="AD33" s="105"/>
      <c r="AE33" s="105"/>
      <c r="AF33" s="105"/>
      <c r="AG33" s="105"/>
      <c r="AH33" s="105"/>
      <c r="AI33" s="105"/>
      <c r="AJ33" s="105"/>
      <c r="AK33" s="105"/>
      <c r="AL33" s="105"/>
      <c r="AM33" s="107"/>
      <c r="AN33" s="107"/>
      <c r="AO33" s="107"/>
      <c r="AP33" s="105"/>
      <c r="AQ33" s="105"/>
      <c r="AR33" s="105"/>
      <c r="AS33" s="105"/>
      <c r="AT33" s="105"/>
      <c r="AU33" s="105"/>
      <c r="AV33" s="105"/>
      <c r="AW33" s="105"/>
      <c r="AX33" s="105"/>
      <c r="AY33" s="105"/>
      <c r="AZ33" s="105"/>
      <c r="BA33" s="105"/>
    </row>
    <row r="34" spans="4:60">
      <c r="D34" s="267" t="s">
        <v>160</v>
      </c>
      <c r="E34" s="267"/>
      <c r="F34" s="267"/>
      <c r="G34" s="267"/>
      <c r="H34" s="267"/>
      <c r="I34" s="267"/>
      <c r="J34" s="267"/>
      <c r="K34" s="267"/>
      <c r="L34" s="181"/>
      <c r="M34" s="181"/>
      <c r="N34" s="181"/>
      <c r="O34" s="263"/>
      <c r="P34" s="264"/>
      <c r="Q34" s="264"/>
      <c r="R34" s="265"/>
      <c r="S34" s="105"/>
      <c r="T34" s="105"/>
      <c r="U34" s="105"/>
      <c r="V34" s="105"/>
      <c r="W34" s="105"/>
      <c r="X34" s="107"/>
      <c r="Y34" s="106"/>
      <c r="Z34" s="106"/>
      <c r="AA34" s="105"/>
      <c r="AB34" s="106"/>
      <c r="AC34" s="106"/>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H34" s="181" t="s">
        <v>161</v>
      </c>
    </row>
    <row r="35" spans="4:60" ht="13.5" thickBot="1">
      <c r="D35" s="181"/>
      <c r="E35" s="181"/>
      <c r="F35" s="181"/>
      <c r="G35" s="181"/>
      <c r="H35" s="181"/>
      <c r="I35" s="181"/>
      <c r="J35" s="181"/>
      <c r="L35" s="181"/>
      <c r="M35" s="181"/>
      <c r="N35" s="181"/>
      <c r="P35" s="182" t="str">
        <f>+IFERROR(VLOOKUP(L35,$L$190:$P$194,3,FALSE)*VLOOKUP(O35,$O$190:$P$194,3,FALSE),"")</f>
        <v/>
      </c>
      <c r="Y35" s="182"/>
      <c r="Z35" s="222"/>
      <c r="AB35" s="222"/>
      <c r="AC35" s="222"/>
      <c r="AD35" s="223"/>
      <c r="AE35" s="223"/>
      <c r="AF35" s="223"/>
      <c r="AG35" s="223"/>
      <c r="AH35" s="223"/>
      <c r="AI35" s="182"/>
      <c r="AJ35" s="182"/>
      <c r="AK35" s="223"/>
      <c r="AL35" s="224"/>
      <c r="AQ35" s="223"/>
      <c r="AY35" s="223"/>
      <c r="AZ35" s="223"/>
      <c r="BH35" s="181" t="s">
        <v>162</v>
      </c>
    </row>
    <row r="36" spans="4:60" ht="17.649999999999999" customHeight="1" thickTop="1" thickBot="1">
      <c r="D36" s="262" t="s">
        <v>163</v>
      </c>
      <c r="E36" s="262"/>
      <c r="F36" s="262"/>
      <c r="G36" s="262"/>
      <c r="H36" s="262"/>
      <c r="I36" s="262"/>
      <c r="J36" s="262"/>
      <c r="K36" s="225" t="s">
        <v>164</v>
      </c>
      <c r="L36" s="262" t="s">
        <v>165</v>
      </c>
      <c r="M36" s="262"/>
      <c r="N36" s="262"/>
      <c r="O36" s="262"/>
      <c r="P36" s="262"/>
      <c r="Q36" s="262"/>
      <c r="R36" s="262"/>
      <c r="S36" s="266" t="s">
        <v>166</v>
      </c>
      <c r="T36" s="266"/>
      <c r="U36" s="266"/>
      <c r="V36" s="262" t="s">
        <v>167</v>
      </c>
      <c r="W36" s="262"/>
      <c r="X36" s="262"/>
      <c r="Y36" s="262"/>
      <c r="Z36" s="266">
        <v>1</v>
      </c>
      <c r="AA36" s="266"/>
      <c r="AB36" s="266"/>
      <c r="AC36" s="266"/>
      <c r="AD36" s="226"/>
      <c r="AE36" s="226"/>
      <c r="AF36" s="226"/>
      <c r="AG36" s="226"/>
      <c r="AH36" s="226"/>
      <c r="AI36" s="226"/>
      <c r="AJ36" s="226"/>
      <c r="AK36" s="226"/>
      <c r="AL36" s="226"/>
      <c r="AM36" s="226"/>
      <c r="AN36" s="226"/>
      <c r="AO36" s="226"/>
      <c r="AP36" s="226"/>
      <c r="AQ36" s="226"/>
      <c r="AR36" s="226"/>
      <c r="AS36" s="226"/>
      <c r="AT36" s="226"/>
      <c r="AU36" s="226"/>
      <c r="AV36" s="226"/>
      <c r="AW36" s="226"/>
      <c r="AX36" s="226"/>
      <c r="AY36" s="226"/>
      <c r="AZ36" s="226"/>
      <c r="BA36" s="227"/>
      <c r="BH36" s="181" t="s">
        <v>168</v>
      </c>
    </row>
    <row r="37" spans="4:60" ht="13.5" customHeight="1" thickTop="1">
      <c r="D37" s="298" t="s">
        <v>169</v>
      </c>
      <c r="E37" s="299"/>
      <c r="F37" s="299"/>
      <c r="G37" s="299"/>
      <c r="H37" s="299"/>
      <c r="I37" s="299"/>
      <c r="J37" s="299"/>
      <c r="K37" s="299"/>
      <c r="L37" s="299"/>
      <c r="M37" s="299"/>
      <c r="N37" s="299"/>
      <c r="O37" s="299"/>
      <c r="P37" s="299"/>
      <c r="Q37" s="299"/>
      <c r="R37" s="299"/>
      <c r="S37" s="299"/>
      <c r="T37" s="299"/>
      <c r="U37" s="299"/>
      <c r="V37" s="299"/>
      <c r="W37" s="299"/>
      <c r="X37" s="299"/>
      <c r="Y37" s="299"/>
      <c r="Z37" s="299"/>
      <c r="AA37" s="299"/>
      <c r="AB37" s="299"/>
      <c r="AC37" s="299"/>
      <c r="BH37" s="181" t="s">
        <v>170</v>
      </c>
    </row>
  </sheetData>
  <sheetProtection formatCells="0" formatColumns="0" formatRows="0" selectLockedCells="1"/>
  <protectedRanges>
    <protectedRange sqref="P1:P8 P10:P1048576" name="Rango1"/>
  </protectedRanges>
  <dataConsolidate/>
  <mergeCells count="261">
    <mergeCell ref="D37:AC37"/>
    <mergeCell ref="M13:N13"/>
    <mergeCell ref="AF12:AF14"/>
    <mergeCell ref="A11:C11"/>
    <mergeCell ref="F13:F14"/>
    <mergeCell ref="G13:G14"/>
    <mergeCell ref="AH13:AH14"/>
    <mergeCell ref="AI13:AI14"/>
    <mergeCell ref="O13:O14"/>
    <mergeCell ref="P13:P14"/>
    <mergeCell ref="Q13:Q14"/>
    <mergeCell ref="S13:S14"/>
    <mergeCell ref="T13:T14"/>
    <mergeCell ref="L15:L16"/>
    <mergeCell ref="M15:M16"/>
    <mergeCell ref="D15:D16"/>
    <mergeCell ref="E15:E16"/>
    <mergeCell ref="G21:G22"/>
    <mergeCell ref="H21:H22"/>
    <mergeCell ref="U15:U16"/>
    <mergeCell ref="BD13:BD14"/>
    <mergeCell ref="AZ13:AZ14"/>
    <mergeCell ref="AU13:AU14"/>
    <mergeCell ref="AV13:AV14"/>
    <mergeCell ref="AT13:AT14"/>
    <mergeCell ref="W13:W14"/>
    <mergeCell ref="H9:BD9"/>
    <mergeCell ref="V36:Y36"/>
    <mergeCell ref="Z36:AC36"/>
    <mergeCell ref="I31:AY31"/>
    <mergeCell ref="V13:V14"/>
    <mergeCell ref="D8:G8"/>
    <mergeCell ref="D9:G9"/>
    <mergeCell ref="H8:BD8"/>
    <mergeCell ref="D13:D14"/>
    <mergeCell ref="AZ11:BB12"/>
    <mergeCell ref="AM15:AM16"/>
    <mergeCell ref="BC11:BD12"/>
    <mergeCell ref="U13:U14"/>
    <mergeCell ref="AX13:AX14"/>
    <mergeCell ref="AR13:AR14"/>
    <mergeCell ref="AQ13:AQ14"/>
    <mergeCell ref="AP13:AP14"/>
    <mergeCell ref="AJ13:AJ14"/>
    <mergeCell ref="D11:AR11"/>
    <mergeCell ref="AS13:AS14"/>
    <mergeCell ref="BA13:BA14"/>
    <mergeCell ref="AW13:AW14"/>
    <mergeCell ref="AY13:AY14"/>
    <mergeCell ref="BC13:BC14"/>
    <mergeCell ref="E13:E14"/>
    <mergeCell ref="Y13:Y14"/>
    <mergeCell ref="H13:H14"/>
    <mergeCell ref="BB13:BB14"/>
    <mergeCell ref="N19:N20"/>
    <mergeCell ref="P19:P20"/>
    <mergeCell ref="R19:R20"/>
    <mergeCell ref="Q17:Q18"/>
    <mergeCell ref="Q19:Q20"/>
    <mergeCell ref="O19:O20"/>
    <mergeCell ref="AS11:AY12"/>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AO15:AO16"/>
    <mergeCell ref="AP15:AP16"/>
    <mergeCell ref="D36:J36"/>
    <mergeCell ref="O34:R34"/>
    <mergeCell ref="L36:R36"/>
    <mergeCell ref="S36:U36"/>
    <mergeCell ref="D34:K34"/>
    <mergeCell ref="I15:I16"/>
    <mergeCell ref="J15:J16"/>
    <mergeCell ref="K15:K16"/>
    <mergeCell ref="F15:F16"/>
    <mergeCell ref="E19:E20"/>
    <mergeCell ref="F19:F20"/>
    <mergeCell ref="G19:G20"/>
    <mergeCell ref="H19:H20"/>
    <mergeCell ref="F21:F22"/>
    <mergeCell ref="D19:D20"/>
    <mergeCell ref="N15:N16"/>
    <mergeCell ref="O15:O16"/>
    <mergeCell ref="P15:P16"/>
    <mergeCell ref="Q15:Q16"/>
    <mergeCell ref="R15:R16"/>
    <mergeCell ref="I19:I20"/>
    <mergeCell ref="J19:J20"/>
    <mergeCell ref="S15:S16"/>
    <mergeCell ref="T15:T16"/>
    <mergeCell ref="F29:F30"/>
    <mergeCell ref="G29:G30"/>
    <mergeCell ref="H29:H30"/>
    <mergeCell ref="AO13:AO14"/>
    <mergeCell ref="AG12:AM12"/>
    <mergeCell ref="Z13:AE13"/>
    <mergeCell ref="AO12:AR12"/>
    <mergeCell ref="R17:R18"/>
    <mergeCell ref="S17:S18"/>
    <mergeCell ref="U17:U18"/>
    <mergeCell ref="AN13:AN14"/>
    <mergeCell ref="G15:G16"/>
    <mergeCell ref="H15:H16"/>
    <mergeCell ref="AR15:AR16"/>
    <mergeCell ref="I21:I22"/>
    <mergeCell ref="I23:I24"/>
    <mergeCell ref="I25:I26"/>
    <mergeCell ref="I27:I28"/>
    <mergeCell ref="I29:I30"/>
    <mergeCell ref="J21:J22"/>
    <mergeCell ref="J23:J24"/>
    <mergeCell ref="J25:J26"/>
    <mergeCell ref="E17:E18"/>
    <mergeCell ref="D17:D18"/>
    <mergeCell ref="F17:F18"/>
    <mergeCell ref="G17:G18"/>
    <mergeCell ref="H17:H18"/>
    <mergeCell ref="J17:J18"/>
    <mergeCell ref="L17:L18"/>
    <mergeCell ref="N17:N18"/>
    <mergeCell ref="P17:P18"/>
    <mergeCell ref="I17:I18"/>
    <mergeCell ref="O17:O18"/>
    <mergeCell ref="E21:E22"/>
    <mergeCell ref="D21:D22"/>
    <mergeCell ref="D23:D24"/>
    <mergeCell ref="E23:E24"/>
    <mergeCell ref="F23:F24"/>
    <mergeCell ref="G23:G24"/>
    <mergeCell ref="H23:H24"/>
    <mergeCell ref="D29:D30"/>
    <mergeCell ref="E29:E30"/>
    <mergeCell ref="D25:D26"/>
    <mergeCell ref="E25:E26"/>
    <mergeCell ref="F25:F26"/>
    <mergeCell ref="G25:G26"/>
    <mergeCell ref="H25:H26"/>
    <mergeCell ref="D27:D28"/>
    <mergeCell ref="E27:E28"/>
    <mergeCell ref="F27:F28"/>
    <mergeCell ref="G27:G28"/>
    <mergeCell ref="H27:H28"/>
    <mergeCell ref="J27:J28"/>
    <mergeCell ref="J29:J30"/>
    <mergeCell ref="K17:K18"/>
    <mergeCell ref="K19:K20"/>
    <mergeCell ref="K21:K22"/>
    <mergeCell ref="K23:K24"/>
    <mergeCell ref="K25:K26"/>
    <mergeCell ref="K27:K28"/>
    <mergeCell ref="K29:K30"/>
    <mergeCell ref="L21:L22"/>
    <mergeCell ref="L23:L24"/>
    <mergeCell ref="L25:L26"/>
    <mergeCell ref="L27:L28"/>
    <mergeCell ref="L29:L30"/>
    <mergeCell ref="M17:M18"/>
    <mergeCell ref="M19:M20"/>
    <mergeCell ref="M21:M22"/>
    <mergeCell ref="M23:M24"/>
    <mergeCell ref="M25:M26"/>
    <mergeCell ref="M27:M28"/>
    <mergeCell ref="M29:M30"/>
    <mergeCell ref="L19:L20"/>
    <mergeCell ref="N21:N22"/>
    <mergeCell ref="N23:N24"/>
    <mergeCell ref="N25:N26"/>
    <mergeCell ref="N27:N28"/>
    <mergeCell ref="N29:N30"/>
    <mergeCell ref="O21:O22"/>
    <mergeCell ref="O23:O24"/>
    <mergeCell ref="O25:O26"/>
    <mergeCell ref="O27:O28"/>
    <mergeCell ref="O29:O30"/>
    <mergeCell ref="R21:R22"/>
    <mergeCell ref="R23:R24"/>
    <mergeCell ref="R25:R26"/>
    <mergeCell ref="R27:R28"/>
    <mergeCell ref="R29:R30"/>
    <mergeCell ref="P21:P22"/>
    <mergeCell ref="P23:P24"/>
    <mergeCell ref="P25:P26"/>
    <mergeCell ref="P27:P28"/>
    <mergeCell ref="P29:P30"/>
    <mergeCell ref="Q21:Q22"/>
    <mergeCell ref="Q23:Q24"/>
    <mergeCell ref="Q25:Q26"/>
    <mergeCell ref="Q27:Q28"/>
    <mergeCell ref="Q29:Q30"/>
    <mergeCell ref="S21:S22"/>
    <mergeCell ref="S23:S24"/>
    <mergeCell ref="S25:S26"/>
    <mergeCell ref="S27:S28"/>
    <mergeCell ref="S29:S30"/>
    <mergeCell ref="T17:T18"/>
    <mergeCell ref="T19:T20"/>
    <mergeCell ref="T21:T22"/>
    <mergeCell ref="T23:T24"/>
    <mergeCell ref="T25:T26"/>
    <mergeCell ref="T27:T28"/>
    <mergeCell ref="T29:T30"/>
    <mergeCell ref="S19:S20"/>
    <mergeCell ref="U19:U20"/>
    <mergeCell ref="U21:U22"/>
    <mergeCell ref="U23:U24"/>
    <mergeCell ref="U25:U26"/>
    <mergeCell ref="U27:U28"/>
    <mergeCell ref="U29:U30"/>
    <mergeCell ref="AM17:AM18"/>
    <mergeCell ref="AM19:AM20"/>
    <mergeCell ref="AM21:AM22"/>
    <mergeCell ref="AM23:AM24"/>
    <mergeCell ref="AM25:AM26"/>
    <mergeCell ref="AM27:AM28"/>
    <mergeCell ref="AM29:AM30"/>
    <mergeCell ref="AO19:AO20"/>
    <mergeCell ref="AO21:AO22"/>
    <mergeCell ref="AO23:AO24"/>
    <mergeCell ref="AO25:AO26"/>
    <mergeCell ref="AO27:AO28"/>
    <mergeCell ref="AO29:AO30"/>
    <mergeCell ref="AP17:AP18"/>
    <mergeCell ref="AQ17:AQ18"/>
    <mergeCell ref="AP23:AP24"/>
    <mergeCell ref="AQ23:AQ24"/>
    <mergeCell ref="AO17:AO18"/>
    <mergeCell ref="AZ15:AZ30"/>
    <mergeCell ref="BC15:BC30"/>
    <mergeCell ref="AS15:AS30"/>
    <mergeCell ref="AR23:AR24"/>
    <mergeCell ref="AP25:AP26"/>
    <mergeCell ref="AQ25:AQ26"/>
    <mergeCell ref="AR25:AR26"/>
    <mergeCell ref="AP27:AP28"/>
    <mergeCell ref="AQ27:AQ28"/>
    <mergeCell ref="AR27:AR28"/>
    <mergeCell ref="AP29:AP30"/>
    <mergeCell ref="AQ29:AQ30"/>
    <mergeCell ref="AR29:AR30"/>
    <mergeCell ref="AR17:AR18"/>
    <mergeCell ref="AP19:AP20"/>
    <mergeCell ref="AQ19:AQ20"/>
    <mergeCell ref="AR19:AR20"/>
    <mergeCell ref="AP21:AP22"/>
    <mergeCell ref="AQ21:AQ22"/>
    <mergeCell ref="AR21:AR22"/>
    <mergeCell ref="AQ15:AQ16"/>
  </mergeCells>
  <conditionalFormatting sqref="P15 P17 P19 P21 P23 P25 P27 P29 AH15:AH30">
    <cfRule type="cellIs" dxfId="22" priority="51" operator="equal">
      <formula>"Muy Alta"</formula>
    </cfRule>
    <cfRule type="cellIs" dxfId="21" priority="52" operator="equal">
      <formula>"Alta"</formula>
    </cfRule>
    <cfRule type="cellIs" dxfId="20" priority="53" operator="equal">
      <formula>"Media"</formula>
    </cfRule>
    <cfRule type="cellIs" dxfId="19" priority="54" operator="equal">
      <formula>"Baja"</formula>
    </cfRule>
    <cfRule type="cellIs" dxfId="18" priority="55" operator="equal">
      <formula>"Muy Baja"</formula>
    </cfRule>
  </conditionalFormatting>
  <conditionalFormatting sqref="S15 S17 S19 S21 S23 S25 S27 S29 AJ15:AJ30">
    <cfRule type="cellIs" dxfId="17" priority="46" operator="equal">
      <formula>"Catastrófico"</formula>
    </cfRule>
    <cfRule type="cellIs" dxfId="16" priority="47" operator="equal">
      <formula>"Mayor"</formula>
    </cfRule>
    <cfRule type="cellIs" dxfId="15" priority="48" operator="equal">
      <formula>"Moderado"</formula>
    </cfRule>
    <cfRule type="cellIs" dxfId="14" priority="49" operator="equal">
      <formula>"Menor"</formula>
    </cfRule>
    <cfRule type="cellIs" dxfId="13" priority="50" operator="equal">
      <formula>"Leve"</formula>
    </cfRule>
  </conditionalFormatting>
  <conditionalFormatting sqref="U15 U17 U19 U21 U23 U25 U27 U29 AL15:AL30">
    <cfRule type="cellIs" dxfId="12" priority="42" operator="equal">
      <formula>"Extremo"</formula>
    </cfRule>
    <cfRule type="cellIs" dxfId="11" priority="43" operator="equal">
      <formula>"Alto"</formula>
    </cfRule>
    <cfRule type="cellIs" dxfId="10" priority="44" operator="equal">
      <formula>"Moderado"</formula>
    </cfRule>
    <cfRule type="cellIs" dxfId="9" priority="45" operator="equal">
      <formula>"Bajo"</formula>
    </cfRule>
  </conditionalFormatting>
  <conditionalFormatting sqref="AI33:AI35">
    <cfRule type="cellIs" dxfId="8" priority="16" operator="equal">
      <formula>#REF!</formula>
    </cfRule>
    <cfRule type="cellIs" dxfId="7" priority="17" operator="equal">
      <formula>#REF!</formula>
    </cfRule>
  </conditionalFormatting>
  <conditionalFormatting sqref="AI33:AJ35">
    <cfRule type="cellIs" dxfId="6" priority="15" stopIfTrue="1" operator="equal">
      <formula>#REF!</formula>
    </cfRule>
  </conditionalFormatting>
  <conditionalFormatting sqref="AJ33:AJ35">
    <cfRule type="cellIs" dxfId="5" priority="19" stopIfTrue="1" operator="equal">
      <formula>#REF!</formula>
    </cfRule>
    <cfRule type="cellIs" dxfId="4" priority="20" stopIfTrue="1" operator="equal">
      <formula>#REF!</formula>
    </cfRule>
  </conditionalFormatting>
  <dataValidations count="9">
    <dataValidation type="list" allowBlank="1" showInputMessage="1" showErrorMessage="1" sqref="K33" xr:uid="{E7CBB6DD-CA21-4F20-B837-DEEBEDE991B0}">
      <formula1>$K$190:$K$199</formula1>
    </dataValidation>
    <dataValidation type="list" allowBlank="1" showInputMessage="1" showErrorMessage="1" sqref="K35 AI35:AJ35" xr:uid="{8A7F923E-99B9-48F1-88A7-BD3C76A7A331}">
      <formula1>#REF!</formula1>
    </dataValidation>
    <dataValidation type="list" allowBlank="1" showInputMessage="1" showErrorMessage="1" sqref="Y35" xr:uid="{6A4C1180-7664-46B9-B954-AB8AC89A5349}">
      <formula1>$R$190:$R$191</formula1>
    </dataValidation>
    <dataValidation type="list" allowBlank="1" showInputMessage="1" showErrorMessage="1" sqref="O35" xr:uid="{F89FA14F-15BD-4AE0-8F12-4695A3574DF0}">
      <formula1>$O$190:$O$194</formula1>
    </dataValidation>
    <dataValidation type="list" allowBlank="1" showInputMessage="1" showErrorMessage="1" sqref="L35:N35" xr:uid="{569120C3-D407-453C-A7B1-28F033DB9E16}">
      <formula1>$L$190:$L$194</formula1>
    </dataValidation>
    <dataValidation type="list" allowBlank="1" showInputMessage="1" showErrorMessage="1" sqref="AB35:AH35 AY35:AZ35 AQ35 Z35" xr:uid="{5B934552-7E34-4D6D-B014-A89BF41C2656}">
      <formula1>$AQ$190:$AQ$197</formula1>
    </dataValidation>
    <dataValidation type="list" allowBlank="1" showInputMessage="1" showErrorMessage="1" error="Recuerde que las acciones se generan bajo la medida de mitigar el riesgo" sqref="AY15:AY18" xr:uid="{4B584D5B-9332-4AEF-A386-FDD9877F4F2C}">
      <formula1>$BH$34:$BH$37</formula1>
    </dataValidation>
    <dataValidation type="custom" allowBlank="1" showInputMessage="1" showErrorMessage="1" error="Recuerde que las acciones se generan bajo la medida de mitigar el riesgo" sqref="AP15 AP29 AP27 AP25 AP23 AP21 AP19 AP17" xr:uid="{1E6160F0-7BCF-4F51-830F-99EAC950A1F8}"/>
    <dataValidation type="list" allowBlank="1" showInputMessage="1" showErrorMessage="1" sqref="R15:R30" xr:uid="{3B166FBC-70BC-4CC7-B3DB-2A6C0F50C51A}">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8CF35CCB-2ACC-41E6-80F5-2114862E0DA2}">
          <x14:formula1>
            <xm:f>'Opciones Tratamiento'!$B$9:$B$10</xm:f>
          </x14:formula1>
          <xm:sqref>BB19:BB30</xm:sqref>
        </x14:dataValidation>
        <x14:dataValidation type="list" allowBlank="1" showInputMessage="1" showErrorMessage="1" xr:uid="{BB2E221C-5C2D-4420-A47B-628221FED33C}">
          <x14:formula1>
            <xm:f>'Opciones Tratamiento'!$B$13:$B$19</xm:f>
          </x14:formula1>
          <xm:sqref>L15 L17:L30</xm:sqref>
        </x14:dataValidation>
        <x14:dataValidation type="list" allowBlank="1" showInputMessage="1" showErrorMessage="1" xr:uid="{6C91C8E3-151E-4DAF-A20C-0AA61A19FEF4}">
          <x14:formula1>
            <xm:f>'Opciones Tratamiento'!$B$2:$B$5</xm:f>
          </x14:formula1>
          <xm:sqref>AM25 AM23 AM21 AM19 AM17 AM29 AM27 AM15</xm:sqref>
        </x14:dataValidation>
        <x14:dataValidation type="custom" allowBlank="1" showInputMessage="1" showErrorMessage="1" error="Recuerde que las acciones se generan bajo la medida de mitigar el riesgo" xr:uid="{73A207C4-D890-4652-982A-CDC434A7DFCA}">
          <x14:formula1>
            <xm:f>IF(OR(AM19='Opciones Tratamiento'!$B$2,AM19='Opciones Tratamiento'!$B$3,AM19='Opciones Tratamiento'!$B$4),ISBLANK(AM19),ISTEXT(AM19))</xm:f>
          </x14:formula1>
          <xm:sqref>AY19:AY30</xm:sqref>
        </x14:dataValidation>
        <x14:dataValidation type="list" allowBlank="1" showInputMessage="1" showErrorMessage="1" xr:uid="{90CD845A-77D7-4D15-966E-B1B1E417D4A7}">
          <x14:formula1>
            <xm:f>Listas!$B$2:$B$7</xm:f>
          </x14:formula1>
          <xm:sqref>H15 H17:H30</xm:sqref>
        </x14:dataValidation>
        <x14:dataValidation type="list" allowBlank="1" showInputMessage="1" showErrorMessage="1" xr:uid="{C2193AB5-2C1C-48ED-9521-E1EEB1968494}">
          <x14:formula1>
            <xm:f>Listas!$C$2:$C$6</xm:f>
          </x14:formula1>
          <xm:sqref>M15 M17:M30</xm:sqref>
        </x14:dataValidation>
        <x14:dataValidation type="list" allowBlank="1" showInputMessage="1" showErrorMessage="1" xr:uid="{B9C0FEC4-140B-49F8-A4B3-303BE4955C97}">
          <x14:formula1>
            <xm:f>Listas!$D$2:$D$5</xm:f>
          </x14:formula1>
          <xm:sqref>N15 N17:N30</xm:sqref>
        </x14:dataValidation>
        <x14:dataValidation type="custom" allowBlank="1" showInputMessage="1" showErrorMessage="1" error="Recuerde que las acciones se generan bajo la medida de mitigar el riesgo" xr:uid="{053AEA5E-75F8-4A86-85BF-A22BD85B483D}">
          <x14:formula1>
            <xm:f>IF(OR(AM16='Opciones Tratamiento'!$B$2,AM16='Opciones Tratamiento'!$B$3,AM16='Opciones Tratamiento'!$B$4),ISBLANK(AM16),ISTEXT(AM16))</xm:f>
          </x14:formula1>
          <xm:sqref>AU16 AU20 AU22 AU24 AU26 AU28 AU30 AU15:AX15 AR29 AR27 AR25 AR23 AR21 AR19 AR15:AS15 AR17</xm:sqref>
        </x14:dataValidation>
        <x14:dataValidation type="custom" allowBlank="1" showInputMessage="1" showErrorMessage="1" error="Recuerde que las acciones se generan bajo la medida de mitigar el riesgo" xr:uid="{C444F3E3-68C1-4B44-9F17-13656242F1D1}">
          <x14:formula1>
            <xm:f>IF(OR(#REF!='Opciones Tratamiento'!$B$2,#REF!='Opciones Tratamiento'!$B$3,#REF!='Opciones Tratamiento'!$B$4),ISBLANK(#REF!),ISTEXT(#REF!))</xm:f>
          </x14:formula1>
          <xm:sqref>BC15 BD15:BD30 AU18</xm:sqref>
        </x14:dataValidation>
        <x14:dataValidation type="custom" allowBlank="1" showInputMessage="1" showErrorMessage="1" error="Recuerde que las acciones se generan bajo la medida de mitigar el riesgo" xr:uid="{B8865A4F-6169-4220-8116-10B9516D01B0}">
          <x14:formula1>
            <xm:f>IF(OR(AQ19='Opciones Tratamiento'!$B$2,AQ19='Opciones Tratamiento'!$B$3,AQ19='Opciones Tratamiento'!$B$4),ISBLANK(AQ19),ISTEXT(AQ19))</xm:f>
          </x14:formula1>
          <xm:sqref>BA19:BA30</xm:sqref>
        </x14:dataValidation>
        <x14:dataValidation type="list" allowBlank="1" showInputMessage="1" showErrorMessage="1" xr:uid="{0999E2CD-08D8-4EE3-B715-EE59CE4BF76A}">
          <x14:formula1>
            <xm:f>Formulas!$B$3:$B$6</xm:f>
          </x14:formula1>
          <xm:sqref>E15:E16</xm:sqref>
        </x14:dataValidation>
        <x14:dataValidation type="list" allowBlank="1" showInputMessage="1" showErrorMessage="1" xr:uid="{5EB465A0-18FF-45E1-B350-3B7A4C1848C2}">
          <x14:formula1>
            <xm:f>Formulas!$E$3:$E$5</xm:f>
          </x14:formula1>
          <xm:sqref>G15:G16</xm:sqref>
        </x14:dataValidation>
        <x14:dataValidation type="custom" allowBlank="1" showInputMessage="1" showErrorMessage="1" error="Recuerde que las acciones se generan bajo la medida de mitigar el riesgo" xr:uid="{CE360CE6-9978-4C8D-9737-14B5A8FA86BD}">
          <x14:formula1>
            <xm:f>IF(OR(AM16='Opciones Tratamiento'!$B$2,AM16='Opciones Tratamiento'!$B$3,AM16='Opciones Tratamiento'!$B$4),ISBLANK(AM16),ISTEXT(AM16))</xm:f>
          </x14:formula1>
          <xm:sqref>AQ15 AQ29 AQ27 AQ25 AQ23 AQ21 AQ19 AQ17 AU17 AU19 AU21 AU23 AU25 AU27 AU29</xm:sqref>
        </x14:dataValidation>
        <x14:dataValidation type="list" allowBlank="1" showInputMessage="1" showErrorMessage="1" xr:uid="{5E831E96-BB32-443B-883A-4789291A85E9}">
          <x14:formula1>
            <xm:f>Formulas!$B$3:$B$18</xm:f>
          </x14:formula1>
          <xm:sqref>E17:E30</xm:sqref>
        </x14:dataValidation>
        <x14:dataValidation type="list" allowBlank="1" showInputMessage="1" showErrorMessage="1" xr:uid="{2E9BF662-69C3-4F9A-B192-F6F2F5D764E6}">
          <x14:formula1>
            <xm:f>Formulas!$E$3:$E$23</xm:f>
          </x14:formula1>
          <xm:sqref>G17:G30</xm:sqref>
        </x14:dataValidation>
        <x14:dataValidation type="custom" allowBlank="1" showInputMessage="1" showErrorMessage="1" error="Recuerde que las acciones se generan bajo la medida de mitigar el riesgo" xr:uid="{903BCF2F-4B88-4E57-A6F0-124D513620FB}">
          <x14:formula1>
            <xm:f>IF(OR(AQ17='Opciones Tratamiento'!$B$2,AQ17='Opciones Tratamiento'!$B$3,AQ17='Opciones Tratamiento'!$B$4),ISBLANK(AQ17),ISTEXT(AQ17))</xm:f>
          </x14:formula1>
          <xm:sqref>AV17:AX30</xm:sqref>
        </x14:dataValidation>
        <x14:dataValidation type="list" allowBlank="1" showInputMessage="1" showErrorMessage="1" xr:uid="{937A4C6A-E533-472D-856D-FC610032E7CA}">
          <x14:formula1>
            <xm:f>'Tabla Valoración controles'!$D$4:$D$6</xm:f>
          </x14:formula1>
          <xm:sqref>Z15:Z30</xm:sqref>
        </x14:dataValidation>
        <x14:dataValidation type="list" allowBlank="1" showInputMessage="1" showErrorMessage="1" xr:uid="{9077AA23-CD1F-4DDE-9850-08ADE2B0FA62}">
          <x14:formula1>
            <xm:f>'Tabla Valoración controles'!$D$7:$D$8</xm:f>
          </x14:formula1>
          <xm:sqref>AA15:AA30</xm:sqref>
        </x14:dataValidation>
        <x14:dataValidation type="list" allowBlank="1" showInputMessage="1" showErrorMessage="1" xr:uid="{CF7F9DBF-A8FC-4026-8DA8-AD979B7E4B45}">
          <x14:formula1>
            <xm:f>'Tabla Valoración controles'!$D$9:$D$10</xm:f>
          </x14:formula1>
          <xm:sqref>AC15:AC30</xm:sqref>
        </x14:dataValidation>
        <x14:dataValidation type="list" allowBlank="1" showInputMessage="1" showErrorMessage="1" xr:uid="{D92C35A9-7D9B-4C83-9F05-54ECAC1A2941}">
          <x14:formula1>
            <xm:f>'Tabla Valoración controles'!$D$11:$D$12</xm:f>
          </x14:formula1>
          <xm:sqref>AD15:AD30</xm:sqref>
        </x14:dataValidation>
        <x14:dataValidation type="list" allowBlank="1" showInputMessage="1" showErrorMessage="1" xr:uid="{867E20DD-0666-4C79-A116-D1D561CE1BDF}">
          <x14:formula1>
            <xm:f>'Tabla Valoración controles'!$D$13:$D$14</xm:f>
          </x14:formula1>
          <xm:sqref>AE15:AE30</xm:sqref>
        </x14:dataValidation>
        <x14:dataValidation type="list" allowBlank="1" showInputMessage="1" showErrorMessage="1" xr:uid="{1982ED57-FC21-420C-A67F-D534396D656D}">
          <x14:formula1>
            <xm:f>Formulas!$D$3:$D$6</xm:f>
          </x14:formula1>
          <xm:sqref>F15:F30</xm:sqref>
        </x14:dataValidation>
        <x14:dataValidation type="list" allowBlank="1" showInputMessage="1" showErrorMessage="1" error="Recuerde que las acciones se generan bajo la medida de mitigar el riesgo" xr:uid="{7F476461-CF1D-42C9-99BB-E4C26E04341B}">
          <x14:formula1>
            <xm:f>Formulas!$H$3:$H$4</xm:f>
          </x14:formula1>
          <xm:sqref>AT15:AT30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defaultColWidth="11.42578125" defaultRowHeight="15"/>
  <cols>
    <col min="1" max="1" width="129.7109375" bestFit="1" customWidth="1"/>
  </cols>
  <sheetData>
    <row r="1" spans="1:2">
      <c r="A1" t="s">
        <v>171</v>
      </c>
      <c r="B1" t="s">
        <v>104</v>
      </c>
    </row>
    <row r="2" spans="1:2">
      <c r="A2" t="s">
        <v>172</v>
      </c>
      <c r="B2" t="s">
        <v>173</v>
      </c>
    </row>
    <row r="3" spans="1:2">
      <c r="A3" t="s">
        <v>174</v>
      </c>
      <c r="B3" t="s">
        <v>175</v>
      </c>
    </row>
    <row r="4" spans="1:2">
      <c r="A4" t="s">
        <v>176</v>
      </c>
      <c r="B4" t="s">
        <v>177</v>
      </c>
    </row>
    <row r="5" spans="1:2">
      <c r="A5" t="s">
        <v>178</v>
      </c>
      <c r="B5" t="s">
        <v>179</v>
      </c>
    </row>
    <row r="6" spans="1:2">
      <c r="A6" t="s">
        <v>180</v>
      </c>
      <c r="B6" t="s">
        <v>181</v>
      </c>
    </row>
    <row r="7" spans="1:2">
      <c r="A7" t="s">
        <v>182</v>
      </c>
      <c r="B7" t="s">
        <v>173</v>
      </c>
    </row>
    <row r="8" spans="1:2">
      <c r="A8" t="s">
        <v>183</v>
      </c>
      <c r="B8" t="s">
        <v>175</v>
      </c>
    </row>
    <row r="9" spans="1:2">
      <c r="A9" t="s">
        <v>137</v>
      </c>
      <c r="B9" t="s">
        <v>177</v>
      </c>
    </row>
    <row r="10" spans="1:2">
      <c r="A10" t="s">
        <v>184</v>
      </c>
      <c r="B10" t="s">
        <v>179</v>
      </c>
    </row>
    <row r="11" spans="1:2">
      <c r="A11" t="s">
        <v>185</v>
      </c>
      <c r="B11" t="s">
        <v>181</v>
      </c>
    </row>
    <row r="12" spans="1:2">
      <c r="A12" t="s">
        <v>116</v>
      </c>
      <c r="B12" t="s">
        <v>177</v>
      </c>
    </row>
    <row r="13" spans="1:2">
      <c r="A13" t="s">
        <v>186</v>
      </c>
      <c r="B13" t="s">
        <v>179</v>
      </c>
    </row>
    <row r="14" spans="1:2">
      <c r="A14" t="s">
        <v>187</v>
      </c>
      <c r="B14" t="s">
        <v>181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defaultColWidth="11.42578125" defaultRowHeight="15"/>
  <cols>
    <col min="1" max="1" width="4" customWidth="1"/>
    <col min="2" max="3" width="31.28515625" customWidth="1"/>
    <col min="4" max="4" width="30.42578125" customWidth="1"/>
    <col min="5" max="5" width="24.42578125" customWidth="1"/>
    <col min="6" max="6" width="22.7109375" customWidth="1"/>
    <col min="7" max="7" width="37" customWidth="1"/>
    <col min="8" max="8" width="21.28515625" customWidth="1"/>
    <col min="9" max="9" width="13.7109375" customWidth="1"/>
    <col min="10" max="10" width="17.28515625" customWidth="1"/>
    <col min="13" max="13" width="15.7109375" customWidth="1"/>
    <col min="14" max="14" width="14.7109375" customWidth="1"/>
    <col min="17" max="17" width="24.7109375" customWidth="1"/>
    <col min="18" max="18" width="29.5703125" customWidth="1"/>
  </cols>
  <sheetData>
    <row r="1" spans="2:18">
      <c r="B1" s="354" t="s">
        <v>52</v>
      </c>
      <c r="C1" s="354"/>
      <c r="D1" s="354"/>
      <c r="E1" s="354"/>
      <c r="F1" s="354"/>
      <c r="G1" s="354"/>
      <c r="H1" s="354"/>
      <c r="I1" s="354"/>
      <c r="J1" s="354"/>
      <c r="L1" s="354" t="s">
        <v>54</v>
      </c>
      <c r="M1" s="354"/>
      <c r="N1" s="354"/>
      <c r="O1" s="354"/>
      <c r="P1" s="354"/>
      <c r="Q1" s="354"/>
      <c r="R1" s="354"/>
    </row>
    <row r="2" spans="2:18" ht="50.25" customHeight="1">
      <c r="B2" s="161" t="s">
        <v>188</v>
      </c>
      <c r="C2" s="161" t="s">
        <v>189</v>
      </c>
      <c r="D2" s="160" t="s">
        <v>60</v>
      </c>
      <c r="E2" s="160" t="s">
        <v>190</v>
      </c>
      <c r="F2" s="160" t="s">
        <v>191</v>
      </c>
      <c r="G2" s="161" t="s">
        <v>192</v>
      </c>
      <c r="H2" s="161" t="s">
        <v>193</v>
      </c>
      <c r="I2" s="161" t="s">
        <v>194</v>
      </c>
      <c r="J2" s="160" t="s">
        <v>195</v>
      </c>
      <c r="L2" s="159" t="s">
        <v>102</v>
      </c>
      <c r="M2" s="159" t="s">
        <v>103</v>
      </c>
      <c r="N2" s="159" t="s">
        <v>55</v>
      </c>
      <c r="O2" s="159" t="s">
        <v>105</v>
      </c>
      <c r="P2" s="159" t="s">
        <v>106</v>
      </c>
      <c r="Q2" s="159" t="s">
        <v>83</v>
      </c>
      <c r="R2" s="162" t="s">
        <v>196</v>
      </c>
    </row>
    <row r="3" spans="2:18" ht="25.5">
      <c r="B3" s="18" t="s">
        <v>130</v>
      </c>
      <c r="C3" s="18" t="s">
        <v>197</v>
      </c>
      <c r="D3" s="108" t="s">
        <v>198</v>
      </c>
      <c r="E3" s="108" t="s">
        <v>199</v>
      </c>
      <c r="F3" t="s">
        <v>200</v>
      </c>
      <c r="G3" s="108" t="s">
        <v>201</v>
      </c>
      <c r="H3" t="s">
        <v>14</v>
      </c>
      <c r="I3" t="s">
        <v>202</v>
      </c>
      <c r="J3" t="s">
        <v>152</v>
      </c>
      <c r="L3" s="2" t="s">
        <v>140</v>
      </c>
      <c r="M3" s="2" t="s">
        <v>120</v>
      </c>
      <c r="N3" s="2" t="s">
        <v>121</v>
      </c>
      <c r="O3" s="2" t="s">
        <v>122</v>
      </c>
      <c r="P3" s="2" t="s">
        <v>203</v>
      </c>
      <c r="Q3" s="2" t="s">
        <v>204</v>
      </c>
      <c r="R3" t="s">
        <v>205</v>
      </c>
    </row>
    <row r="4" spans="2:18" ht="31.5" customHeight="1">
      <c r="B4" s="18" t="s">
        <v>107</v>
      </c>
      <c r="C4" s="18" t="s">
        <v>206</v>
      </c>
      <c r="D4" s="108" t="s">
        <v>108</v>
      </c>
      <c r="E4" s="108" t="s">
        <v>207</v>
      </c>
      <c r="F4" t="s">
        <v>208</v>
      </c>
      <c r="G4" s="108" t="s">
        <v>209</v>
      </c>
      <c r="H4" t="s">
        <v>15</v>
      </c>
      <c r="I4" t="s">
        <v>210</v>
      </c>
      <c r="J4" t="s">
        <v>136</v>
      </c>
      <c r="L4" s="2" t="s">
        <v>119</v>
      </c>
      <c r="M4" s="2" t="s">
        <v>141</v>
      </c>
      <c r="N4" s="2" t="s">
        <v>211</v>
      </c>
      <c r="O4" s="2" t="s">
        <v>212</v>
      </c>
      <c r="P4" s="2" t="s">
        <v>213</v>
      </c>
      <c r="Q4" s="2" t="s">
        <v>214</v>
      </c>
      <c r="R4" t="s">
        <v>215</v>
      </c>
    </row>
    <row r="5" spans="2:18" ht="26.25" customHeight="1">
      <c r="B5" s="18" t="s">
        <v>216</v>
      </c>
      <c r="C5" s="18" t="s">
        <v>217</v>
      </c>
      <c r="D5" s="108" t="s">
        <v>218</v>
      </c>
      <c r="E5" s="108" t="s">
        <v>219</v>
      </c>
      <c r="F5" t="s">
        <v>220</v>
      </c>
      <c r="G5" s="108" t="s">
        <v>221</v>
      </c>
      <c r="I5" t="s">
        <v>222</v>
      </c>
      <c r="J5" t="s">
        <v>115</v>
      </c>
      <c r="L5" s="2" t="s">
        <v>223</v>
      </c>
      <c r="P5" s="2" t="s">
        <v>224</v>
      </c>
      <c r="Q5" s="2" t="s">
        <v>225</v>
      </c>
    </row>
    <row r="6" spans="2:18" ht="24.75" customHeight="1">
      <c r="B6" s="18" t="s">
        <v>67</v>
      </c>
      <c r="C6" s="18" t="s">
        <v>226</v>
      </c>
      <c r="D6" s="108"/>
      <c r="F6" t="s">
        <v>131</v>
      </c>
      <c r="G6" s="108" t="s">
        <v>227</v>
      </c>
      <c r="I6" t="s">
        <v>135</v>
      </c>
      <c r="J6" t="s">
        <v>228</v>
      </c>
      <c r="Q6" s="2" t="s">
        <v>125</v>
      </c>
    </row>
    <row r="7" spans="2:18" ht="26.25" customHeight="1">
      <c r="B7" s="18"/>
      <c r="C7" s="18" t="s">
        <v>229</v>
      </c>
      <c r="D7" s="108"/>
      <c r="F7" t="s">
        <v>109</v>
      </c>
      <c r="G7" s="108" t="s">
        <v>230</v>
      </c>
      <c r="I7" t="s">
        <v>231</v>
      </c>
      <c r="Q7" s="2" t="s">
        <v>232</v>
      </c>
    </row>
    <row r="8" spans="2:18" ht="30">
      <c r="B8" s="18"/>
      <c r="C8" s="18"/>
      <c r="D8" s="108"/>
      <c r="F8" t="s">
        <v>233</v>
      </c>
      <c r="G8" s="108" t="s">
        <v>234</v>
      </c>
      <c r="I8" s="108" t="s">
        <v>235</v>
      </c>
    </row>
    <row r="9" spans="2:18" ht="31.5" customHeight="1">
      <c r="B9" s="18"/>
      <c r="C9" s="18"/>
      <c r="D9" s="108"/>
      <c r="G9" s="108" t="s">
        <v>113</v>
      </c>
      <c r="I9" t="s">
        <v>236</v>
      </c>
    </row>
    <row r="10" spans="2:18">
      <c r="B10" s="18"/>
      <c r="C10" s="18"/>
      <c r="D10" s="108"/>
      <c r="I10" t="s">
        <v>237</v>
      </c>
    </row>
    <row r="11" spans="2:18">
      <c r="B11" s="18"/>
      <c r="C11" s="18"/>
      <c r="D11" s="108"/>
    </row>
    <row r="12" spans="2:18">
      <c r="B12" s="18"/>
      <c r="C12" s="18"/>
      <c r="I12" t="s">
        <v>237</v>
      </c>
    </row>
    <row r="13" spans="2:18">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defaultColWidth="11.42578125" defaultRowHeight="15"/>
  <sheetData>
    <row r="2" spans="2:2">
      <c r="B2" t="s">
        <v>238</v>
      </c>
    </row>
    <row r="30" spans="2:2">
      <c r="B30" t="s">
        <v>239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defaultColWidth="11.42578125" defaultRowHeight="15"/>
  <cols>
    <col min="3" max="3" width="119" customWidth="1"/>
    <col min="4" max="4" width="33.28515625" customWidth="1"/>
  </cols>
  <sheetData>
    <row r="1" spans="3:4" ht="15.75" thickBot="1"/>
    <row r="2" spans="3:4">
      <c r="C2" s="355" t="s">
        <v>240</v>
      </c>
      <c r="D2" s="356"/>
    </row>
    <row r="3" spans="3:4">
      <c r="C3" s="357"/>
      <c r="D3" s="358"/>
    </row>
    <row r="4" spans="3:4" ht="15.75" thickBot="1">
      <c r="C4" s="144" t="s">
        <v>241</v>
      </c>
      <c r="D4" s="145" t="s">
        <v>242</v>
      </c>
    </row>
    <row r="5" spans="3:4" ht="30" customHeight="1">
      <c r="C5" s="146" t="s">
        <v>243</v>
      </c>
      <c r="D5" s="147">
        <v>1</v>
      </c>
    </row>
    <row r="6" spans="3:4" ht="28.5" customHeight="1">
      <c r="C6" s="148" t="s">
        <v>244</v>
      </c>
      <c r="D6" s="149">
        <v>1</v>
      </c>
    </row>
    <row r="7" spans="3:4" ht="28.5" customHeight="1">
      <c r="C7" s="150" t="s">
        <v>245</v>
      </c>
      <c r="D7" s="149">
        <v>1</v>
      </c>
    </row>
    <row r="8" spans="3:4" ht="28.5" customHeight="1">
      <c r="C8" s="150" t="s">
        <v>246</v>
      </c>
      <c r="D8" s="149">
        <v>1</v>
      </c>
    </row>
    <row r="9" spans="3:4" ht="18.600000000000001" customHeight="1">
      <c r="C9" s="150" t="s">
        <v>247</v>
      </c>
      <c r="D9" s="149">
        <v>1</v>
      </c>
    </row>
    <row r="10" spans="3:4" ht="28.5" customHeight="1">
      <c r="C10" s="150" t="s">
        <v>248</v>
      </c>
      <c r="D10" s="149">
        <v>1</v>
      </c>
    </row>
    <row r="11" spans="3:4" ht="21" customHeight="1">
      <c r="C11" s="148" t="s">
        <v>249</v>
      </c>
      <c r="D11" s="149">
        <v>1</v>
      </c>
    </row>
    <row r="12" spans="3:4" ht="21" customHeight="1">
      <c r="C12" s="148" t="s">
        <v>250</v>
      </c>
      <c r="D12" s="149">
        <v>1</v>
      </c>
    </row>
    <row r="13" spans="3:4" ht="21.6" customHeight="1">
      <c r="C13" s="148" t="s">
        <v>251</v>
      </c>
      <c r="D13" s="149">
        <v>1</v>
      </c>
    </row>
    <row r="14" spans="3:4" ht="28.5" customHeight="1">
      <c r="C14" s="148" t="s">
        <v>252</v>
      </c>
      <c r="D14" s="149">
        <v>1</v>
      </c>
    </row>
    <row r="15" spans="3:4" ht="22.5" customHeight="1">
      <c r="C15" s="151"/>
      <c r="D15" s="149">
        <v>1</v>
      </c>
    </row>
    <row r="16" spans="3:4" ht="28.5" customHeight="1">
      <c r="C16" s="152" t="s">
        <v>253</v>
      </c>
      <c r="D16" s="153"/>
    </row>
    <row r="17" spans="3:4" ht="28.5" customHeight="1">
      <c r="C17" s="146" t="s">
        <v>254</v>
      </c>
      <c r="D17" s="149">
        <v>1</v>
      </c>
    </row>
    <row r="18" spans="3:4" ht="28.5" customHeight="1">
      <c r="C18" s="146" t="s">
        <v>255</v>
      </c>
      <c r="D18" s="149">
        <v>1</v>
      </c>
    </row>
    <row r="19" spans="3:4" ht="28.5" customHeight="1">
      <c r="C19" s="146" t="s">
        <v>256</v>
      </c>
      <c r="D19" s="149">
        <v>1</v>
      </c>
    </row>
    <row r="20" spans="3:4" ht="28.5" customHeight="1">
      <c r="C20" s="148" t="s">
        <v>257</v>
      </c>
      <c r="D20" s="149">
        <v>1</v>
      </c>
    </row>
    <row r="21" spans="3:4" ht="28.5" customHeight="1">
      <c r="C21" s="146" t="s">
        <v>258</v>
      </c>
      <c r="D21" s="149">
        <v>1</v>
      </c>
    </row>
    <row r="22" spans="3:4" ht="28.5" customHeight="1">
      <c r="C22" s="154" t="s">
        <v>259</v>
      </c>
      <c r="D22" s="149">
        <v>1</v>
      </c>
    </row>
    <row r="23" spans="3:4" ht="28.5" customHeight="1">
      <c r="C23" s="146" t="s">
        <v>260</v>
      </c>
      <c r="D23" s="149">
        <v>1</v>
      </c>
    </row>
    <row r="24" spans="3:4" ht="28.5" customHeight="1">
      <c r="C24" s="146" t="s">
        <v>261</v>
      </c>
      <c r="D24" s="149">
        <v>1</v>
      </c>
    </row>
    <row r="25" spans="3:4" ht="28.5" customHeight="1">
      <c r="C25" s="151"/>
      <c r="D25" s="149">
        <v>1</v>
      </c>
    </row>
    <row r="26" spans="3:4" ht="28.5" customHeight="1">
      <c r="C26" s="151"/>
      <c r="D26" s="149">
        <v>1</v>
      </c>
    </row>
    <row r="27" spans="3:4" ht="28.5" customHeight="1">
      <c r="C27" s="152" t="s">
        <v>262</v>
      </c>
      <c r="D27" s="155"/>
    </row>
    <row r="28" spans="3:4" ht="28.5" customHeight="1">
      <c r="C28" s="150" t="s">
        <v>263</v>
      </c>
      <c r="D28" s="149">
        <v>1</v>
      </c>
    </row>
    <row r="29" spans="3:4" ht="28.5" customHeight="1">
      <c r="C29" s="150" t="s">
        <v>264</v>
      </c>
      <c r="D29" s="149">
        <v>1</v>
      </c>
    </row>
    <row r="30" spans="3:4" ht="28.5" customHeight="1">
      <c r="C30" s="150" t="s">
        <v>265</v>
      </c>
      <c r="D30" s="149">
        <v>1</v>
      </c>
    </row>
    <row r="31" spans="3:4" ht="28.5" customHeight="1">
      <c r="C31" s="150" t="s">
        <v>266</v>
      </c>
      <c r="D31" s="149">
        <v>1</v>
      </c>
    </row>
    <row r="32" spans="3:4" ht="28.5" customHeight="1">
      <c r="C32" s="150" t="s">
        <v>267</v>
      </c>
      <c r="D32" s="149">
        <v>1</v>
      </c>
    </row>
    <row r="33" spans="3:4" ht="28.5" customHeight="1">
      <c r="C33" s="156" t="s">
        <v>268</v>
      </c>
      <c r="D33" s="149">
        <v>1</v>
      </c>
    </row>
    <row r="34" spans="3:4" ht="28.5" customHeight="1">
      <c r="C34" s="148" t="s">
        <v>269</v>
      </c>
      <c r="D34" s="149">
        <v>1</v>
      </c>
    </row>
    <row r="35" spans="3:4" ht="28.5" customHeight="1">
      <c r="C35" s="150" t="s">
        <v>270</v>
      </c>
      <c r="D35" s="149">
        <v>1</v>
      </c>
    </row>
    <row r="36" spans="3:4" ht="28.5" customHeight="1">
      <c r="C36" s="150" t="s">
        <v>271</v>
      </c>
      <c r="D36" s="149">
        <v>1</v>
      </c>
    </row>
    <row r="37" spans="3:4" ht="28.5" customHeight="1">
      <c r="C37" s="150" t="s">
        <v>272</v>
      </c>
      <c r="D37" s="149">
        <v>1</v>
      </c>
    </row>
    <row r="38" spans="3:4" ht="28.5" customHeight="1">
      <c r="C38" s="148" t="s">
        <v>273</v>
      </c>
      <c r="D38" s="149">
        <v>1</v>
      </c>
    </row>
    <row r="39" spans="3:4" ht="28.5" customHeight="1">
      <c r="C39" s="156" t="s">
        <v>274</v>
      </c>
      <c r="D39" s="149">
        <v>1</v>
      </c>
    </row>
    <row r="40" spans="3:4" ht="28.5" customHeight="1">
      <c r="C40" s="156" t="s">
        <v>275</v>
      </c>
      <c r="D40" s="149">
        <v>1</v>
      </c>
    </row>
    <row r="41" spans="3:4" ht="28.5" customHeight="1">
      <c r="C41" s="156" t="s">
        <v>276</v>
      </c>
      <c r="D41" s="149">
        <v>1</v>
      </c>
    </row>
    <row r="42" spans="3:4" ht="28.5" customHeight="1">
      <c r="C42" s="156" t="s">
        <v>277</v>
      </c>
      <c r="D42" s="149">
        <v>1</v>
      </c>
    </row>
    <row r="43" spans="3:4" ht="28.5" customHeight="1">
      <c r="C43" s="157"/>
      <c r="D43" s="149"/>
    </row>
    <row r="44" spans="3:4" ht="28.5" customHeight="1">
      <c r="C44" s="157"/>
      <c r="D44" s="149"/>
    </row>
    <row r="45" spans="3:4" ht="28.5" customHeight="1">
      <c r="C45" s="152" t="s">
        <v>278</v>
      </c>
      <c r="D45" s="155"/>
    </row>
    <row r="46" spans="3:4" ht="28.5" customHeight="1">
      <c r="C46" s="156" t="s">
        <v>279</v>
      </c>
      <c r="D46" s="149">
        <v>1</v>
      </c>
    </row>
    <row r="47" spans="3:4" ht="28.5" customHeight="1">
      <c r="C47" s="156" t="s">
        <v>280</v>
      </c>
      <c r="D47" s="149">
        <v>1</v>
      </c>
    </row>
    <row r="48" spans="3:4" ht="28.5" customHeight="1">
      <c r="C48" s="156" t="s">
        <v>281</v>
      </c>
      <c r="D48" s="149">
        <v>1</v>
      </c>
    </row>
    <row r="49" spans="3:4" ht="28.5" customHeight="1">
      <c r="C49" s="156" t="s">
        <v>282</v>
      </c>
      <c r="D49" s="149">
        <v>1</v>
      </c>
    </row>
    <row r="50" spans="3:4" ht="28.5" customHeight="1">
      <c r="C50" s="158" t="s">
        <v>283</v>
      </c>
      <c r="D50" s="149">
        <v>1</v>
      </c>
    </row>
    <row r="51" spans="3:4" ht="28.5" customHeight="1">
      <c r="C51" s="158" t="s">
        <v>284</v>
      </c>
      <c r="D51" s="149">
        <v>1</v>
      </c>
    </row>
    <row r="52" spans="3:4" ht="28.5" customHeight="1">
      <c r="C52" s="158" t="s">
        <v>285</v>
      </c>
      <c r="D52" s="149">
        <v>1</v>
      </c>
    </row>
    <row r="53" spans="3:4" ht="28.5" customHeight="1">
      <c r="C53" s="146" t="s">
        <v>286</v>
      </c>
      <c r="D53" s="149">
        <v>1</v>
      </c>
    </row>
    <row r="54" spans="3:4" ht="28.5" customHeight="1">
      <c r="C54" s="146" t="s">
        <v>287</v>
      </c>
      <c r="D54" s="149">
        <v>1</v>
      </c>
    </row>
    <row r="55" spans="3:4" ht="28.5" customHeight="1"/>
    <row r="56" spans="3:4" ht="11.1" customHeight="1"/>
    <row r="57" spans="3:4" ht="11.1" customHeight="1"/>
    <row r="58" spans="3:4" ht="11.1" customHeight="1"/>
    <row r="59" spans="3:4" ht="11.1" customHeight="1"/>
    <row r="60" spans="3:4" ht="11.1" customHeight="1"/>
    <row r="61" spans="3:4" ht="11.1" customHeight="1"/>
    <row r="62" spans="3:4" ht="11.1" customHeight="1"/>
    <row r="63" spans="3:4" ht="11.1" customHeight="1"/>
    <row r="64" spans="3:4"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AP3" sqref="AP3:AV3"/>
    </sheetView>
  </sheetViews>
  <sheetFormatPr defaultColWidth="11.42578125" defaultRowHeight="15"/>
  <cols>
    <col min="1" max="1" width="5.28515625" customWidth="1"/>
    <col min="2" max="2" width="8.7109375" customWidth="1"/>
    <col min="3" max="3" width="9" customWidth="1"/>
    <col min="4" max="41" width="5.7109375" customWidth="1"/>
    <col min="43" max="48" width="5.7109375" customWidth="1"/>
  </cols>
  <sheetData>
    <row r="1" spans="1:101" ht="15.75" thickBot="1"/>
    <row r="2" spans="1:101" ht="15" customHeight="1">
      <c r="D2" s="371" t="s">
        <v>288</v>
      </c>
      <c r="E2" s="372"/>
      <c r="F2" s="372"/>
      <c r="G2" s="372"/>
      <c r="H2" s="372"/>
      <c r="I2" s="372"/>
      <c r="J2" s="372"/>
      <c r="K2" s="373"/>
      <c r="L2" s="362" t="s">
        <v>39</v>
      </c>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3"/>
      <c r="AM2" s="363"/>
      <c r="AN2" s="363"/>
      <c r="AO2" s="364"/>
      <c r="AP2" s="351" t="s">
        <v>289</v>
      </c>
      <c r="AQ2" s="359"/>
      <c r="AR2" s="359"/>
      <c r="AS2" s="359"/>
      <c r="AT2" s="359"/>
      <c r="AU2" s="359"/>
      <c r="AV2" s="325"/>
    </row>
    <row r="3" spans="1:101">
      <c r="D3" s="374"/>
      <c r="E3" s="375"/>
      <c r="F3" s="375"/>
      <c r="G3" s="375"/>
      <c r="H3" s="375"/>
      <c r="I3" s="375"/>
      <c r="J3" s="375"/>
      <c r="K3" s="376"/>
      <c r="L3" s="365"/>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7"/>
      <c r="AP3" s="352" t="s">
        <v>3</v>
      </c>
      <c r="AQ3" s="360"/>
      <c r="AR3" s="360"/>
      <c r="AS3" s="360"/>
      <c r="AT3" s="360"/>
      <c r="AU3" s="360"/>
      <c r="AV3" s="327"/>
    </row>
    <row r="4" spans="1:101">
      <c r="D4" s="374"/>
      <c r="E4" s="375"/>
      <c r="F4" s="375"/>
      <c r="G4" s="375"/>
      <c r="H4" s="375"/>
      <c r="I4" s="375"/>
      <c r="J4" s="375"/>
      <c r="K4" s="376"/>
      <c r="L4" s="365"/>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M4" s="366"/>
      <c r="AN4" s="366"/>
      <c r="AO4" s="367"/>
      <c r="AP4" s="352" t="s">
        <v>4</v>
      </c>
      <c r="AQ4" s="360" t="s">
        <v>290</v>
      </c>
      <c r="AR4" s="360"/>
      <c r="AS4" s="360"/>
      <c r="AT4" s="360"/>
      <c r="AU4" s="360"/>
      <c r="AV4" s="327"/>
    </row>
    <row r="5" spans="1:101" ht="15.75" thickBot="1">
      <c r="D5" s="377"/>
      <c r="E5" s="378"/>
      <c r="F5" s="378"/>
      <c r="G5" s="378"/>
      <c r="H5" s="378"/>
      <c r="I5" s="378"/>
      <c r="J5" s="378"/>
      <c r="K5" s="379"/>
      <c r="L5" s="368"/>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70"/>
      <c r="AP5" s="353" t="s">
        <v>5</v>
      </c>
      <c r="AQ5" s="361" t="s">
        <v>5</v>
      </c>
      <c r="AR5" s="361"/>
      <c r="AS5" s="361"/>
      <c r="AT5" s="361"/>
      <c r="AU5" s="361"/>
      <c r="AV5" s="329"/>
    </row>
    <row r="7" spans="1:101" ht="18" customHeight="1">
      <c r="C7" s="68"/>
      <c r="D7" s="468" t="s">
        <v>291</v>
      </c>
      <c r="E7" s="468"/>
      <c r="F7" s="468"/>
      <c r="G7" s="468"/>
      <c r="H7" s="468"/>
      <c r="I7" s="468"/>
      <c r="J7" s="468"/>
      <c r="K7" s="468"/>
      <c r="L7" s="424" t="s">
        <v>60</v>
      </c>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466" t="s">
        <v>9</v>
      </c>
      <c r="B8" s="466"/>
      <c r="C8" s="467"/>
      <c r="D8" s="468"/>
      <c r="E8" s="468"/>
      <c r="F8" s="468"/>
      <c r="G8" s="468"/>
      <c r="H8" s="468"/>
      <c r="I8" s="468"/>
      <c r="J8" s="468"/>
      <c r="K8" s="468"/>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468"/>
      <c r="E9" s="468"/>
      <c r="F9" s="468"/>
      <c r="G9" s="468"/>
      <c r="H9" s="468"/>
      <c r="I9" s="468"/>
      <c r="J9" s="468"/>
      <c r="K9" s="468"/>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5.75"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380" t="s">
        <v>292</v>
      </c>
      <c r="E11" s="380"/>
      <c r="F11" s="381"/>
      <c r="G11" s="418" t="s">
        <v>293</v>
      </c>
      <c r="H11" s="419"/>
      <c r="I11" s="419"/>
      <c r="J11" s="419"/>
      <c r="K11" s="419"/>
      <c r="L11" s="426"/>
      <c r="M11" s="427"/>
      <c r="N11" s="427" t="str">
        <f>IF(AND('Mapa final'!$K$15="Muy Alta",'Mapa final'!$O$15="Leve"),CONCATENATE("R",'Mapa final'!$A$16),"")</f>
        <v/>
      </c>
      <c r="O11" s="427"/>
      <c r="P11" s="427" t="str">
        <f>IF(AND('Mapa final'!$K$17="Muy Alta",'Mapa final'!$O$17="Leve"),CONCATENATE("R",'Mapa final'!$A$17),"")</f>
        <v/>
      </c>
      <c r="Q11" s="440"/>
      <c r="R11" s="426"/>
      <c r="S11" s="427"/>
      <c r="T11" s="427" t="str">
        <f>IF(AND('Mapa final'!$P$15="Muy Alta",'Mapa final'!$S$15="Menor"),CONCATENATE("R",'Mapa final'!$A$16),"")</f>
        <v/>
      </c>
      <c r="U11" s="427"/>
      <c r="V11" s="427" t="str">
        <f>IF(AND('Mapa final'!$P$17="Muy Alta",'Mapa final'!$S$17="Menor"),CONCATENATE("R",'Mapa final'!$A$17),"")</f>
        <v/>
      </c>
      <c r="W11" s="427"/>
      <c r="X11" s="426"/>
      <c r="Y11" s="427"/>
      <c r="Z11" s="427" t="str">
        <f>IF(AND('Mapa final'!P$15="Muy Alta",'Mapa final'!$S$15="Moderado"),CONCATENATE("R",'Mapa final'!$A$16),"")</f>
        <v/>
      </c>
      <c r="AA11" s="427"/>
      <c r="AB11" s="427" t="str">
        <f>IF(AND('Mapa final'!$P$17="Muy Alta",'Mapa final'!$S$17="Moderado"),CONCATENATE("R",'Mapa final'!$A$17),"")</f>
        <v/>
      </c>
      <c r="AC11" s="427"/>
      <c r="AD11" s="426"/>
      <c r="AE11" s="427"/>
      <c r="AF11" s="427" t="str">
        <f>IF(AND('Mapa final'!$P$15="Muy Alta",'Mapa final'!$S$15="Mayor"),CONCATENATE("R",'Mapa final'!$A$16),"")</f>
        <v/>
      </c>
      <c r="AG11" s="427"/>
      <c r="AH11" s="427" t="str">
        <f>IF(AND('Mapa final'!$P$17="Muy Alta",'Mapa final'!$S$17="Mayor"),CONCATENATE("R",'Mapa final'!$A$17),"")</f>
        <v/>
      </c>
      <c r="AI11" s="427"/>
      <c r="AJ11" s="444"/>
      <c r="AK11" s="445"/>
      <c r="AL11" s="445" t="str">
        <f>IF(AND('Mapa final'!$P$15="Muy Alta",'Mapa final'!$S$15="Catastrófico"),CONCATENATE("R",'Mapa final'!$A$16),"")</f>
        <v/>
      </c>
      <c r="AM11" s="445"/>
      <c r="AN11" s="445" t="str">
        <f>IF(AND('Mapa final'!$P$17="Muy Alta",'Mapa final'!$S$17="Catastrófico"),CONCATENATE("R",'Mapa final'!$A$17),"")</f>
        <v/>
      </c>
      <c r="AO11" s="446"/>
      <c r="AQ11" s="382" t="s">
        <v>294</v>
      </c>
      <c r="AR11" s="383"/>
      <c r="AS11" s="383"/>
      <c r="AT11" s="383"/>
      <c r="AU11" s="383"/>
      <c r="AV11" s="384"/>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380"/>
      <c r="E12" s="380"/>
      <c r="F12" s="381"/>
      <c r="G12" s="420"/>
      <c r="H12" s="421"/>
      <c r="I12" s="421"/>
      <c r="J12" s="421"/>
      <c r="K12" s="421"/>
      <c r="L12" s="428"/>
      <c r="M12" s="425"/>
      <c r="N12" s="425"/>
      <c r="O12" s="425"/>
      <c r="P12" s="425"/>
      <c r="Q12" s="433"/>
      <c r="R12" s="428"/>
      <c r="S12" s="425"/>
      <c r="T12" s="425"/>
      <c r="U12" s="425"/>
      <c r="V12" s="425"/>
      <c r="W12" s="425"/>
      <c r="X12" s="428"/>
      <c r="Y12" s="425"/>
      <c r="Z12" s="425"/>
      <c r="AA12" s="425"/>
      <c r="AB12" s="425"/>
      <c r="AC12" s="425"/>
      <c r="AD12" s="428"/>
      <c r="AE12" s="425"/>
      <c r="AF12" s="425"/>
      <c r="AG12" s="425"/>
      <c r="AH12" s="425"/>
      <c r="AI12" s="425"/>
      <c r="AJ12" s="441"/>
      <c r="AK12" s="442"/>
      <c r="AL12" s="442"/>
      <c r="AM12" s="442"/>
      <c r="AN12" s="442"/>
      <c r="AO12" s="443"/>
      <c r="AP12" s="68"/>
      <c r="AQ12" s="385"/>
      <c r="AR12" s="386"/>
      <c r="AS12" s="386"/>
      <c r="AT12" s="386"/>
      <c r="AU12" s="386"/>
      <c r="AV12" s="387"/>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380"/>
      <c r="E13" s="380"/>
      <c r="F13" s="381"/>
      <c r="G13" s="420"/>
      <c r="H13" s="421"/>
      <c r="I13" s="421"/>
      <c r="J13" s="421"/>
      <c r="K13" s="421"/>
      <c r="L13" s="428" t="e">
        <f>IF(AND('Mapa final'!#REF!="Muy Alta",'Mapa final'!#REF!="Leve"),CONCATENATE("R",'Mapa final'!#REF!),"")</f>
        <v>#REF!</v>
      </c>
      <c r="M13" s="425"/>
      <c r="N13" s="425" t="str">
        <f>IF(AND('Mapa final'!$K$19="Muy Alta",'Mapa final'!$O$19="Leve"),CONCATENATE("R",'Mapa final'!$A$19),"")</f>
        <v/>
      </c>
      <c r="O13" s="425"/>
      <c r="P13" s="425" t="str">
        <f>IF(AND('Mapa final'!$K$20="Muy Alta",'Mapa final'!$O$20="Leve"),CONCATENATE("R",'Mapa final'!$A$20),"")</f>
        <v/>
      </c>
      <c r="Q13" s="433"/>
      <c r="R13" s="428" t="e">
        <f>IF(AND('Mapa final'!#REF!="Muy Alta",'Mapa final'!#REF!="Menor"),CONCATENATE("R",'Mapa final'!#REF!),"")</f>
        <v>#REF!</v>
      </c>
      <c r="S13" s="425"/>
      <c r="T13" s="425" t="str">
        <f>IF(AND('Mapa final'!$P$19="Muy Alta",'Mapa final'!$S$19="Menor"),CONCATENATE("R",'Mapa final'!$A$19),"")</f>
        <v/>
      </c>
      <c r="U13" s="425"/>
      <c r="V13" s="425" t="str">
        <f>IF(AND('Mapa final'!$P$20="Muy Alta",'Mapa final'!$S$20="Menor"),CONCATENATE("R",'Mapa final'!$A$20),"")</f>
        <v/>
      </c>
      <c r="W13" s="425"/>
      <c r="X13" s="428" t="e">
        <f>IF(AND('Mapa final'!#REF!="Muy Alta",'Mapa final'!#REF!="Moderado"),CONCATENATE("R",'Mapa final'!#REF!),"")</f>
        <v>#REF!</v>
      </c>
      <c r="Y13" s="425"/>
      <c r="Z13" s="425" t="str">
        <f>IF(AND('Mapa final'!$P$19="Muy Alta",'Mapa final'!$S$19="Moderado"),CONCATENATE("R",'Mapa final'!$A$19),"")</f>
        <v/>
      </c>
      <c r="AA13" s="425"/>
      <c r="AB13" s="425" t="str">
        <f>IF(AND('Mapa final'!$P$20="Muy Alta",'Mapa final'!$S$20="Moderado"),CONCATENATE("R",'Mapa final'!$A$20),"")</f>
        <v/>
      </c>
      <c r="AC13" s="425"/>
      <c r="AD13" s="428" t="e">
        <f>IF(AND('Mapa final'!#REF!="Muy Alta",'Mapa final'!#REF!="Mayor"),CONCATENATE("R",'Mapa final'!#REF!),"")</f>
        <v>#REF!</v>
      </c>
      <c r="AE13" s="425"/>
      <c r="AF13" s="425" t="str">
        <f>IF(AND('Mapa final'!$P$19="Muy Alta",'Mapa final'!$S$19="Mayor"),CONCATENATE("R",'Mapa final'!$A$19),"")</f>
        <v/>
      </c>
      <c r="AG13" s="425"/>
      <c r="AH13" s="425" t="str">
        <f>IF(AND('Mapa final'!$P$20="Muy Alta",'Mapa final'!$S$20="Mayor"),CONCATENATE("R",'Mapa final'!$A$20),"")</f>
        <v/>
      </c>
      <c r="AI13" s="425"/>
      <c r="AJ13" s="441" t="e">
        <f>IF(AND('Mapa final'!#REF!="Muy Alta",'Mapa final'!#REF!="Catastrófico"),CONCATENATE("R",'Mapa final'!#REF!),"")</f>
        <v>#REF!</v>
      </c>
      <c r="AK13" s="442"/>
      <c r="AL13" s="442" t="str">
        <f>IF(AND('Mapa final'!$P$19="Muy Alta",'Mapa final'!$S$19="Catastrófico"),CONCATENATE("R",'Mapa final'!$A$19),"")</f>
        <v/>
      </c>
      <c r="AM13" s="442"/>
      <c r="AN13" s="442" t="str">
        <f>IF(AND('Mapa final'!$P$20="Muy Alta",'Mapa final'!$K$20="Catastrófico"),CONCATENATE("R",'Mapa final'!$A$20),"")</f>
        <v/>
      </c>
      <c r="AO13" s="443"/>
      <c r="AP13" s="68"/>
      <c r="AQ13" s="385"/>
      <c r="AR13" s="386"/>
      <c r="AS13" s="386"/>
      <c r="AT13" s="386"/>
      <c r="AU13" s="386"/>
      <c r="AV13" s="387"/>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380"/>
      <c r="E14" s="380"/>
      <c r="F14" s="381"/>
      <c r="G14" s="420"/>
      <c r="H14" s="421"/>
      <c r="I14" s="421"/>
      <c r="J14" s="421"/>
      <c r="K14" s="421"/>
      <c r="L14" s="428"/>
      <c r="M14" s="425"/>
      <c r="N14" s="425"/>
      <c r="O14" s="425"/>
      <c r="P14" s="425"/>
      <c r="Q14" s="433"/>
      <c r="R14" s="428"/>
      <c r="S14" s="425"/>
      <c r="T14" s="425"/>
      <c r="U14" s="425"/>
      <c r="V14" s="425"/>
      <c r="W14" s="425"/>
      <c r="X14" s="428"/>
      <c r="Y14" s="425"/>
      <c r="Z14" s="425"/>
      <c r="AA14" s="425"/>
      <c r="AB14" s="425"/>
      <c r="AC14" s="425"/>
      <c r="AD14" s="428"/>
      <c r="AE14" s="425"/>
      <c r="AF14" s="425"/>
      <c r="AG14" s="425"/>
      <c r="AH14" s="425"/>
      <c r="AI14" s="425"/>
      <c r="AJ14" s="441"/>
      <c r="AK14" s="442"/>
      <c r="AL14" s="442"/>
      <c r="AM14" s="442"/>
      <c r="AN14" s="442"/>
      <c r="AO14" s="443"/>
      <c r="AP14" s="68"/>
      <c r="AQ14" s="385"/>
      <c r="AR14" s="386"/>
      <c r="AS14" s="386"/>
      <c r="AT14" s="386"/>
      <c r="AU14" s="386"/>
      <c r="AV14" s="387"/>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380"/>
      <c r="E15" s="380"/>
      <c r="F15" s="381"/>
      <c r="G15" s="420"/>
      <c r="H15" s="421"/>
      <c r="I15" s="421"/>
      <c r="J15" s="421"/>
      <c r="K15" s="421"/>
      <c r="L15" s="428" t="str">
        <f>IF(AND('Mapa final'!$P$21="Muy Alta",'Mapa final'!$S$21="Leve"),CONCATENATE("R",'Mapa final'!$A$21),"")</f>
        <v/>
      </c>
      <c r="M15" s="425"/>
      <c r="N15" s="425" t="str">
        <f>IF(AND('Mapa final'!$K$22="Muy Alta",'Mapa final'!$O$22="Leve"),CONCATENATE("R",'Mapa final'!$A$22),"")</f>
        <v/>
      </c>
      <c r="O15" s="425"/>
      <c r="P15" s="425" t="str">
        <f>IF(AND('Mapa final'!$K$31="Muy Alta",'Mapa final'!$O$31="Leve"),CONCATENATE("R",'Mapa final'!$A$31),"")</f>
        <v/>
      </c>
      <c r="Q15" s="433"/>
      <c r="R15" s="428" t="str">
        <f>IF(AND('Mapa final'!$P$21="Muy Alta",'Mapa final'!$S$21="Menor"),CONCATENATE("R",'Mapa final'!$A$21),"")</f>
        <v/>
      </c>
      <c r="S15" s="425"/>
      <c r="T15" s="425" t="str">
        <f>IF(AND('Mapa final'!$LT$22="Muy Alta",'Mapa final'!$S$22="Menor"),CONCATENATE("R",'Mapa final'!$A$22),"")</f>
        <v/>
      </c>
      <c r="U15" s="425"/>
      <c r="V15" s="425" t="str">
        <f>IF(AND('Mapa final'!$P$31="Muy Alta",'Mapa final'!$S$31="Menor"),CONCATENATE("R",'Mapa final'!$A$31),"")</f>
        <v/>
      </c>
      <c r="W15" s="425"/>
      <c r="X15" s="428" t="str">
        <f>IF(AND('Mapa final'!$P$21="Muy Alta",'Mapa final'!$S$21="Moderado"),CONCATENATE("R",'Mapa final'!$A$21),"")</f>
        <v/>
      </c>
      <c r="Y15" s="425"/>
      <c r="Z15" s="425" t="str">
        <f>IF(AND('Mapa final'!$P$22="Muy Alta",'Mapa final'!$S$22="Moderado"),CONCATENATE("R",'Mapa final'!$A$22),"")</f>
        <v/>
      </c>
      <c r="AA15" s="425"/>
      <c r="AB15" s="425" t="str">
        <f>IF(AND('Mapa final'!$P$31="Muy Alta",'Mapa final'!$S$31="Moderado"),CONCATENATE("R",'Mapa final'!$A$31),"")</f>
        <v/>
      </c>
      <c r="AC15" s="425"/>
      <c r="AD15" s="428" t="str">
        <f>IF(AND('Mapa final'!$P$21="Muy Alta",'Mapa final'!$S$21="Mayor"),CONCATENATE("R",'Mapa final'!$A$21),"")</f>
        <v/>
      </c>
      <c r="AE15" s="425"/>
      <c r="AF15" s="425" t="str">
        <f>IF(AND('Mapa final'!$P$22="Muy Alta",'Mapa final'!$S$22="Mayor"),CONCATENATE("R",'Mapa final'!$A$22),"")</f>
        <v/>
      </c>
      <c r="AG15" s="425"/>
      <c r="AH15" s="425" t="str">
        <f>IF(AND('Mapa final'!$P$31="Muy Alta",'Mapa final'!$S$31="Mayor"),CONCATENATE("R",'Mapa final'!$A$31),"")</f>
        <v/>
      </c>
      <c r="AI15" s="425"/>
      <c r="AJ15" s="441" t="str">
        <f>IF(AND('Mapa final'!$P$21="Muy Alta",'Mapa final'!$S$21="Catastrófico"),CONCATENATE("R",'Mapa final'!$A$21),"")</f>
        <v/>
      </c>
      <c r="AK15" s="442"/>
      <c r="AL15" s="442" t="str">
        <f>IF(AND('Mapa final'!$P$22="Muy Alta",'Mapa final'!$S$22="Catastrófico"),CONCATENATE("R",'Mapa final'!$A$22),"")</f>
        <v/>
      </c>
      <c r="AM15" s="442"/>
      <c r="AN15" s="442" t="str">
        <f>IF(AND('Mapa final'!$P$31="Muy Alta",'Mapa final'!$S$31="Catastrófico"),CONCATENATE("R",'Mapa final'!$A$31),"")</f>
        <v/>
      </c>
      <c r="AO15" s="443"/>
      <c r="AP15" s="68"/>
      <c r="AQ15" s="385"/>
      <c r="AR15" s="386"/>
      <c r="AS15" s="386"/>
      <c r="AT15" s="386"/>
      <c r="AU15" s="386"/>
      <c r="AV15" s="387"/>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380"/>
      <c r="E16" s="380"/>
      <c r="F16" s="381"/>
      <c r="G16" s="420"/>
      <c r="H16" s="421"/>
      <c r="I16" s="421"/>
      <c r="J16" s="421"/>
      <c r="K16" s="421"/>
      <c r="L16" s="428"/>
      <c r="M16" s="425"/>
      <c r="N16" s="425"/>
      <c r="O16" s="425"/>
      <c r="P16" s="425"/>
      <c r="Q16" s="433"/>
      <c r="R16" s="428"/>
      <c r="S16" s="425"/>
      <c r="T16" s="425"/>
      <c r="U16" s="425"/>
      <c r="V16" s="425"/>
      <c r="W16" s="425"/>
      <c r="X16" s="428"/>
      <c r="Y16" s="425"/>
      <c r="Z16" s="425"/>
      <c r="AA16" s="425"/>
      <c r="AB16" s="425"/>
      <c r="AC16" s="425"/>
      <c r="AD16" s="428"/>
      <c r="AE16" s="425"/>
      <c r="AF16" s="425"/>
      <c r="AG16" s="425"/>
      <c r="AH16" s="425"/>
      <c r="AI16" s="425"/>
      <c r="AJ16" s="441"/>
      <c r="AK16" s="442"/>
      <c r="AL16" s="442"/>
      <c r="AM16" s="442"/>
      <c r="AN16" s="442"/>
      <c r="AO16" s="443"/>
      <c r="AP16" s="68"/>
      <c r="AQ16" s="385"/>
      <c r="AR16" s="386"/>
      <c r="AS16" s="386"/>
      <c r="AT16" s="386"/>
      <c r="AU16" s="386"/>
      <c r="AV16" s="387"/>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380"/>
      <c r="E17" s="380"/>
      <c r="F17" s="381"/>
      <c r="G17" s="420"/>
      <c r="H17" s="421"/>
      <c r="I17" s="421"/>
      <c r="J17" s="421"/>
      <c r="K17" s="421"/>
      <c r="L17" s="428" t="str">
        <f>IF(AND('Mapa final'!$P$32="Muy Alta",'Mapa final'!$S$32="Leve"),CONCATENATE("R",'Mapa final'!$A$32),"")</f>
        <v/>
      </c>
      <c r="M17" s="425"/>
      <c r="N17" s="425" t="str">
        <f>IF(AND('Mapa final'!$K$33="Muy Alta",'Mapa final'!$O$33="Leve"),CONCATENATE("R",'Mapa final'!$A$33),"")</f>
        <v/>
      </c>
      <c r="O17" s="425"/>
      <c r="P17" s="425" t="str">
        <f>IF(AND('Mapa final'!$K$34="Muy Alta",'Mapa final'!$O$34="Leve"),CONCATENATE("R",'Mapa final'!$A$34),"")</f>
        <v/>
      </c>
      <c r="Q17" s="433"/>
      <c r="R17" s="428" t="str">
        <f>IF(AND('Mapa final'!$P$32="Muy Alta",'Mapa final'!$S$32="Menor"),CONCATENATE("R",'Mapa final'!$A$32),"")</f>
        <v/>
      </c>
      <c r="S17" s="425"/>
      <c r="T17" s="425" t="str">
        <f>IF(AND('Mapa final'!$P$33="Muy Alta",'Mapa final'!$S$33="Menor"),CONCATENATE("R",'Mapa final'!$A$33),"")</f>
        <v/>
      </c>
      <c r="U17" s="425"/>
      <c r="V17" s="425" t="str">
        <f>IF(AND('Mapa final'!$P$34="Muy Alta",'Mapa final'!$S$34="Menor"),CONCATENATE("R",'Mapa final'!$A$34),"")</f>
        <v/>
      </c>
      <c r="W17" s="425"/>
      <c r="X17" s="428" t="str">
        <f>IF(AND('Mapa final'!$P$32="Muy Alta",'Mapa final'!$S$32="Moderado"),CONCATENATE("R",'Mapa final'!$A$32),"")</f>
        <v/>
      </c>
      <c r="Y17" s="425"/>
      <c r="Z17" s="425" t="str">
        <f>IF(AND('Mapa final'!$P$33="Muy Alta",'Mapa final'!$S$33="Moderado"),CONCATENATE("R",'Mapa final'!$A$33),"")</f>
        <v/>
      </c>
      <c r="AA17" s="425"/>
      <c r="AB17" s="425" t="str">
        <f>IF(AND('Mapa final'!$P$34="Muy Alta",'Mapa final'!$S$34="Moderado"),CONCATENATE("R",'Mapa final'!$A$34),"")</f>
        <v/>
      </c>
      <c r="AC17" s="425"/>
      <c r="AD17" s="428" t="str">
        <f>IF(AND('Mapa final'!$P$32="Muy Alta",'Mapa final'!$S$32="Mayor"),CONCATENATE("R",'Mapa final'!$A$32),"")</f>
        <v/>
      </c>
      <c r="AE17" s="425"/>
      <c r="AF17" s="425" t="str">
        <f>IF(AND('Mapa final'!$P$33="Muy Alta",'Mapa final'!$S$33="Mayor"),CONCATENATE("R",'Mapa final'!$A$33),"")</f>
        <v/>
      </c>
      <c r="AG17" s="425"/>
      <c r="AH17" s="425" t="str">
        <f>IF(AND('Mapa final'!$P$34="Muy Alta",'Mapa final'!$S$34="Mayor"),CONCATENATE("R",'Mapa final'!$A$34),"")</f>
        <v/>
      </c>
      <c r="AI17" s="425"/>
      <c r="AJ17" s="441" t="str">
        <f>IF(AND('Mapa final'!$P$32="Muy Alta",'Mapa final'!$S$32="Catastrófico"),CONCATENATE("R",'Mapa final'!$A$32),"")</f>
        <v/>
      </c>
      <c r="AK17" s="442"/>
      <c r="AL17" s="442" t="str">
        <f>IF(AND('Mapa final'!$P$33="Muy Alta",'Mapa final'!$S$33="Catastrófico"),CONCATENATE("R",'Mapa final'!$A$33),"")</f>
        <v/>
      </c>
      <c r="AM17" s="442"/>
      <c r="AN17" s="442" t="str">
        <f>IF(AND('Mapa final'!$P$34="Muy Alta",'Mapa final'!$S$34="Catastrófico"),CONCATENATE("R",'Mapa final'!$A$34),"")</f>
        <v/>
      </c>
      <c r="AO17" s="443"/>
      <c r="AP17" s="68"/>
      <c r="AQ17" s="385"/>
      <c r="AR17" s="386"/>
      <c r="AS17" s="386"/>
      <c r="AT17" s="386"/>
      <c r="AU17" s="386"/>
      <c r="AV17" s="387"/>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380"/>
      <c r="E18" s="380"/>
      <c r="F18" s="381"/>
      <c r="G18" s="422"/>
      <c r="H18" s="423"/>
      <c r="I18" s="423"/>
      <c r="J18" s="423"/>
      <c r="K18" s="423"/>
      <c r="L18" s="439"/>
      <c r="M18" s="434"/>
      <c r="N18" s="434"/>
      <c r="O18" s="434"/>
      <c r="P18" s="434"/>
      <c r="Q18" s="435"/>
      <c r="R18" s="439"/>
      <c r="S18" s="434"/>
      <c r="T18" s="434"/>
      <c r="U18" s="434"/>
      <c r="V18" s="434"/>
      <c r="W18" s="434"/>
      <c r="X18" s="428"/>
      <c r="Y18" s="425"/>
      <c r="Z18" s="425"/>
      <c r="AA18" s="425"/>
      <c r="AB18" s="425"/>
      <c r="AC18" s="425"/>
      <c r="AD18" s="428"/>
      <c r="AE18" s="425"/>
      <c r="AF18" s="425"/>
      <c r="AG18" s="425"/>
      <c r="AH18" s="425"/>
      <c r="AI18" s="425"/>
      <c r="AJ18" s="441"/>
      <c r="AK18" s="442"/>
      <c r="AL18" s="442"/>
      <c r="AM18" s="442"/>
      <c r="AN18" s="442"/>
      <c r="AO18" s="443"/>
      <c r="AP18" s="68"/>
      <c r="AQ18" s="388"/>
      <c r="AR18" s="389"/>
      <c r="AS18" s="389"/>
      <c r="AT18" s="389"/>
      <c r="AU18" s="389"/>
      <c r="AV18" s="390"/>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380"/>
      <c r="E19" s="380"/>
      <c r="F19" s="381"/>
      <c r="G19" s="418" t="s">
        <v>295</v>
      </c>
      <c r="H19" s="419"/>
      <c r="I19" s="419"/>
      <c r="J19" s="419"/>
      <c r="K19" s="419"/>
      <c r="L19" s="454"/>
      <c r="M19" s="455"/>
      <c r="N19" s="455" t="str">
        <f>IF(AND('Mapa final'!$K$15="Alta",'Mapa final'!$O$15="Leve"),CONCATENATE("R",'Mapa final'!$A$16),"")</f>
        <v/>
      </c>
      <c r="O19" s="455"/>
      <c r="P19" s="455" t="str">
        <f>IF(AND('Mapa final'!$K$17="Alta",'Mapa final'!$O$17="Leve"),CONCATENATE("R",'Mapa final'!$A$17),"")</f>
        <v/>
      </c>
      <c r="Q19" s="456"/>
      <c r="R19" s="454"/>
      <c r="S19" s="455"/>
      <c r="T19" s="437" t="str">
        <f>IF(AND('Mapa final'!$P$15="Alta",'Mapa final'!$S$15="Menor"),CONCATENATE("R",'Mapa final'!$A$16),"")</f>
        <v/>
      </c>
      <c r="U19" s="437"/>
      <c r="V19" s="437" t="str">
        <f>IF(AND('Mapa final'!$P$17="Alta",'Mapa final'!$S$17="Menor"),CONCATENATE("R",'Mapa final'!$A$17),"")</f>
        <v/>
      </c>
      <c r="W19" s="437"/>
      <c r="X19" s="426"/>
      <c r="Y19" s="427"/>
      <c r="Z19" s="427" t="str">
        <f>IF(AND('Mapa final'!P$15="Alta",'Mapa final'!$S$15="Moderado"),CONCATENATE("R",'Mapa final'!$A$16),"")</f>
        <v>R</v>
      </c>
      <c r="AA19" s="427"/>
      <c r="AB19" s="427" t="str">
        <f>IF(AND('Mapa final'!$P$17="Alta",'Mapa final'!$S$17="Moderado"),CONCATENATE("R",'Mapa final'!$A$17),"")</f>
        <v/>
      </c>
      <c r="AC19" s="427"/>
      <c r="AD19" s="426"/>
      <c r="AE19" s="427"/>
      <c r="AF19" s="427" t="str">
        <f>IF(AND('Mapa final'!$P$15="Alta",'Mapa final'!$S$15="Mayor"),CONCATENATE("R",'Mapa final'!$A$16),"")</f>
        <v/>
      </c>
      <c r="AG19" s="427"/>
      <c r="AH19" s="427" t="str">
        <f>IF(AND('Mapa final'!$P$17="Alta",'Mapa final'!$S$17="Mayor"),CONCATENATE("R",'Mapa final'!$A$17),"")</f>
        <v/>
      </c>
      <c r="AI19" s="427"/>
      <c r="AJ19" s="444"/>
      <c r="AK19" s="445"/>
      <c r="AL19" s="445" t="str">
        <f>IF(AND('Mapa final'!$P$15="Alta",'Mapa final'!$S$15="Catastrófico"),CONCATENATE("R",'Mapa final'!$A$16),"")</f>
        <v/>
      </c>
      <c r="AM19" s="445"/>
      <c r="AN19" s="445" t="str">
        <f>IF(AND('Mapa final'!$P$17="Alta",'Mapa final'!$S$17="Catastrófico"),CONCATENATE("R",'Mapa final'!$A$17),"")</f>
        <v/>
      </c>
      <c r="AO19" s="446"/>
      <c r="AP19" s="68"/>
      <c r="AQ19" s="391" t="s">
        <v>296</v>
      </c>
      <c r="AR19" s="392"/>
      <c r="AS19" s="392"/>
      <c r="AT19" s="392"/>
      <c r="AU19" s="392"/>
      <c r="AV19" s="393"/>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380"/>
      <c r="E20" s="380"/>
      <c r="F20" s="381"/>
      <c r="G20" s="420"/>
      <c r="H20" s="421"/>
      <c r="I20" s="421"/>
      <c r="J20" s="421"/>
      <c r="K20" s="421"/>
      <c r="L20" s="436"/>
      <c r="M20" s="437"/>
      <c r="N20" s="437"/>
      <c r="O20" s="437"/>
      <c r="P20" s="437"/>
      <c r="Q20" s="450"/>
      <c r="R20" s="436"/>
      <c r="S20" s="437"/>
      <c r="T20" s="437"/>
      <c r="U20" s="437"/>
      <c r="V20" s="437"/>
      <c r="W20" s="437"/>
      <c r="X20" s="428"/>
      <c r="Y20" s="425"/>
      <c r="Z20" s="425"/>
      <c r="AA20" s="425"/>
      <c r="AB20" s="425"/>
      <c r="AC20" s="425"/>
      <c r="AD20" s="428"/>
      <c r="AE20" s="425"/>
      <c r="AF20" s="425"/>
      <c r="AG20" s="425"/>
      <c r="AH20" s="425"/>
      <c r="AI20" s="425"/>
      <c r="AJ20" s="441"/>
      <c r="AK20" s="442"/>
      <c r="AL20" s="442"/>
      <c r="AM20" s="442"/>
      <c r="AN20" s="442"/>
      <c r="AO20" s="443"/>
      <c r="AP20" s="68"/>
      <c r="AQ20" s="394"/>
      <c r="AR20" s="395"/>
      <c r="AS20" s="395"/>
      <c r="AT20" s="395"/>
      <c r="AU20" s="395"/>
      <c r="AV20" s="396"/>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380"/>
      <c r="E21" s="380"/>
      <c r="F21" s="381"/>
      <c r="G21" s="420"/>
      <c r="H21" s="421"/>
      <c r="I21" s="421"/>
      <c r="J21" s="421"/>
      <c r="K21" s="421"/>
      <c r="L21" s="436" t="e">
        <f>IF(AND('Mapa final'!#REF!="Alta",'Mapa final'!#REF!="Leve"),CONCATENATE("R",'Mapa final'!#REF!),"")</f>
        <v>#REF!</v>
      </c>
      <c r="M21" s="437"/>
      <c r="N21" s="437" t="str">
        <f>IF(AND('Mapa final'!$K$19="Alta",'Mapa final'!$O$19="Leve"),CONCATENATE("R",'Mapa final'!$A$19),"")</f>
        <v/>
      </c>
      <c r="O21" s="437"/>
      <c r="P21" s="437" t="str">
        <f>IF(AND('Mapa final'!$K$20="Alta",'Mapa final'!$O$20="Leve"),CONCATENATE("R",'Mapa final'!$A$20),"")</f>
        <v/>
      </c>
      <c r="Q21" s="450"/>
      <c r="R21" s="436" t="e">
        <f>IF(AND('Mapa final'!#REF!="Alta",'Mapa final'!#REF!="Menor"),CONCATENATE("R",'Mapa final'!#REF!),"")</f>
        <v>#REF!</v>
      </c>
      <c r="S21" s="437"/>
      <c r="T21" s="437" t="str">
        <f>IF(AND('Mapa final'!$P$19="Alta",'Mapa final'!$S$19="Menor"),CONCATENATE("R",'Mapa final'!$A$19),"")</f>
        <v/>
      </c>
      <c r="U21" s="437"/>
      <c r="V21" s="437" t="str">
        <f>IF(AND('Mapa final'!$P$20="Alta",'Mapa final'!$S$20="Menor"),CONCATENATE("R",'Mapa final'!$A$20),"")</f>
        <v/>
      </c>
      <c r="W21" s="437"/>
      <c r="X21" s="428" t="e">
        <f>IF(AND('Mapa final'!#REF!="Alta",'Mapa final'!#REF!="Moderado"),CONCATENATE("R",'Mapa final'!#REF!),"")</f>
        <v>#REF!</v>
      </c>
      <c r="Y21" s="425"/>
      <c r="Z21" s="425" t="str">
        <f>IF(AND('Mapa final'!$P$19="Alta",'Mapa final'!$S$19="Moderado"),CONCATENATE("R",'Mapa final'!$A$19),"")</f>
        <v/>
      </c>
      <c r="AA21" s="425"/>
      <c r="AB21" s="425" t="str">
        <f>IF(AND('Mapa final'!$P$20="Alta",'Mapa final'!$S$20="Moderado"),CONCATENATE("R",'Mapa final'!$A$20),"")</f>
        <v/>
      </c>
      <c r="AC21" s="425"/>
      <c r="AD21" s="428" t="e">
        <f>IF(AND('Mapa final'!#REF!="Alta",'Mapa final'!#REF!="Mayor"),CONCATENATE("R",'Mapa final'!#REF!),"")</f>
        <v>#REF!</v>
      </c>
      <c r="AE21" s="425"/>
      <c r="AF21" s="425" t="str">
        <f>IF(AND('Mapa final'!$P$19="Alta",'Mapa final'!$S$19="Mayor"),CONCATENATE("R",'Mapa final'!$A$19),"")</f>
        <v/>
      </c>
      <c r="AG21" s="425"/>
      <c r="AH21" s="425" t="str">
        <f>IF(AND('Mapa final'!$P$20="Alta",'Mapa final'!$S$20="Mayor"),CONCATENATE("R",'Mapa final'!$A$20),"")</f>
        <v/>
      </c>
      <c r="AI21" s="425"/>
      <c r="AJ21" s="441" t="e">
        <f>IF(AND('Mapa final'!#REF!="Alta",'Mapa final'!#REF!="Catastrófico"),CONCATENATE("R",'Mapa final'!#REF!),"")</f>
        <v>#REF!</v>
      </c>
      <c r="AK21" s="442"/>
      <c r="AL21" s="442" t="str">
        <f>IF(AND('Mapa final'!$P$19="Alta",'Mapa final'!$S$19="Catastrófico"),CONCATENATE("R",'Mapa final'!$A$19),"")</f>
        <v/>
      </c>
      <c r="AM21" s="442"/>
      <c r="AN21" s="442" t="str">
        <f>IF(AND('Mapa final'!$P$20="Alta",'Mapa final'!$K$20="Catastrófico"),CONCATENATE("R",'Mapa final'!$A$20),"")</f>
        <v/>
      </c>
      <c r="AO21" s="443"/>
      <c r="AP21" s="68"/>
      <c r="AQ21" s="394"/>
      <c r="AR21" s="395"/>
      <c r="AS21" s="395"/>
      <c r="AT21" s="395"/>
      <c r="AU21" s="395"/>
      <c r="AV21" s="396"/>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380"/>
      <c r="E22" s="380"/>
      <c r="F22" s="381"/>
      <c r="G22" s="420"/>
      <c r="H22" s="421"/>
      <c r="I22" s="421"/>
      <c r="J22" s="421"/>
      <c r="K22" s="421"/>
      <c r="L22" s="436"/>
      <c r="M22" s="437"/>
      <c r="N22" s="437"/>
      <c r="O22" s="437"/>
      <c r="P22" s="437"/>
      <c r="Q22" s="450"/>
      <c r="R22" s="436"/>
      <c r="S22" s="437"/>
      <c r="T22" s="437"/>
      <c r="U22" s="437"/>
      <c r="V22" s="437"/>
      <c r="W22" s="437"/>
      <c r="X22" s="428"/>
      <c r="Y22" s="425"/>
      <c r="Z22" s="425"/>
      <c r="AA22" s="425"/>
      <c r="AB22" s="425"/>
      <c r="AC22" s="425"/>
      <c r="AD22" s="428"/>
      <c r="AE22" s="425"/>
      <c r="AF22" s="425"/>
      <c r="AG22" s="425"/>
      <c r="AH22" s="425"/>
      <c r="AI22" s="425"/>
      <c r="AJ22" s="441"/>
      <c r="AK22" s="442"/>
      <c r="AL22" s="442"/>
      <c r="AM22" s="442"/>
      <c r="AN22" s="442"/>
      <c r="AO22" s="443"/>
      <c r="AP22" s="68"/>
      <c r="AQ22" s="394"/>
      <c r="AR22" s="395"/>
      <c r="AS22" s="395"/>
      <c r="AT22" s="395"/>
      <c r="AU22" s="395"/>
      <c r="AV22" s="396"/>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380"/>
      <c r="E23" s="380"/>
      <c r="F23" s="381"/>
      <c r="G23" s="420"/>
      <c r="H23" s="421"/>
      <c r="I23" s="421"/>
      <c r="J23" s="421"/>
      <c r="K23" s="421"/>
      <c r="L23" s="436" t="str">
        <f>IF(AND('Mapa final'!$P$21="Alta",'Mapa final'!$S$21="Leve"),CONCATENATE("R",'Mapa final'!$A$21),"")</f>
        <v/>
      </c>
      <c r="M23" s="437"/>
      <c r="N23" s="437" t="str">
        <f>IF(AND('Mapa final'!$K$22="Alta",'Mapa final'!$O$22="Leve"),CONCATENATE("R",'Mapa final'!$A$22),"")</f>
        <v/>
      </c>
      <c r="O23" s="437"/>
      <c r="P23" s="437" t="str">
        <f>IF(AND('Mapa final'!$K$31="Alta",'Mapa final'!$O$31="Leve"),CONCATENATE("R",'Mapa final'!$A$31),"")</f>
        <v/>
      </c>
      <c r="Q23" s="450"/>
      <c r="R23" s="436" t="str">
        <f>IF(AND('Mapa final'!$P$21="Alta",'Mapa final'!$S$21="Menor"),CONCATENATE("R",'Mapa final'!$A$21),"")</f>
        <v/>
      </c>
      <c r="S23" s="437"/>
      <c r="T23" s="437" t="str">
        <f>IF(AND('Mapa final'!$LT$22="Alta",'Mapa final'!$S$22="Menor"),CONCATENATE("R",'Mapa final'!$A$22),"")</f>
        <v/>
      </c>
      <c r="U23" s="437"/>
      <c r="V23" s="437" t="str">
        <f>IF(AND('Mapa final'!$P$31="Alta",'Mapa final'!$S$31="Menor"),CONCATENATE("R",'Mapa final'!$A$31),"")</f>
        <v/>
      </c>
      <c r="W23" s="437"/>
      <c r="X23" s="428" t="str">
        <f>IF(AND('Mapa final'!$P$21="Alta",'Mapa final'!$S$21="Moderado"),CONCATENATE("R",'Mapa final'!$A$21),"")</f>
        <v/>
      </c>
      <c r="Y23" s="425"/>
      <c r="Z23" s="425" t="str">
        <f>IF(AND('Mapa final'!$P$22="Alta",'Mapa final'!$S$22="Moderado"),CONCATENATE("R",'Mapa final'!$A$22),"")</f>
        <v/>
      </c>
      <c r="AA23" s="425"/>
      <c r="AB23" s="425" t="str">
        <f>IF(AND('Mapa final'!$P$31="Alta",'Mapa final'!$S$31="Moderado"),CONCATENATE("R",'Mapa final'!$A$31),"")</f>
        <v/>
      </c>
      <c r="AC23" s="425"/>
      <c r="AD23" s="428" t="str">
        <f>IF(AND('Mapa final'!$P$21="Alta",'Mapa final'!$S$21="Mayor"),CONCATENATE("R",'Mapa final'!$A$21),"")</f>
        <v/>
      </c>
      <c r="AE23" s="425"/>
      <c r="AF23" s="425" t="str">
        <f>IF(AND('Mapa final'!$P$22="Alta",'Mapa final'!$S$22="Mayor"),CONCATENATE("R",'Mapa final'!$A$22),"")</f>
        <v/>
      </c>
      <c r="AG23" s="425"/>
      <c r="AH23" s="425" t="str">
        <f>IF(AND('Mapa final'!$P$31="Alta",'Mapa final'!$S$31="Mayor"),CONCATENATE("R",'Mapa final'!$A$31),"")</f>
        <v/>
      </c>
      <c r="AI23" s="425"/>
      <c r="AJ23" s="441" t="str">
        <f>IF(AND('Mapa final'!$P$21="Alta",'Mapa final'!$S$21="Catastrófico"),CONCATENATE("R",'Mapa final'!$A$21),"")</f>
        <v/>
      </c>
      <c r="AK23" s="442"/>
      <c r="AL23" s="442" t="str">
        <f>IF(AND('Mapa final'!$P$22="Alta",'Mapa final'!$S$22="Catastrófico"),CONCATENATE("R",'Mapa final'!$A$22),"")</f>
        <v/>
      </c>
      <c r="AM23" s="442"/>
      <c r="AN23" s="442" t="str">
        <f>IF(AND('Mapa final'!$P$31="Alta",'Mapa final'!$S$31="Catastrófico"),CONCATENATE("R",'Mapa final'!$A$31),"")</f>
        <v/>
      </c>
      <c r="AO23" s="443"/>
      <c r="AP23" s="68"/>
      <c r="AQ23" s="394"/>
      <c r="AR23" s="395"/>
      <c r="AS23" s="395"/>
      <c r="AT23" s="395"/>
      <c r="AU23" s="395"/>
      <c r="AV23" s="396"/>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380"/>
      <c r="E24" s="380"/>
      <c r="F24" s="381"/>
      <c r="G24" s="420"/>
      <c r="H24" s="421"/>
      <c r="I24" s="421"/>
      <c r="J24" s="421"/>
      <c r="K24" s="421"/>
      <c r="L24" s="436"/>
      <c r="M24" s="437"/>
      <c r="N24" s="437"/>
      <c r="O24" s="437"/>
      <c r="P24" s="437"/>
      <c r="Q24" s="450"/>
      <c r="R24" s="436"/>
      <c r="S24" s="437"/>
      <c r="T24" s="437"/>
      <c r="U24" s="437"/>
      <c r="V24" s="437"/>
      <c r="W24" s="437"/>
      <c r="X24" s="428"/>
      <c r="Y24" s="425"/>
      <c r="Z24" s="425"/>
      <c r="AA24" s="425"/>
      <c r="AB24" s="425"/>
      <c r="AC24" s="425"/>
      <c r="AD24" s="428"/>
      <c r="AE24" s="425"/>
      <c r="AF24" s="425"/>
      <c r="AG24" s="425"/>
      <c r="AH24" s="425"/>
      <c r="AI24" s="425"/>
      <c r="AJ24" s="441"/>
      <c r="AK24" s="442"/>
      <c r="AL24" s="442"/>
      <c r="AM24" s="442"/>
      <c r="AN24" s="442"/>
      <c r="AO24" s="443"/>
      <c r="AP24" s="68"/>
      <c r="AQ24" s="394"/>
      <c r="AR24" s="395"/>
      <c r="AS24" s="395"/>
      <c r="AT24" s="395"/>
      <c r="AU24" s="395"/>
      <c r="AV24" s="396"/>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380"/>
      <c r="E25" s="380"/>
      <c r="F25" s="381"/>
      <c r="G25" s="420"/>
      <c r="H25" s="421"/>
      <c r="I25" s="421"/>
      <c r="J25" s="421"/>
      <c r="K25" s="421"/>
      <c r="L25" s="436" t="str">
        <f>IF(AND('Mapa final'!$P$32="Alta",'Mapa final'!$S$32="Leve"),CONCATENATE("R",'Mapa final'!$A$32),"")</f>
        <v/>
      </c>
      <c r="M25" s="437"/>
      <c r="N25" s="437" t="str">
        <f>IF(AND('Mapa final'!$K$33="Alta",'Mapa final'!$O$33="Leve"),CONCATENATE("R",'Mapa final'!$A$33),"")</f>
        <v/>
      </c>
      <c r="O25" s="437"/>
      <c r="P25" s="437" t="str">
        <f>IF(AND('Mapa final'!$K$34="Alta",'Mapa final'!$O$34="Leve"),CONCATENATE("R",'Mapa final'!$A$34),"")</f>
        <v/>
      </c>
      <c r="Q25" s="450"/>
      <c r="R25" s="436" t="str">
        <f>IF(AND('Mapa final'!$P$32="Alta",'Mapa final'!$S$32="Menor"),CONCATENATE("R",'Mapa final'!$A$32),"")</f>
        <v/>
      </c>
      <c r="S25" s="437"/>
      <c r="T25" s="437" t="str">
        <f>IF(AND('Mapa final'!$P$33="Alta",'Mapa final'!$S$33="Menor"),CONCATENATE("R",'Mapa final'!$A$33),"")</f>
        <v/>
      </c>
      <c r="U25" s="437"/>
      <c r="V25" s="437" t="str">
        <f>IF(AND('Mapa final'!$P$34="Alta",'Mapa final'!$S$34="Menor"),CONCATENATE("R",'Mapa final'!$A$34),"")</f>
        <v/>
      </c>
      <c r="W25" s="437"/>
      <c r="X25" s="428" t="str">
        <f>IF(AND('Mapa final'!$P$32="Alta",'Mapa final'!$S$32="Moderado"),CONCATENATE("R",'Mapa final'!$A$32),"")</f>
        <v/>
      </c>
      <c r="Y25" s="425"/>
      <c r="Z25" s="425" t="str">
        <f>IF(AND('Mapa final'!$P$33="Alta",'Mapa final'!$S$33="Moderado"),CONCATENATE("R",'Mapa final'!$A$33),"")</f>
        <v/>
      </c>
      <c r="AA25" s="425"/>
      <c r="AB25" s="425" t="str">
        <f>IF(AND('Mapa final'!$P$34="Alta",'Mapa final'!$S$34="Moderado"),CONCATENATE("R",'Mapa final'!$A$34),"")</f>
        <v/>
      </c>
      <c r="AC25" s="425"/>
      <c r="AD25" s="428" t="str">
        <f>IF(AND('Mapa final'!$P$32="Alta",'Mapa final'!$S$32="Mayor"),CONCATENATE("R",'Mapa final'!$A$32),"")</f>
        <v/>
      </c>
      <c r="AE25" s="425"/>
      <c r="AF25" s="425" t="str">
        <f>IF(AND('Mapa final'!$P$33="Alta",'Mapa final'!$S$33="Mayor"),CONCATENATE("R",'Mapa final'!$A$33),"")</f>
        <v/>
      </c>
      <c r="AG25" s="425"/>
      <c r="AH25" s="425" t="str">
        <f>IF(AND('Mapa final'!$P$34="Alta",'Mapa final'!$S$34="Mayor"),CONCATENATE("R",'Mapa final'!$A$34),"")</f>
        <v/>
      </c>
      <c r="AI25" s="425"/>
      <c r="AJ25" s="441" t="str">
        <f>IF(AND('Mapa final'!$P$32="Alta",'Mapa final'!$S$32="Catastrófico"),CONCATENATE("R",'Mapa final'!$A$32),"")</f>
        <v/>
      </c>
      <c r="AK25" s="442"/>
      <c r="AL25" s="442" t="str">
        <f>IF(AND('Mapa final'!$P$33="Alta",'Mapa final'!$S$33="Catastrófico"),CONCATENATE("R",'Mapa final'!$A$33),"")</f>
        <v/>
      </c>
      <c r="AM25" s="442"/>
      <c r="AN25" s="442" t="str">
        <f>IF(AND('Mapa final'!$P$34="Alta",'Mapa final'!$S$34="Catastrófico"),CONCATENATE("R",'Mapa final'!$A$34),"")</f>
        <v/>
      </c>
      <c r="AO25" s="443"/>
      <c r="AP25" s="68"/>
      <c r="AQ25" s="394"/>
      <c r="AR25" s="395"/>
      <c r="AS25" s="395"/>
      <c r="AT25" s="395"/>
      <c r="AU25" s="395"/>
      <c r="AV25" s="396"/>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380"/>
      <c r="E26" s="380"/>
      <c r="F26" s="381"/>
      <c r="G26" s="422"/>
      <c r="H26" s="423"/>
      <c r="I26" s="423"/>
      <c r="J26" s="423"/>
      <c r="K26" s="423"/>
      <c r="L26" s="451"/>
      <c r="M26" s="452"/>
      <c r="N26" s="452"/>
      <c r="O26" s="452"/>
      <c r="P26" s="452"/>
      <c r="Q26" s="453"/>
      <c r="R26" s="451"/>
      <c r="S26" s="452"/>
      <c r="T26" s="437"/>
      <c r="U26" s="437"/>
      <c r="V26" s="437"/>
      <c r="W26" s="437"/>
      <c r="X26" s="428"/>
      <c r="Y26" s="425"/>
      <c r="Z26" s="425"/>
      <c r="AA26" s="425"/>
      <c r="AB26" s="425"/>
      <c r="AC26" s="425"/>
      <c r="AD26" s="428"/>
      <c r="AE26" s="425"/>
      <c r="AF26" s="425"/>
      <c r="AG26" s="425"/>
      <c r="AH26" s="425"/>
      <c r="AI26" s="425"/>
      <c r="AJ26" s="441"/>
      <c r="AK26" s="442"/>
      <c r="AL26" s="442"/>
      <c r="AM26" s="442"/>
      <c r="AN26" s="442"/>
      <c r="AO26" s="443"/>
      <c r="AP26" s="68"/>
      <c r="AQ26" s="397"/>
      <c r="AR26" s="398"/>
      <c r="AS26" s="398"/>
      <c r="AT26" s="398"/>
      <c r="AU26" s="398"/>
      <c r="AV26" s="399"/>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380"/>
      <c r="E27" s="380"/>
      <c r="F27" s="381"/>
      <c r="G27" s="418" t="s">
        <v>297</v>
      </c>
      <c r="H27" s="419"/>
      <c r="I27" s="419"/>
      <c r="J27" s="419"/>
      <c r="K27" s="419"/>
      <c r="L27" s="454"/>
      <c r="M27" s="455"/>
      <c r="N27" s="455" t="str">
        <f>IF(AND('Mapa final'!$K$15="Media",'Mapa final'!$O$15="Leve"),CONCATENATE("R",'Mapa final'!$A$16),"")</f>
        <v/>
      </c>
      <c r="O27" s="455"/>
      <c r="P27" s="455" t="str">
        <f>IF(AND('Mapa final'!$K$17="Media",'Mapa final'!$O$17="Leve"),CONCATENATE("R",'Mapa final'!$A$17),"")</f>
        <v/>
      </c>
      <c r="Q27" s="456"/>
      <c r="R27" s="454"/>
      <c r="S27" s="455"/>
      <c r="T27" s="455" t="str">
        <f>IF(AND('Mapa final'!$P$15="Media",'Mapa final'!$S$15="Menor"),CONCATENATE("R",'Mapa final'!$A$16),"")</f>
        <v/>
      </c>
      <c r="U27" s="455"/>
      <c r="V27" s="455" t="str">
        <f>IF(AND('Mapa final'!$P$17="Media",'Mapa final'!$S$17="Menor"),CONCATENATE("R",'Mapa final'!$A$17),"")</f>
        <v/>
      </c>
      <c r="W27" s="455"/>
      <c r="X27" s="454"/>
      <c r="Y27" s="455"/>
      <c r="Z27" s="455" t="str">
        <f>IF(AND('Mapa final'!P$15="Media",'Mapa final'!$S$15="Moderado"),CONCATENATE("R",'Mapa final'!$A$16),"")</f>
        <v/>
      </c>
      <c r="AA27" s="455"/>
      <c r="AB27" s="455" t="str">
        <f>IF(AND('Mapa final'!$P$17="Media",'Mapa final'!$S$17="Moderado"),CONCATENATE("R",'Mapa final'!$A$17),"")</f>
        <v/>
      </c>
      <c r="AC27" s="455"/>
      <c r="AD27" s="426"/>
      <c r="AE27" s="427"/>
      <c r="AF27" s="427" t="str">
        <f>IF(AND('Mapa final'!$P$15="Media",'Mapa final'!$S$15="Mayor"),CONCATENATE("R",'Mapa final'!$A$16),"")</f>
        <v/>
      </c>
      <c r="AG27" s="427"/>
      <c r="AH27" s="427" t="str">
        <f>IF(AND('Mapa final'!$P$17="Media",'Mapa final'!$S$17="Mayor"),CONCATENATE("R",'Mapa final'!$A$17),"")</f>
        <v/>
      </c>
      <c r="AI27" s="427"/>
      <c r="AJ27" s="444"/>
      <c r="AK27" s="445"/>
      <c r="AL27" s="445" t="str">
        <f>IF(AND('Mapa final'!$P$15="Media",'Mapa final'!$S$15="Catastrófico"),CONCATENATE("R",'Mapa final'!$A$16),"")</f>
        <v/>
      </c>
      <c r="AM27" s="445"/>
      <c r="AN27" s="445" t="str">
        <f>IF(AND('Mapa final'!$P$17="Media",'Mapa final'!$S$17="Catastrófico"),CONCATENATE("R",'Mapa final'!$A$17),"")</f>
        <v/>
      </c>
      <c r="AO27" s="446"/>
      <c r="AP27" s="68"/>
      <c r="AQ27" s="400" t="s">
        <v>177</v>
      </c>
      <c r="AR27" s="401"/>
      <c r="AS27" s="401"/>
      <c r="AT27" s="401"/>
      <c r="AU27" s="401"/>
      <c r="AV27" s="402"/>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380"/>
      <c r="E28" s="380"/>
      <c r="F28" s="381"/>
      <c r="G28" s="420"/>
      <c r="H28" s="421"/>
      <c r="I28" s="421"/>
      <c r="J28" s="421"/>
      <c r="K28" s="421"/>
      <c r="L28" s="436"/>
      <c r="M28" s="437"/>
      <c r="N28" s="437"/>
      <c r="O28" s="437"/>
      <c r="P28" s="437"/>
      <c r="Q28" s="450"/>
      <c r="R28" s="436"/>
      <c r="S28" s="437"/>
      <c r="T28" s="437"/>
      <c r="U28" s="437"/>
      <c r="V28" s="437"/>
      <c r="W28" s="437"/>
      <c r="X28" s="436"/>
      <c r="Y28" s="437"/>
      <c r="Z28" s="437"/>
      <c r="AA28" s="437"/>
      <c r="AB28" s="437"/>
      <c r="AC28" s="437"/>
      <c r="AD28" s="428"/>
      <c r="AE28" s="425"/>
      <c r="AF28" s="425"/>
      <c r="AG28" s="425"/>
      <c r="AH28" s="425"/>
      <c r="AI28" s="425"/>
      <c r="AJ28" s="441"/>
      <c r="AK28" s="442"/>
      <c r="AL28" s="442"/>
      <c r="AM28" s="442"/>
      <c r="AN28" s="442"/>
      <c r="AO28" s="443"/>
      <c r="AP28" s="68"/>
      <c r="AQ28" s="403"/>
      <c r="AR28" s="404"/>
      <c r="AS28" s="404"/>
      <c r="AT28" s="404"/>
      <c r="AU28" s="404"/>
      <c r="AV28" s="405"/>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380"/>
      <c r="E29" s="380"/>
      <c r="F29" s="381"/>
      <c r="G29" s="420"/>
      <c r="H29" s="421"/>
      <c r="I29" s="421"/>
      <c r="J29" s="421"/>
      <c r="K29" s="421"/>
      <c r="L29" s="436" t="e">
        <f>IF(AND('Mapa final'!#REF!="Media",'Mapa final'!#REF!="Leve"),CONCATENATE("R",'Mapa final'!#REF!),"")</f>
        <v>#REF!</v>
      </c>
      <c r="M29" s="437"/>
      <c r="N29" s="437" t="str">
        <f>IF(AND('Mapa final'!$K$19="Media",'Mapa final'!$O$19="Leve"),CONCATENATE("R",'Mapa final'!$A$19),"")</f>
        <v/>
      </c>
      <c r="O29" s="437"/>
      <c r="P29" s="437" t="str">
        <f>IF(AND('Mapa final'!$K$20="Media",'Mapa final'!$O$20="Leve"),CONCATENATE("R",'Mapa final'!$A$20),"")</f>
        <v/>
      </c>
      <c r="Q29" s="450"/>
      <c r="R29" s="436" t="e">
        <f>IF(AND('Mapa final'!#REF!="Media",'Mapa final'!#REF!="Menor"),CONCATENATE("R",'Mapa final'!#REF!),"")</f>
        <v>#REF!</v>
      </c>
      <c r="S29" s="437"/>
      <c r="T29" s="437" t="str">
        <f>IF(AND('Mapa final'!$P$19="Media",'Mapa final'!$S$19="Menor"),CONCATENATE("R",'Mapa final'!$A$19),"")</f>
        <v/>
      </c>
      <c r="U29" s="437"/>
      <c r="V29" s="437" t="str">
        <f>IF(AND('Mapa final'!$P$20="Media",'Mapa final'!$S$20="Menor"),CONCATENATE("R",'Mapa final'!$A$20),"")</f>
        <v/>
      </c>
      <c r="W29" s="437"/>
      <c r="X29" s="436" t="e">
        <f>IF(AND('Mapa final'!#REF!="Media",'Mapa final'!#REF!="Moderado"),CONCATENATE("R",'Mapa final'!#REF!),"")</f>
        <v>#REF!</v>
      </c>
      <c r="Y29" s="437"/>
      <c r="Z29" s="437" t="str">
        <f>IF(AND('Mapa final'!$P$19="Media",'Mapa final'!$S$19="Moderado"),CONCATENATE("R",'Mapa final'!$A$19),"")</f>
        <v>R</v>
      </c>
      <c r="AA29" s="437"/>
      <c r="AB29" s="437" t="str">
        <f>IF(AND('Mapa final'!$P$20="Media",'Mapa final'!$S$20="Moderado"),CONCATENATE("R",'Mapa final'!$A$20),"")</f>
        <v/>
      </c>
      <c r="AC29" s="437"/>
      <c r="AD29" s="428" t="e">
        <f>IF(AND('Mapa final'!#REF!="Media",'Mapa final'!#REF!="Mayor"),CONCATENATE("R",'Mapa final'!#REF!),"")</f>
        <v>#REF!</v>
      </c>
      <c r="AE29" s="425"/>
      <c r="AF29" s="425" t="str">
        <f>IF(AND('Mapa final'!$P$19="Media",'Mapa final'!$S$19="Mayor"),CONCATENATE("R",'Mapa final'!$A$19),"")</f>
        <v/>
      </c>
      <c r="AG29" s="425"/>
      <c r="AH29" s="425" t="str">
        <f>IF(AND('Mapa final'!$P$20="Media",'Mapa final'!$S$20="Mayor"),CONCATENATE("R",'Mapa final'!$A$20),"")</f>
        <v/>
      </c>
      <c r="AI29" s="425"/>
      <c r="AJ29" s="441" t="e">
        <f>IF(AND('Mapa final'!#REF!="Media",'Mapa final'!#REF!="Catastrófico"),CONCATENATE("R",'Mapa final'!#REF!),"")</f>
        <v>#REF!</v>
      </c>
      <c r="AK29" s="442"/>
      <c r="AL29" s="442" t="str">
        <f>IF(AND('Mapa final'!$P$19="Media",'Mapa final'!$S$19="Catastrófico"),CONCATENATE("R",'Mapa final'!$A$19),"")</f>
        <v/>
      </c>
      <c r="AM29" s="442"/>
      <c r="AN29" s="442" t="str">
        <f>IF(AND('Mapa final'!$P$20="Media",'Mapa final'!$K$20="Catastrófico"),CONCATENATE("R",'Mapa final'!$A$20),"")</f>
        <v/>
      </c>
      <c r="AO29" s="443"/>
      <c r="AP29" s="68"/>
      <c r="AQ29" s="403"/>
      <c r="AR29" s="404"/>
      <c r="AS29" s="404"/>
      <c r="AT29" s="404"/>
      <c r="AU29" s="404"/>
      <c r="AV29" s="405"/>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380"/>
      <c r="E30" s="380"/>
      <c r="F30" s="381"/>
      <c r="G30" s="420"/>
      <c r="H30" s="421"/>
      <c r="I30" s="421"/>
      <c r="J30" s="421"/>
      <c r="K30" s="421"/>
      <c r="L30" s="436"/>
      <c r="M30" s="437"/>
      <c r="N30" s="437"/>
      <c r="O30" s="437"/>
      <c r="P30" s="437"/>
      <c r="Q30" s="450"/>
      <c r="R30" s="436"/>
      <c r="S30" s="437"/>
      <c r="T30" s="437"/>
      <c r="U30" s="437"/>
      <c r="V30" s="437"/>
      <c r="W30" s="437"/>
      <c r="X30" s="436"/>
      <c r="Y30" s="437"/>
      <c r="Z30" s="437"/>
      <c r="AA30" s="437"/>
      <c r="AB30" s="437"/>
      <c r="AC30" s="437"/>
      <c r="AD30" s="428"/>
      <c r="AE30" s="425"/>
      <c r="AF30" s="425"/>
      <c r="AG30" s="425"/>
      <c r="AH30" s="425"/>
      <c r="AI30" s="425"/>
      <c r="AJ30" s="441"/>
      <c r="AK30" s="442"/>
      <c r="AL30" s="442"/>
      <c r="AM30" s="442"/>
      <c r="AN30" s="442"/>
      <c r="AO30" s="443"/>
      <c r="AP30" s="68"/>
      <c r="AQ30" s="403"/>
      <c r="AR30" s="404"/>
      <c r="AS30" s="404"/>
      <c r="AT30" s="404"/>
      <c r="AU30" s="404"/>
      <c r="AV30" s="405"/>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380"/>
      <c r="E31" s="380"/>
      <c r="F31" s="381"/>
      <c r="G31" s="420"/>
      <c r="H31" s="421"/>
      <c r="I31" s="421"/>
      <c r="J31" s="421"/>
      <c r="K31" s="421"/>
      <c r="L31" s="436" t="str">
        <f>IF(AND('Mapa final'!$P$21="Media",'Mapa final'!$S$21="Leve"),CONCATENATE("R",'Mapa final'!$A$21),"")</f>
        <v/>
      </c>
      <c r="M31" s="437"/>
      <c r="N31" s="437" t="str">
        <f>IF(AND('Mapa final'!$K$22="Media",'Mapa final'!$O$22="Leve"),CONCATENATE("R",'Mapa final'!$A$22),"")</f>
        <v/>
      </c>
      <c r="O31" s="437"/>
      <c r="P31" s="437" t="str">
        <f>IF(AND('Mapa final'!$K$31="Media",'Mapa final'!$O$31="Leve"),CONCATENATE("R",'Mapa final'!$A$31),"")</f>
        <v/>
      </c>
      <c r="Q31" s="450"/>
      <c r="R31" s="436" t="str">
        <f>IF(AND('Mapa final'!$P$21="Media",'Mapa final'!$S$21="Menor"),CONCATENATE("R",'Mapa final'!$A$21),"")</f>
        <v/>
      </c>
      <c r="S31" s="437"/>
      <c r="T31" s="437" t="str">
        <f>IF(AND('Mapa final'!$LT$22="Media",'Mapa final'!$S$22="Menor"),CONCATENATE("R",'Mapa final'!$A$22),"")</f>
        <v/>
      </c>
      <c r="U31" s="437"/>
      <c r="V31" s="437" t="str">
        <f>IF(AND('Mapa final'!$P$31="Media",'Mapa final'!$S$31="Menor"),CONCATENATE("R",'Mapa final'!$A$31),"")</f>
        <v/>
      </c>
      <c r="W31" s="437"/>
      <c r="X31" s="436" t="str">
        <f>IF(AND('Mapa final'!$P$21="Media",'Mapa final'!$S$21="Moderado"),CONCATENATE("R",'Mapa final'!$A$21),"")</f>
        <v/>
      </c>
      <c r="Y31" s="437"/>
      <c r="Z31" s="437" t="str">
        <f>IF(AND('Mapa final'!$P$22="Media",'Mapa final'!$S$22="Moderado"),CONCATENATE("R",'Mapa final'!$A$22),"")</f>
        <v/>
      </c>
      <c r="AA31" s="437"/>
      <c r="AB31" s="437" t="str">
        <f>IF(AND('Mapa final'!$P$31="Media",'Mapa final'!$S$31="Moderado"),CONCATENATE("R",'Mapa final'!$A$31),"")</f>
        <v/>
      </c>
      <c r="AC31" s="437"/>
      <c r="AD31" s="428" t="str">
        <f>IF(AND('Mapa final'!$P$21="Media",'Mapa final'!$S$21="Mayor"),CONCATENATE("R",'Mapa final'!$A$21),"")</f>
        <v/>
      </c>
      <c r="AE31" s="425"/>
      <c r="AF31" s="425" t="str">
        <f>IF(AND('Mapa final'!$P$22="Media",'Mapa final'!$S$22="Mayor"),CONCATENATE("R",'Mapa final'!$A$22),"")</f>
        <v/>
      </c>
      <c r="AG31" s="425"/>
      <c r="AH31" s="425" t="str">
        <f>IF(AND('Mapa final'!$P$31="Media",'Mapa final'!$S$31="Mayor"),CONCATENATE("R",'Mapa final'!$A$31),"")</f>
        <v/>
      </c>
      <c r="AI31" s="425"/>
      <c r="AJ31" s="441" t="str">
        <f>IF(AND('Mapa final'!$P$21="Media",'Mapa final'!$S$21="Catastrófico"),CONCATENATE("R",'Mapa final'!$A$21),"")</f>
        <v/>
      </c>
      <c r="AK31" s="442"/>
      <c r="AL31" s="442" t="str">
        <f>IF(AND('Mapa final'!$P$22="Media",'Mapa final'!$S$22="Catastrófico"),CONCATENATE("R",'Mapa final'!$A$22),"")</f>
        <v/>
      </c>
      <c r="AM31" s="442"/>
      <c r="AN31" s="442" t="str">
        <f>IF(AND('Mapa final'!$P$31="Media",'Mapa final'!$S$31="Catastrófico"),CONCATENATE("R",'Mapa final'!$A$31),"")</f>
        <v/>
      </c>
      <c r="AO31" s="443"/>
      <c r="AP31" s="68"/>
      <c r="AQ31" s="403"/>
      <c r="AR31" s="404"/>
      <c r="AS31" s="404"/>
      <c r="AT31" s="404"/>
      <c r="AU31" s="404"/>
      <c r="AV31" s="405"/>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380"/>
      <c r="E32" s="380"/>
      <c r="F32" s="381"/>
      <c r="G32" s="420"/>
      <c r="H32" s="421"/>
      <c r="I32" s="421"/>
      <c r="J32" s="421"/>
      <c r="K32" s="421"/>
      <c r="L32" s="436"/>
      <c r="M32" s="437"/>
      <c r="N32" s="437"/>
      <c r="O32" s="437"/>
      <c r="P32" s="437"/>
      <c r="Q32" s="450"/>
      <c r="R32" s="436"/>
      <c r="S32" s="437"/>
      <c r="T32" s="437"/>
      <c r="U32" s="437"/>
      <c r="V32" s="437"/>
      <c r="W32" s="437"/>
      <c r="X32" s="436"/>
      <c r="Y32" s="437"/>
      <c r="Z32" s="437"/>
      <c r="AA32" s="437"/>
      <c r="AB32" s="437"/>
      <c r="AC32" s="437"/>
      <c r="AD32" s="428"/>
      <c r="AE32" s="425"/>
      <c r="AF32" s="425"/>
      <c r="AG32" s="425"/>
      <c r="AH32" s="425"/>
      <c r="AI32" s="425"/>
      <c r="AJ32" s="441"/>
      <c r="AK32" s="442"/>
      <c r="AL32" s="442"/>
      <c r="AM32" s="442"/>
      <c r="AN32" s="442"/>
      <c r="AO32" s="443"/>
      <c r="AP32" s="68"/>
      <c r="AQ32" s="403"/>
      <c r="AR32" s="404"/>
      <c r="AS32" s="404"/>
      <c r="AT32" s="404"/>
      <c r="AU32" s="404"/>
      <c r="AV32" s="405"/>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380"/>
      <c r="E33" s="380"/>
      <c r="F33" s="381"/>
      <c r="G33" s="420"/>
      <c r="H33" s="421"/>
      <c r="I33" s="421"/>
      <c r="J33" s="421"/>
      <c r="K33" s="421"/>
      <c r="L33" s="436" t="str">
        <f>IF(AND('Mapa final'!$P$32="Mediaa",'Mapa final'!$S$32="Leve"),CONCATENATE("R",'Mapa final'!$A$32),"")</f>
        <v/>
      </c>
      <c r="M33" s="437"/>
      <c r="N33" s="437" t="str">
        <f>IF(AND('Mapa final'!$K$33="Media",'Mapa final'!$O$33="Leve"),CONCATENATE("R",'Mapa final'!$A$33),"")</f>
        <v/>
      </c>
      <c r="O33" s="437"/>
      <c r="P33" s="437" t="str">
        <f>IF(AND('Mapa final'!$K$34="Media",'Mapa final'!$O$34="Leve"),CONCATENATE("R",'Mapa final'!$A$34),"")</f>
        <v/>
      </c>
      <c r="Q33" s="450"/>
      <c r="R33" s="436" t="str">
        <f>IF(AND('Mapa final'!$P$32="Media",'Mapa final'!$S$32="Menor"),CONCATENATE("R",'Mapa final'!$A$32),"")</f>
        <v/>
      </c>
      <c r="S33" s="437"/>
      <c r="T33" s="437" t="str">
        <f>IF(AND('Mapa final'!$P$33="Media",'Mapa final'!$S$33="Menor"),CONCATENATE("R",'Mapa final'!$A$33),"")</f>
        <v/>
      </c>
      <c r="U33" s="437"/>
      <c r="V33" s="437" t="str">
        <f>IF(AND('Mapa final'!$P$34="Media",'Mapa final'!$S$34="Menor"),CONCATENATE("R",'Mapa final'!$A$34),"")</f>
        <v/>
      </c>
      <c r="W33" s="437"/>
      <c r="X33" s="436" t="str">
        <f>IF(AND('Mapa final'!$P$32="Media",'Mapa final'!$S$32="Moderado"),CONCATENATE("R",'Mapa final'!$A$32),"")</f>
        <v/>
      </c>
      <c r="Y33" s="437"/>
      <c r="Z33" s="437" t="str">
        <f>IF(AND('Mapa final'!$P$33="Media",'Mapa final'!$S$33="Moderado"),CONCATENATE("R",'Mapa final'!$A$33),"")</f>
        <v/>
      </c>
      <c r="AA33" s="437"/>
      <c r="AB33" s="437" t="str">
        <f>IF(AND('Mapa final'!$P$34="Media",'Mapa final'!$S$34="Moderado"),CONCATENATE("R",'Mapa final'!$A$34),"")</f>
        <v/>
      </c>
      <c r="AC33" s="437"/>
      <c r="AD33" s="428" t="str">
        <f>IF(AND('Mapa final'!$P$32="Media",'Mapa final'!$S$32="Mayor"),CONCATENATE("R",'Mapa final'!$A$32),"")</f>
        <v/>
      </c>
      <c r="AE33" s="425"/>
      <c r="AF33" s="425" t="str">
        <f>IF(AND('Mapa final'!$P$33="Media",'Mapa final'!$S$33="Mayor"),CONCATENATE("R",'Mapa final'!$A$33),"")</f>
        <v/>
      </c>
      <c r="AG33" s="425"/>
      <c r="AH33" s="425" t="str">
        <f>IF(AND('Mapa final'!$P$34="Media",'Mapa final'!$S$34="Mayor"),CONCATENATE("R",'Mapa final'!$A$34),"")</f>
        <v/>
      </c>
      <c r="AI33" s="425"/>
      <c r="AJ33" s="441" t="str">
        <f>IF(AND('Mapa final'!$P$32="Media",'Mapa final'!$S$32="Catastrófico"),CONCATENATE("R",'Mapa final'!$A$32),"")</f>
        <v/>
      </c>
      <c r="AK33" s="442"/>
      <c r="AL33" s="442" t="str">
        <f>IF(AND('Mapa final'!$P$33="Media",'Mapa final'!$S$33="Catastrófico"),CONCATENATE("R",'Mapa final'!$A$33),"")</f>
        <v/>
      </c>
      <c r="AM33" s="442"/>
      <c r="AN33" s="442" t="str">
        <f>IF(AND('Mapa final'!$P$34="Media",'Mapa final'!$S$34="Catastrófico"),CONCATENATE("R",'Mapa final'!$A$34),"")</f>
        <v/>
      </c>
      <c r="AO33" s="443"/>
      <c r="AP33" s="68"/>
      <c r="AQ33" s="403"/>
      <c r="AR33" s="404"/>
      <c r="AS33" s="404"/>
      <c r="AT33" s="404"/>
      <c r="AU33" s="404"/>
      <c r="AV33" s="405"/>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380"/>
      <c r="E34" s="380"/>
      <c r="F34" s="381"/>
      <c r="G34" s="422"/>
      <c r="H34" s="423"/>
      <c r="I34" s="423"/>
      <c r="J34" s="423"/>
      <c r="K34" s="423"/>
      <c r="L34" s="451"/>
      <c r="M34" s="452"/>
      <c r="N34" s="452"/>
      <c r="O34" s="452"/>
      <c r="P34" s="452"/>
      <c r="Q34" s="453"/>
      <c r="R34" s="451"/>
      <c r="S34" s="452"/>
      <c r="T34" s="452"/>
      <c r="U34" s="452"/>
      <c r="V34" s="452"/>
      <c r="W34" s="452"/>
      <c r="X34" s="451"/>
      <c r="Y34" s="452"/>
      <c r="Z34" s="452"/>
      <c r="AA34" s="452"/>
      <c r="AB34" s="452"/>
      <c r="AC34" s="452"/>
      <c r="AD34" s="439"/>
      <c r="AE34" s="434"/>
      <c r="AF34" s="434"/>
      <c r="AG34" s="434"/>
      <c r="AH34" s="434"/>
      <c r="AI34" s="434"/>
      <c r="AJ34" s="441"/>
      <c r="AK34" s="442"/>
      <c r="AL34" s="442"/>
      <c r="AM34" s="442"/>
      <c r="AN34" s="442"/>
      <c r="AO34" s="443"/>
      <c r="AP34" s="68"/>
      <c r="AQ34" s="406"/>
      <c r="AR34" s="407"/>
      <c r="AS34" s="407"/>
      <c r="AT34" s="407"/>
      <c r="AU34" s="407"/>
      <c r="AV34" s="40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380"/>
      <c r="E35" s="380"/>
      <c r="F35" s="381"/>
      <c r="G35" s="418" t="s">
        <v>298</v>
      </c>
      <c r="H35" s="419"/>
      <c r="I35" s="419"/>
      <c r="J35" s="419"/>
      <c r="K35" s="419"/>
      <c r="L35" s="463"/>
      <c r="M35" s="464"/>
      <c r="N35" s="464" t="str">
        <f>IF(AND('Mapa final'!$K$15="Baja",'Mapa final'!$O$15="Leve"),CONCATENATE("R",'Mapa final'!$A$16),"")</f>
        <v/>
      </c>
      <c r="O35" s="464"/>
      <c r="P35" s="464" t="str">
        <f>IF(AND('Mapa final'!$K$17="Baja",'Mapa final'!$O$17="Leve"),CONCATENATE("R",'Mapa final'!$A$17),"")</f>
        <v/>
      </c>
      <c r="Q35" s="465"/>
      <c r="R35" s="454"/>
      <c r="S35" s="455"/>
      <c r="T35" s="437" t="str">
        <f>IF(AND('Mapa final'!$P$15="Baja",'Mapa final'!$S$15="Menor"),CONCATENATE("R",'Mapa final'!$A$16),"")</f>
        <v/>
      </c>
      <c r="U35" s="437"/>
      <c r="V35" s="437" t="str">
        <f>IF(AND('Mapa final'!$P$17="Baja",'Mapa final'!$S$17="Menor"),CONCATENATE("R",'Mapa final'!$A$17),"")</f>
        <v/>
      </c>
      <c r="W35" s="450"/>
      <c r="X35" s="436"/>
      <c r="Y35" s="437"/>
      <c r="Z35" s="437" t="str">
        <f>IF(AND('Mapa final'!P$15="Baja",'Mapa final'!$S$15="Moderado"),CONCATENATE("R",'Mapa final'!$A$16),"")</f>
        <v/>
      </c>
      <c r="AA35" s="437"/>
      <c r="AB35" s="437" t="str">
        <f>IF(AND('Mapa final'!$P$17="Baja",'Mapa final'!$S$17="Moderado"),CONCATENATE("R",'Mapa final'!$A$17),"")</f>
        <v>R</v>
      </c>
      <c r="AC35" s="450"/>
      <c r="AD35" s="428"/>
      <c r="AE35" s="425"/>
      <c r="AF35" s="425" t="str">
        <f>IF(AND('Mapa final'!$P$15="Baja",'Mapa final'!$S$15="Mayor"),CONCATENATE("R",'Mapa final'!$A$16),"")</f>
        <v/>
      </c>
      <c r="AG35" s="425"/>
      <c r="AH35" s="425" t="str">
        <f>IF(AND('Mapa final'!$P$17="Baja",'Mapa final'!$S$17="Mayor"),CONCATENATE("R",'Mapa final'!$A$17),"")</f>
        <v/>
      </c>
      <c r="AI35" s="425"/>
      <c r="AJ35" s="444"/>
      <c r="AK35" s="445"/>
      <c r="AL35" s="445" t="str">
        <f>IF(AND('Mapa final'!$P$15="Baja",'Mapa final'!$S$15="Catastrófico"),CONCATENATE("R",'Mapa final'!$A$16),"")</f>
        <v/>
      </c>
      <c r="AM35" s="445"/>
      <c r="AN35" s="445" t="str">
        <f>IF(AND('Mapa final'!$P$17="Baja",'Mapa final'!$S$17="Catastrófico"),CONCATENATE("R",'Mapa final'!$A$17),"")</f>
        <v/>
      </c>
      <c r="AO35" s="446"/>
      <c r="AP35" s="68"/>
      <c r="AQ35" s="409" t="s">
        <v>299</v>
      </c>
      <c r="AR35" s="410"/>
      <c r="AS35" s="410"/>
      <c r="AT35" s="410"/>
      <c r="AU35" s="410"/>
      <c r="AV35" s="411"/>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380"/>
      <c r="E36" s="380"/>
      <c r="F36" s="381"/>
      <c r="G36" s="420"/>
      <c r="H36" s="421"/>
      <c r="I36" s="421"/>
      <c r="J36" s="421"/>
      <c r="K36" s="421"/>
      <c r="L36" s="459"/>
      <c r="M36" s="457"/>
      <c r="N36" s="457"/>
      <c r="O36" s="457"/>
      <c r="P36" s="457"/>
      <c r="Q36" s="458"/>
      <c r="R36" s="436"/>
      <c r="S36" s="437"/>
      <c r="T36" s="437"/>
      <c r="U36" s="437"/>
      <c r="V36" s="437"/>
      <c r="W36" s="450"/>
      <c r="X36" s="436"/>
      <c r="Y36" s="437"/>
      <c r="Z36" s="437"/>
      <c r="AA36" s="437"/>
      <c r="AB36" s="437"/>
      <c r="AC36" s="450"/>
      <c r="AD36" s="428"/>
      <c r="AE36" s="425"/>
      <c r="AF36" s="425"/>
      <c r="AG36" s="425"/>
      <c r="AH36" s="425"/>
      <c r="AI36" s="425"/>
      <c r="AJ36" s="441"/>
      <c r="AK36" s="442"/>
      <c r="AL36" s="442"/>
      <c r="AM36" s="442"/>
      <c r="AN36" s="442"/>
      <c r="AO36" s="443"/>
      <c r="AP36" s="68"/>
      <c r="AQ36" s="412"/>
      <c r="AR36" s="413"/>
      <c r="AS36" s="413"/>
      <c r="AT36" s="413"/>
      <c r="AU36" s="413"/>
      <c r="AV36" s="414"/>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380"/>
      <c r="E37" s="380"/>
      <c r="F37" s="381"/>
      <c r="G37" s="420"/>
      <c r="H37" s="421"/>
      <c r="I37" s="421"/>
      <c r="J37" s="421"/>
      <c r="K37" s="421"/>
      <c r="L37" s="459" t="e">
        <f>IF(AND('Mapa final'!#REF!="Baja",'Mapa final'!#REF!="Leve"),CONCATENATE("R",'Mapa final'!#REF!),"")</f>
        <v>#REF!</v>
      </c>
      <c r="M37" s="457"/>
      <c r="N37" s="457" t="str">
        <f>IF(AND('Mapa final'!$K$19="Baja",'Mapa final'!$O$19="Leve"),CONCATENATE("R",'Mapa final'!$A$19),"")</f>
        <v/>
      </c>
      <c r="O37" s="457"/>
      <c r="P37" s="457" t="str">
        <f>IF(AND('Mapa final'!$K$20="Baja",'Mapa final'!$O$20="Leve"),CONCATENATE("R",'Mapa final'!$A$20),"")</f>
        <v/>
      </c>
      <c r="Q37" s="458"/>
      <c r="R37" s="436" t="e">
        <f>IF(AND('Mapa final'!#REF!="Baja",'Mapa final'!#REF!="Menor"),CONCATENATE("R",'Mapa final'!#REF!),"")</f>
        <v>#REF!</v>
      </c>
      <c r="S37" s="437"/>
      <c r="T37" s="437" t="str">
        <f>IF(AND('Mapa final'!$P$19="Baja",'Mapa final'!$S$19="Menor"),CONCATENATE("R",'Mapa final'!$A$19),"")</f>
        <v/>
      </c>
      <c r="U37" s="437"/>
      <c r="V37" s="437" t="str">
        <f>IF(AND('Mapa final'!$P$20="Baja",'Mapa final'!$S$20="Menor"),CONCATENATE("R",'Mapa final'!$A$20),"")</f>
        <v/>
      </c>
      <c r="W37" s="450"/>
      <c r="X37" s="436" t="e">
        <f>IF(AND('Mapa final'!#REF!="Baja",'Mapa final'!#REF!="Moderado"),CONCATENATE("R",'Mapa final'!#REF!),"")</f>
        <v>#REF!</v>
      </c>
      <c r="Y37" s="437"/>
      <c r="Z37" s="437" t="str">
        <f>IF(AND('Mapa final'!$P$19="Baja",'Mapa final'!$S$19="Moderado"),CONCATENATE("R",'Mapa final'!$A$19),"")</f>
        <v/>
      </c>
      <c r="AA37" s="437"/>
      <c r="AB37" s="437" t="str">
        <f>IF(AND('Mapa final'!$P$20="Baja",'Mapa final'!$S$20="Moderado"),CONCATENATE("R",'Mapa final'!$A$20),"")</f>
        <v/>
      </c>
      <c r="AC37" s="450"/>
      <c r="AD37" s="428" t="e">
        <f>IF(AND('Mapa final'!#REF!="Baja",'Mapa final'!#REF!="Mayor"),CONCATENATE("R",'Mapa final'!#REF!),"")</f>
        <v>#REF!</v>
      </c>
      <c r="AE37" s="425"/>
      <c r="AF37" s="425" t="str">
        <f>IF(AND('Mapa final'!$P$19="Baja",'Mapa final'!$S$19="Mayor"),CONCATENATE("R",'Mapa final'!$A$19),"")</f>
        <v/>
      </c>
      <c r="AG37" s="425"/>
      <c r="AH37" s="425" t="str">
        <f>IF(AND('Mapa final'!$P$20="Baja",'Mapa final'!$S$20="Mayor"),CONCATENATE("R",'Mapa final'!$A$20),"")</f>
        <v/>
      </c>
      <c r="AI37" s="425"/>
      <c r="AJ37" s="441" t="e">
        <f>IF(AND('Mapa final'!#REF!="Baja",'Mapa final'!#REF!="Catastrófico"),CONCATENATE("R",'Mapa final'!#REF!),"")</f>
        <v>#REF!</v>
      </c>
      <c r="AK37" s="442"/>
      <c r="AL37" s="442" t="str">
        <f>IF(AND('Mapa final'!$P$19="Baja",'Mapa final'!$S$19="Catastrófico"),CONCATENATE("R",'Mapa final'!$A$19),"")</f>
        <v/>
      </c>
      <c r="AM37" s="442"/>
      <c r="AN37" s="442" t="str">
        <f>IF(AND('Mapa final'!$P$20="Baja",'Mapa final'!$K$20="Catastrófico"),CONCATENATE("R",'Mapa final'!$A$20),"")</f>
        <v/>
      </c>
      <c r="AO37" s="443"/>
      <c r="AP37" s="68"/>
      <c r="AQ37" s="412"/>
      <c r="AR37" s="413"/>
      <c r="AS37" s="413"/>
      <c r="AT37" s="413"/>
      <c r="AU37" s="413"/>
      <c r="AV37" s="414"/>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380"/>
      <c r="E38" s="380"/>
      <c r="F38" s="381"/>
      <c r="G38" s="420"/>
      <c r="H38" s="421"/>
      <c r="I38" s="421"/>
      <c r="J38" s="421"/>
      <c r="K38" s="421"/>
      <c r="L38" s="459"/>
      <c r="M38" s="457"/>
      <c r="N38" s="457"/>
      <c r="O38" s="457"/>
      <c r="P38" s="457"/>
      <c r="Q38" s="458"/>
      <c r="R38" s="436"/>
      <c r="S38" s="437"/>
      <c r="T38" s="437"/>
      <c r="U38" s="437"/>
      <c r="V38" s="437"/>
      <c r="W38" s="450"/>
      <c r="X38" s="436"/>
      <c r="Y38" s="437"/>
      <c r="Z38" s="437"/>
      <c r="AA38" s="437"/>
      <c r="AB38" s="437"/>
      <c r="AC38" s="450"/>
      <c r="AD38" s="428"/>
      <c r="AE38" s="425"/>
      <c r="AF38" s="425"/>
      <c r="AG38" s="425"/>
      <c r="AH38" s="425"/>
      <c r="AI38" s="425"/>
      <c r="AJ38" s="441"/>
      <c r="AK38" s="442"/>
      <c r="AL38" s="442"/>
      <c r="AM38" s="442"/>
      <c r="AN38" s="442"/>
      <c r="AO38" s="443"/>
      <c r="AP38" s="68"/>
      <c r="AQ38" s="412"/>
      <c r="AR38" s="413"/>
      <c r="AS38" s="413"/>
      <c r="AT38" s="413"/>
      <c r="AU38" s="413"/>
      <c r="AV38" s="414"/>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380"/>
      <c r="E39" s="380"/>
      <c r="F39" s="381"/>
      <c r="G39" s="420"/>
      <c r="H39" s="421"/>
      <c r="I39" s="421"/>
      <c r="J39" s="421"/>
      <c r="K39" s="421"/>
      <c r="L39" s="459" t="str">
        <f>IF(AND('Mapa final'!$P$21="Baja",'Mapa final'!$S$21="Leve"),CONCATENATE("R",'Mapa final'!$A$21),"")</f>
        <v/>
      </c>
      <c r="M39" s="457"/>
      <c r="N39" s="457" t="str">
        <f>IF(AND('Mapa final'!$K$22="Baja",'Mapa final'!$O$22="Leve"),CONCATENATE("R",'Mapa final'!$A$22),"")</f>
        <v/>
      </c>
      <c r="O39" s="457"/>
      <c r="P39" s="457" t="str">
        <f>IF(AND('Mapa final'!$K$31="Baja",'Mapa final'!$O$31="Leve"),CONCATENATE("R",'Mapa final'!$A$31),"")</f>
        <v/>
      </c>
      <c r="Q39" s="458"/>
      <c r="R39" s="436" t="str">
        <f>IF(AND('Mapa final'!$P$21="Baja",'Mapa final'!$S$21="Menor"),CONCATENATE("R",'Mapa final'!$A$21),"")</f>
        <v/>
      </c>
      <c r="S39" s="437"/>
      <c r="T39" s="437" t="str">
        <f>IF(AND('Mapa final'!$LT$22="Baja",'Mapa final'!$S$22="Menor"),CONCATENATE("R",'Mapa final'!$A$22),"")</f>
        <v/>
      </c>
      <c r="U39" s="437"/>
      <c r="V39" s="437" t="str">
        <f>IF(AND('Mapa final'!$P$31="Baja",'Mapa final'!$S$31="Menor"),CONCATENATE("R",'Mapa final'!$A$31),"")</f>
        <v/>
      </c>
      <c r="W39" s="450"/>
      <c r="X39" s="436" t="str">
        <f>IF(AND('Mapa final'!$P$21="Baja",'Mapa final'!$S$21="Moderado"),CONCATENATE("R",'Mapa final'!$A$21),"")</f>
        <v/>
      </c>
      <c r="Y39" s="437"/>
      <c r="Z39" s="437" t="str">
        <f>IF(AND('Mapa final'!$P$22="Baja",'Mapa final'!$S$22="Moderado"),CONCATENATE("R",'Mapa final'!$A$22),"")</f>
        <v/>
      </c>
      <c r="AA39" s="437"/>
      <c r="AB39" s="437" t="str">
        <f>IF(AND('Mapa final'!$P$31="Baja",'Mapa final'!$S$31="Moderado"),CONCATENATE("R",'Mapa final'!$A$31),"")</f>
        <v/>
      </c>
      <c r="AC39" s="450"/>
      <c r="AD39" s="428" t="str">
        <f>IF(AND('Mapa final'!$P$21="Baja",'Mapa final'!$S$21="Mayor"),CONCATENATE("R",'Mapa final'!$A$21),"")</f>
        <v/>
      </c>
      <c r="AE39" s="425"/>
      <c r="AF39" s="425" t="str">
        <f>IF(AND('Mapa final'!$P$22="Baja",'Mapa final'!$S$22="Mayor"),CONCATENATE("R",'Mapa final'!$A$22),"")</f>
        <v/>
      </c>
      <c r="AG39" s="425"/>
      <c r="AH39" s="425" t="str">
        <f>IF(AND('Mapa final'!$P$31="Baja",'Mapa final'!$S$31="Mayor"),CONCATENATE("R",'Mapa final'!$A$31),"")</f>
        <v/>
      </c>
      <c r="AI39" s="425"/>
      <c r="AJ39" s="441" t="str">
        <f>IF(AND('Mapa final'!$P$21="Baja",'Mapa final'!$S$21="Catastrófico"),CONCATENATE("R",'Mapa final'!$A$21),"")</f>
        <v/>
      </c>
      <c r="AK39" s="442"/>
      <c r="AL39" s="442" t="str">
        <f>IF(AND('Mapa final'!$P$22="Baja",'Mapa final'!$S$22="Catastrófico"),CONCATENATE("R",'Mapa final'!$A$22),"")</f>
        <v/>
      </c>
      <c r="AM39" s="442"/>
      <c r="AN39" s="442" t="str">
        <f>IF(AND('Mapa final'!$P$31="Baja",'Mapa final'!$S$31="Catastrófico"),CONCATENATE("R",'Mapa final'!$A$31),"")</f>
        <v/>
      </c>
      <c r="AO39" s="443"/>
      <c r="AP39" s="68"/>
      <c r="AQ39" s="412"/>
      <c r="AR39" s="413"/>
      <c r="AS39" s="413"/>
      <c r="AT39" s="413"/>
      <c r="AU39" s="413"/>
      <c r="AV39" s="414"/>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380"/>
      <c r="E40" s="380"/>
      <c r="F40" s="381"/>
      <c r="G40" s="420"/>
      <c r="H40" s="421"/>
      <c r="I40" s="421"/>
      <c r="J40" s="421"/>
      <c r="K40" s="421"/>
      <c r="L40" s="459"/>
      <c r="M40" s="457"/>
      <c r="N40" s="457"/>
      <c r="O40" s="457"/>
      <c r="P40" s="457"/>
      <c r="Q40" s="458"/>
      <c r="R40" s="436"/>
      <c r="S40" s="437"/>
      <c r="T40" s="437"/>
      <c r="U40" s="437"/>
      <c r="V40" s="437"/>
      <c r="W40" s="450"/>
      <c r="X40" s="436"/>
      <c r="Y40" s="437"/>
      <c r="Z40" s="437"/>
      <c r="AA40" s="437"/>
      <c r="AB40" s="437"/>
      <c r="AC40" s="450"/>
      <c r="AD40" s="428"/>
      <c r="AE40" s="425"/>
      <c r="AF40" s="425"/>
      <c r="AG40" s="425"/>
      <c r="AH40" s="425"/>
      <c r="AI40" s="425"/>
      <c r="AJ40" s="441"/>
      <c r="AK40" s="442"/>
      <c r="AL40" s="442"/>
      <c r="AM40" s="442"/>
      <c r="AN40" s="442"/>
      <c r="AO40" s="443"/>
      <c r="AP40" s="68"/>
      <c r="AQ40" s="412"/>
      <c r="AR40" s="413"/>
      <c r="AS40" s="413"/>
      <c r="AT40" s="413"/>
      <c r="AU40" s="413"/>
      <c r="AV40" s="414"/>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380"/>
      <c r="E41" s="380"/>
      <c r="F41" s="381"/>
      <c r="G41" s="420"/>
      <c r="H41" s="421"/>
      <c r="I41" s="421"/>
      <c r="J41" s="421"/>
      <c r="K41" s="421"/>
      <c r="L41" s="459" t="str">
        <f>IF(AND('Mapa final'!$P$32="Baja",'Mapa final'!$S$32="Leve"),CONCATENATE("R",'Mapa final'!$A$32),"")</f>
        <v/>
      </c>
      <c r="M41" s="457"/>
      <c r="N41" s="457" t="str">
        <f>IF(AND('Mapa final'!$K$33="Baja",'Mapa final'!$O$33="Leve"),CONCATENATE("R",'Mapa final'!$A$33),"")</f>
        <v/>
      </c>
      <c r="O41" s="457"/>
      <c r="P41" s="457" t="str">
        <f>IF(AND('Mapa final'!$K$34="Baja",'Mapa final'!$O$34="Leve"),CONCATENATE("R",'Mapa final'!$A$34),"")</f>
        <v/>
      </c>
      <c r="Q41" s="458"/>
      <c r="R41" s="436" t="str">
        <f>IF(AND('Mapa final'!$P$32="Baja",'Mapa final'!$S$32="Menor"),CONCATENATE("R",'Mapa final'!$A$32),"")</f>
        <v/>
      </c>
      <c r="S41" s="437"/>
      <c r="T41" s="437" t="str">
        <f>IF(AND('Mapa final'!$P$33="Baja",'Mapa final'!$S$33="Menor"),CONCATENATE("R",'Mapa final'!$A$33),"")</f>
        <v/>
      </c>
      <c r="U41" s="437"/>
      <c r="V41" s="437" t="str">
        <f>IF(AND('Mapa final'!$P$34="Baja",'Mapa final'!$S$34="Menor"),CONCATENATE("R",'Mapa final'!$A$34),"")</f>
        <v/>
      </c>
      <c r="W41" s="450"/>
      <c r="X41" s="436" t="str">
        <f>IF(AND('Mapa final'!$P$32="Baja",'Mapa final'!$S$32="Moderado"),CONCATENATE("R",'Mapa final'!$A$32),"")</f>
        <v/>
      </c>
      <c r="Y41" s="437"/>
      <c r="Z41" s="437" t="str">
        <f>IF(AND('Mapa final'!$P$33="Baja",'Mapa final'!$S$33="Moderado"),CONCATENATE("R",'Mapa final'!$A$33),"")</f>
        <v/>
      </c>
      <c r="AA41" s="437"/>
      <c r="AB41" s="437" t="str">
        <f>IF(AND('Mapa final'!$P$34="Baja",'Mapa final'!$S$34="Moderado"),CONCATENATE("R",'Mapa final'!$A$34),"")</f>
        <v/>
      </c>
      <c r="AC41" s="450"/>
      <c r="AD41" s="428" t="str">
        <f>IF(AND('Mapa final'!$P$32="Baja",'Mapa final'!$S$32="Mayor"),CONCATENATE("R",'Mapa final'!$A$32),"")</f>
        <v/>
      </c>
      <c r="AE41" s="425"/>
      <c r="AF41" s="425" t="str">
        <f>IF(AND('Mapa final'!$P$33="Baja",'Mapa final'!$S$33="Mayor"),CONCATENATE("R",'Mapa final'!$A$33),"")</f>
        <v/>
      </c>
      <c r="AG41" s="425"/>
      <c r="AH41" s="425" t="str">
        <f>IF(AND('Mapa final'!$P$34="Baja",'Mapa final'!$S$34="Mayor"),CONCATENATE("R",'Mapa final'!$A$34),"")</f>
        <v/>
      </c>
      <c r="AI41" s="425"/>
      <c r="AJ41" s="441" t="str">
        <f>IF(AND('Mapa final'!$P$32="Baja",'Mapa final'!$S$32="Catastrófico"),CONCATENATE("R",'Mapa final'!$A$32),"")</f>
        <v/>
      </c>
      <c r="AK41" s="442"/>
      <c r="AL41" s="442" t="str">
        <f>IF(AND('Mapa final'!$P$33="Baja",'Mapa final'!$S$33="Catastrófico"),CONCATENATE("R",'Mapa final'!$A$33),"")</f>
        <v/>
      </c>
      <c r="AM41" s="442"/>
      <c r="AN41" s="442" t="str">
        <f>IF(AND('Mapa final'!$P$34="Baja",'Mapa final'!$S$34="Catastrófico"),CONCATENATE("R",'Mapa final'!$A$34),"")</f>
        <v/>
      </c>
      <c r="AO41" s="443"/>
      <c r="AP41" s="68"/>
      <c r="AQ41" s="412"/>
      <c r="AR41" s="413"/>
      <c r="AS41" s="413"/>
      <c r="AT41" s="413"/>
      <c r="AU41" s="413"/>
      <c r="AV41" s="414"/>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380"/>
      <c r="E42" s="380"/>
      <c r="F42" s="381"/>
      <c r="G42" s="422"/>
      <c r="H42" s="423"/>
      <c r="I42" s="423"/>
      <c r="J42" s="423"/>
      <c r="K42" s="423"/>
      <c r="L42" s="460"/>
      <c r="M42" s="461"/>
      <c r="N42" s="461"/>
      <c r="O42" s="461"/>
      <c r="P42" s="461"/>
      <c r="Q42" s="462"/>
      <c r="R42" s="451"/>
      <c r="S42" s="452"/>
      <c r="T42" s="452"/>
      <c r="U42" s="452"/>
      <c r="V42" s="452"/>
      <c r="W42" s="453"/>
      <c r="X42" s="451"/>
      <c r="Y42" s="452"/>
      <c r="Z42" s="452"/>
      <c r="AA42" s="452"/>
      <c r="AB42" s="452"/>
      <c r="AC42" s="453"/>
      <c r="AD42" s="439"/>
      <c r="AE42" s="434"/>
      <c r="AF42" s="434"/>
      <c r="AG42" s="434"/>
      <c r="AH42" s="434"/>
      <c r="AI42" s="434"/>
      <c r="AJ42" s="447"/>
      <c r="AK42" s="448"/>
      <c r="AL42" s="448"/>
      <c r="AM42" s="448"/>
      <c r="AN42" s="448"/>
      <c r="AO42" s="449"/>
      <c r="AP42" s="68"/>
      <c r="AQ42" s="415"/>
      <c r="AR42" s="416"/>
      <c r="AS42" s="416"/>
      <c r="AT42" s="416"/>
      <c r="AU42" s="416"/>
      <c r="AV42" s="417"/>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380"/>
      <c r="E43" s="380"/>
      <c r="F43" s="381"/>
      <c r="G43" s="418" t="s">
        <v>300</v>
      </c>
      <c r="H43" s="419"/>
      <c r="I43" s="419"/>
      <c r="J43" s="419"/>
      <c r="K43" s="419"/>
      <c r="L43" s="463"/>
      <c r="M43" s="464"/>
      <c r="N43" s="464" t="str">
        <f>IF(AND('Mapa final'!$K$15="Muy Baja",'Mapa final'!$O$15="Leve"),CONCATENATE("R",'Mapa final'!$A$16),"")</f>
        <v/>
      </c>
      <c r="O43" s="464"/>
      <c r="P43" s="464" t="str">
        <f>IF(AND('Mapa final'!$K$17="Muy Baja",'Mapa final'!$O$17="Leve"),CONCATENATE("R",'Mapa final'!$A$17),"")</f>
        <v/>
      </c>
      <c r="Q43" s="465"/>
      <c r="R43" s="463"/>
      <c r="S43" s="464"/>
      <c r="T43" s="464" t="str">
        <f>IF(AND('Mapa final'!$P$15="Muy Baja",'Mapa final'!$S$15="Menor"),CONCATENATE("R",'Mapa final'!$A$16),"")</f>
        <v/>
      </c>
      <c r="U43" s="464"/>
      <c r="V43" s="464" t="str">
        <f>IF(AND('Mapa final'!$P$17="Muy Baja",'Mapa final'!$S$17="Menor"),CONCATENATE("R",'Mapa final'!$A$17),"")</f>
        <v/>
      </c>
      <c r="W43" s="465"/>
      <c r="X43" s="454"/>
      <c r="Y43" s="455"/>
      <c r="Z43" s="455" t="str">
        <f>IF(AND('Mapa final'!P$15="Muy Baja",'Mapa final'!$S$15="Moderado"),CONCATENATE("R",'Mapa final'!$D$15),"")</f>
        <v/>
      </c>
      <c r="AA43" s="455"/>
      <c r="AB43" s="455" t="str">
        <f>IF(AND('Mapa final'!$P$17="Muy Baja",'Mapa final'!$S$17="Moderado"),CONCATENATE("R",'Mapa final'!$A$17),"")</f>
        <v/>
      </c>
      <c r="AC43" s="456"/>
      <c r="AD43" s="426"/>
      <c r="AE43" s="427"/>
      <c r="AF43" s="427" t="str">
        <f>IF(AND('Mapa final'!$P$15="Muy Baja",'Mapa final'!$S$15="Mayor"),CONCATENATE("R",'Mapa final'!$A$16),"")</f>
        <v/>
      </c>
      <c r="AG43" s="427"/>
      <c r="AH43" s="427" t="str">
        <f>IF(AND('Mapa final'!$P$17="Muy Baja",'Mapa final'!$S$17="Mayor"),CONCATENATE("R",'Mapa final'!$D$17),"")</f>
        <v/>
      </c>
      <c r="AI43" s="440"/>
      <c r="AJ43" s="441"/>
      <c r="AK43" s="442"/>
      <c r="AL43" s="442" t="str">
        <f>IF(AND('Mapa final'!$P$15="Muy Baja",'Mapa final'!$S$15="Catastrófico"),CONCATENATE("R",'Mapa final'!$D$15),"")</f>
        <v/>
      </c>
      <c r="AM43" s="442"/>
      <c r="AN43" s="442" t="str">
        <f>IF(AND('Mapa final'!$P$17="Muy Baja",'Mapa final'!$S$17="Catastrófico"),CONCATENATE("R",'Mapa final'!$A$17),"")</f>
        <v/>
      </c>
      <c r="AO43" s="443"/>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380"/>
      <c r="E44" s="380"/>
      <c r="F44" s="381"/>
      <c r="G44" s="420"/>
      <c r="H44" s="421"/>
      <c r="I44" s="421"/>
      <c r="J44" s="421"/>
      <c r="K44" s="421"/>
      <c r="L44" s="459"/>
      <c r="M44" s="457"/>
      <c r="N44" s="457"/>
      <c r="O44" s="457"/>
      <c r="P44" s="457"/>
      <c r="Q44" s="458"/>
      <c r="R44" s="459"/>
      <c r="S44" s="457"/>
      <c r="T44" s="457"/>
      <c r="U44" s="457"/>
      <c r="V44" s="457"/>
      <c r="W44" s="458"/>
      <c r="X44" s="436"/>
      <c r="Y44" s="437"/>
      <c r="Z44" s="437"/>
      <c r="AA44" s="437"/>
      <c r="AB44" s="437"/>
      <c r="AC44" s="450"/>
      <c r="AD44" s="428"/>
      <c r="AE44" s="425"/>
      <c r="AF44" s="425"/>
      <c r="AG44" s="425"/>
      <c r="AH44" s="425"/>
      <c r="AI44" s="433"/>
      <c r="AJ44" s="441"/>
      <c r="AK44" s="442"/>
      <c r="AL44" s="442"/>
      <c r="AM44" s="442"/>
      <c r="AN44" s="442"/>
      <c r="AO44" s="443"/>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380"/>
      <c r="E45" s="380"/>
      <c r="F45" s="381"/>
      <c r="G45" s="420"/>
      <c r="H45" s="421"/>
      <c r="I45" s="421"/>
      <c r="J45" s="421"/>
      <c r="K45" s="421"/>
      <c r="L45" s="459" t="e">
        <f>IF(AND('Mapa final'!#REF!="Muy Baja",'Mapa final'!#REF!="Leve"),CONCATENATE("R",'Mapa final'!#REF!),"")</f>
        <v>#REF!</v>
      </c>
      <c r="M45" s="457"/>
      <c r="N45" s="457" t="str">
        <f>IF(AND('Mapa final'!$K$19="Muy Baja",'Mapa final'!$O$19="Leve"),CONCATENATE("R",'Mapa final'!$A$19),"")</f>
        <v/>
      </c>
      <c r="O45" s="457"/>
      <c r="P45" s="457" t="str">
        <f>IF(AND('Mapa final'!$K$20="Muy Baja",'Mapa final'!$O$20="Leve"),CONCATENATE("R",'Mapa final'!$A$20),"")</f>
        <v/>
      </c>
      <c r="Q45" s="458"/>
      <c r="R45" s="459" t="e">
        <f>IF(AND('Mapa final'!#REF!="Muy Baja",'Mapa final'!#REF!="Menor"),CONCATENATE("R",'Mapa final'!#REF!),"")</f>
        <v>#REF!</v>
      </c>
      <c r="S45" s="457"/>
      <c r="T45" s="457" t="str">
        <f>IF(AND('Mapa final'!$P$19="Muy Baja",'Mapa final'!$S$19="Menor"),CONCATENATE("R",'Mapa final'!$A$19),"")</f>
        <v/>
      </c>
      <c r="U45" s="457"/>
      <c r="V45" s="457" t="str">
        <f>IF(AND('Mapa final'!$P$20="Muy Baja",'Mapa final'!$S$20="Menor"),CONCATENATE("R",'Mapa final'!$A$20),"")</f>
        <v/>
      </c>
      <c r="W45" s="458"/>
      <c r="X45" s="436" t="e">
        <f>IF(AND('Mapa final'!#REF!="Muy Baja",'Mapa final'!#REF!="Moderado"),CONCATENATE("R",'Mapa final'!#REF!),"")</f>
        <v>#REF!</v>
      </c>
      <c r="Y45" s="437"/>
      <c r="Z45" s="437" t="str">
        <f>IF(AND('Mapa final'!$P$19="Muy Baja",'Mapa final'!$S$19="Moderado"),CONCATENATE("R",'Mapa final'!$A$19),"")</f>
        <v/>
      </c>
      <c r="AA45" s="437"/>
      <c r="AB45" s="437" t="str">
        <f>IF(AND('Mapa final'!$P$20="Muy Baja",'Mapa final'!$S$20="Moderado"),CONCATENATE("R",'Mapa final'!$A$20),"")</f>
        <v/>
      </c>
      <c r="AC45" s="450"/>
      <c r="AD45" s="428" t="e">
        <f>IF(AND('Mapa final'!#REF!="Muy Baja",'Mapa final'!#REF!="Mayor"),CONCATENATE("R",'Mapa final'!#REF!),"")</f>
        <v>#REF!</v>
      </c>
      <c r="AE45" s="425"/>
      <c r="AF45" s="425" t="str">
        <f>IF(AND('Mapa final'!$P$19="Muy Baja",'Mapa final'!$S$19="Mayor"),CONCATENATE("R",'Mapa final'!$A$19),"")</f>
        <v/>
      </c>
      <c r="AG45" s="425"/>
      <c r="AH45" s="425" t="str">
        <f>IF(AND('Mapa final'!$P$20="Muy Baja",'Mapa final'!$S$20="Mayor"),CONCATENATE("R",'Mapa final'!$A$20),"")</f>
        <v/>
      </c>
      <c r="AI45" s="433"/>
      <c r="AJ45" s="441" t="e">
        <f>IF(AND('Mapa final'!#REF!="Muy Baja",'Mapa final'!#REF!="Catastrófico"),CONCATENATE("R",'Mapa final'!#REF!),"")</f>
        <v>#REF!</v>
      </c>
      <c r="AK45" s="442"/>
      <c r="AL45" s="442" t="str">
        <f>IF(AND('Mapa final'!$P$19="Muy Baja",'Mapa final'!$S$19="Catastrófico"),CONCATENATE("R",'Mapa final'!$A$19),"")</f>
        <v/>
      </c>
      <c r="AM45" s="442"/>
      <c r="AN45" s="442" t="str">
        <f>IF(AND('Mapa final'!$P$20="Muy Baja",'Mapa final'!$K$20="Catastrófico"),CONCATENATE("R",'Mapa final'!$A$20),"")</f>
        <v/>
      </c>
      <c r="AO45" s="443"/>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380"/>
      <c r="E46" s="380"/>
      <c r="F46" s="381"/>
      <c r="G46" s="420"/>
      <c r="H46" s="421"/>
      <c r="I46" s="421"/>
      <c r="J46" s="421"/>
      <c r="K46" s="421"/>
      <c r="L46" s="459"/>
      <c r="M46" s="457"/>
      <c r="N46" s="457"/>
      <c r="O46" s="457"/>
      <c r="P46" s="457"/>
      <c r="Q46" s="458"/>
      <c r="R46" s="459"/>
      <c r="S46" s="457"/>
      <c r="T46" s="457"/>
      <c r="U46" s="457"/>
      <c r="V46" s="457"/>
      <c r="W46" s="458"/>
      <c r="X46" s="436"/>
      <c r="Y46" s="437"/>
      <c r="Z46" s="437"/>
      <c r="AA46" s="437"/>
      <c r="AB46" s="437"/>
      <c r="AC46" s="450"/>
      <c r="AD46" s="428"/>
      <c r="AE46" s="425"/>
      <c r="AF46" s="425"/>
      <c r="AG46" s="425"/>
      <c r="AH46" s="425"/>
      <c r="AI46" s="433"/>
      <c r="AJ46" s="441"/>
      <c r="AK46" s="442"/>
      <c r="AL46" s="442"/>
      <c r="AM46" s="442"/>
      <c r="AN46" s="442"/>
      <c r="AO46" s="443"/>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380"/>
      <c r="E47" s="380"/>
      <c r="F47" s="381"/>
      <c r="G47" s="420"/>
      <c r="H47" s="421"/>
      <c r="I47" s="421"/>
      <c r="J47" s="421"/>
      <c r="K47" s="421"/>
      <c r="L47" s="459" t="str">
        <f>IF(AND('Mapa final'!$P$21="Muy Baja",'Mapa final'!$S$21="Leve"),CONCATENATE("R",'Mapa final'!$A$21),"")</f>
        <v/>
      </c>
      <c r="M47" s="457"/>
      <c r="N47" s="457" t="str">
        <f>IF(AND('Mapa final'!$K$22="Muy Baja",'Mapa final'!$O$22="Leve"),CONCATENATE("R",'Mapa final'!$A$22),"")</f>
        <v/>
      </c>
      <c r="O47" s="457"/>
      <c r="P47" s="457" t="str">
        <f>IF(AND('Mapa final'!$K$31="Muy Baja",'Mapa final'!$O$31="Leve"),CONCATENATE("R",'Mapa final'!$A$31),"")</f>
        <v/>
      </c>
      <c r="Q47" s="458"/>
      <c r="R47" s="459" t="str">
        <f>IF(AND('Mapa final'!$P$21="Muy Baja",'Mapa final'!$S$21="Menor"),CONCATENATE("R",'Mapa final'!$A$21),"")</f>
        <v/>
      </c>
      <c r="S47" s="457"/>
      <c r="T47" s="457" t="str">
        <f>IF(AND('Mapa final'!$LT$22="Muy Baja",'Mapa final'!$S$22="Menor"),CONCATENATE("R",'Mapa final'!$A$22),"")</f>
        <v/>
      </c>
      <c r="U47" s="457"/>
      <c r="V47" s="457" t="str">
        <f>IF(AND('Mapa final'!$P$31="Muy Baja",'Mapa final'!$S$31="Menor"),CONCATENATE("R",'Mapa final'!$A$31),"")</f>
        <v/>
      </c>
      <c r="W47" s="458"/>
      <c r="X47" s="436" t="str">
        <f>IF(AND('Mapa final'!$P$21="Muy Baja",'Mapa final'!$S$21="Moderado"),CONCATENATE("R",'Mapa final'!$A$21),"")</f>
        <v/>
      </c>
      <c r="Y47" s="437"/>
      <c r="Z47" s="437" t="str">
        <f>IF(AND('Mapa final'!$P$22="Muy Baja",'Mapa final'!$S$22="Moderado"),CONCATENATE("R",'Mapa final'!$A$22),"")</f>
        <v/>
      </c>
      <c r="AA47" s="437"/>
      <c r="AB47" s="437" t="str">
        <f>IF(AND('Mapa final'!$P$31="Muy Baja",'Mapa final'!$S$31="Moderado"),CONCATENATE("R",'Mapa final'!$A$31),"")</f>
        <v/>
      </c>
      <c r="AC47" s="450"/>
      <c r="AD47" s="428" t="str">
        <f>IF(AND('Mapa final'!$P$21="Muy Baja",'Mapa final'!$S$21="Mayor"),CONCATENATE("R",'Mapa final'!$A$21),"")</f>
        <v/>
      </c>
      <c r="AE47" s="425"/>
      <c r="AF47" s="425" t="str">
        <f>IF(AND('Mapa final'!$P$22="Muy Baja",'Mapa final'!$S$22="Mayor"),CONCATENATE("R",'Mapa final'!$A$22),"")</f>
        <v/>
      </c>
      <c r="AG47" s="425"/>
      <c r="AH47" s="425" t="str">
        <f>IF(AND('Mapa final'!$P$31="Muy Baja",'Mapa final'!$S$31="Mayor"),CONCATENATE("R",'Mapa final'!$A$31),"")</f>
        <v/>
      </c>
      <c r="AI47" s="433"/>
      <c r="AJ47" s="441" t="str">
        <f>IF(AND('Mapa final'!$P$21="Muy Baja",'Mapa final'!$S$21="Catastrófico"),CONCATENATE("R",'Mapa final'!$A$21),"")</f>
        <v/>
      </c>
      <c r="AK47" s="442"/>
      <c r="AL47" s="442" t="str">
        <f>IF(AND('Mapa final'!$P$22="Muy Baja",'Mapa final'!$S$22="Catastrófico"),CONCATENATE("R",'Mapa final'!$A$22),"")</f>
        <v/>
      </c>
      <c r="AM47" s="442"/>
      <c r="AN47" s="442" t="str">
        <f>IF(AND('Mapa final'!$P$31="Muy Baja",'Mapa final'!$S$31="Catastrófico"),CONCATENATE("R",'Mapa final'!$A$31),"")</f>
        <v/>
      </c>
      <c r="AO47" s="443"/>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380"/>
      <c r="E48" s="380"/>
      <c r="F48" s="381"/>
      <c r="G48" s="420"/>
      <c r="H48" s="421"/>
      <c r="I48" s="421"/>
      <c r="J48" s="421"/>
      <c r="K48" s="421"/>
      <c r="L48" s="459"/>
      <c r="M48" s="457"/>
      <c r="N48" s="457"/>
      <c r="O48" s="457"/>
      <c r="P48" s="457"/>
      <c r="Q48" s="458"/>
      <c r="R48" s="459"/>
      <c r="S48" s="457"/>
      <c r="T48" s="457"/>
      <c r="U48" s="457"/>
      <c r="V48" s="457"/>
      <c r="W48" s="458"/>
      <c r="X48" s="436"/>
      <c r="Y48" s="437"/>
      <c r="Z48" s="437"/>
      <c r="AA48" s="437"/>
      <c r="AB48" s="437"/>
      <c r="AC48" s="450"/>
      <c r="AD48" s="428"/>
      <c r="AE48" s="425"/>
      <c r="AF48" s="425"/>
      <c r="AG48" s="425"/>
      <c r="AH48" s="425"/>
      <c r="AI48" s="433"/>
      <c r="AJ48" s="441"/>
      <c r="AK48" s="442"/>
      <c r="AL48" s="442"/>
      <c r="AM48" s="442"/>
      <c r="AN48" s="442"/>
      <c r="AO48" s="443"/>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380"/>
      <c r="E49" s="380"/>
      <c r="F49" s="381"/>
      <c r="G49" s="420"/>
      <c r="H49" s="421"/>
      <c r="I49" s="421"/>
      <c r="J49" s="421"/>
      <c r="K49" s="421"/>
      <c r="L49" s="459" t="str">
        <f>IF(AND('Mapa final'!$P$32="Muy Baja",'Mapa final'!$S$32="Leve"),CONCATENATE("R",'Mapa final'!$A$32),"")</f>
        <v/>
      </c>
      <c r="M49" s="457"/>
      <c r="N49" s="457" t="str">
        <f>IF(AND('Mapa final'!$K$33="Muy Baja",'Mapa final'!$O$33="Leve"),CONCATENATE("R",'Mapa final'!$A$33),"")</f>
        <v/>
      </c>
      <c r="O49" s="457"/>
      <c r="P49" s="457" t="str">
        <f>IF(AND('Mapa final'!$K$34="Muy Baja",'Mapa final'!$O$34="Leve"),CONCATENATE("R",'Mapa final'!$A$34),"")</f>
        <v/>
      </c>
      <c r="Q49" s="458"/>
      <c r="R49" s="457" t="str">
        <f>IF(AND('Mapa final'!$P$32="Muy Baja",'Mapa final'!$S$32="Menor"),CONCATENATE("R",'Mapa final'!$A$32),"")</f>
        <v/>
      </c>
      <c r="S49" s="457"/>
      <c r="T49" s="457" t="str">
        <f>IF(AND('Mapa final'!$P$33="Muy Baja",'Mapa final'!$S$33="Menor"),CONCATENATE("R",'Mapa final'!$A$33),"")</f>
        <v/>
      </c>
      <c r="U49" s="457"/>
      <c r="V49" s="457" t="str">
        <f>IF(AND('Mapa final'!$P$34="Muy Baja",'Mapa final'!$S$34="Menor"),CONCATENATE("R",'Mapa final'!$A$34),"")</f>
        <v/>
      </c>
      <c r="W49" s="458"/>
      <c r="X49" s="436" t="str">
        <f>IF(AND('Mapa final'!$P$32="Muy Baja",'Mapa final'!$S$32="Moderado"),CONCATENATE("R",'Mapa final'!$A$32),"")</f>
        <v/>
      </c>
      <c r="Y49" s="437"/>
      <c r="Z49" s="437" t="str">
        <f>IF(AND('Mapa final'!$P$33="Muy Baja",'Mapa final'!$S$33="Moderado"),CONCATENATE("R",'Mapa final'!$A$33),"")</f>
        <v/>
      </c>
      <c r="AA49" s="437"/>
      <c r="AB49" s="437" t="str">
        <f>IF(AND('Mapa final'!$P$34="Muy Baja",'Mapa final'!$S$34="Moderado"),CONCATENATE("R",'Mapa final'!$A$34),"")</f>
        <v/>
      </c>
      <c r="AC49" s="450"/>
      <c r="AD49" s="428" t="str">
        <f>IF(AND('Mapa final'!$P$32="Muy Baja",'Mapa final'!$S$32="Mayor"),CONCATENATE("R",'Mapa final'!$A$32),"")</f>
        <v/>
      </c>
      <c r="AE49" s="425"/>
      <c r="AF49" s="425" t="str">
        <f>IF(AND('Mapa final'!$P$33="Muy Baja",'Mapa final'!$S$33="Mayor"),CONCATENATE("R",'Mapa final'!$A$33),"")</f>
        <v/>
      </c>
      <c r="AG49" s="425"/>
      <c r="AH49" s="425" t="str">
        <f>IF(AND('Mapa final'!$P$34="Muy Baja",'Mapa final'!$S$34="Mayor"),CONCATENATE("R",'Mapa final'!$A$34),"")</f>
        <v/>
      </c>
      <c r="AI49" s="433"/>
      <c r="AJ49" s="441" t="str">
        <f>IF(AND('Mapa final'!$P$32="Muy Baja",'Mapa final'!$S$32="Catastrófico"),CONCATENATE("R",'Mapa final'!$A$32),"")</f>
        <v/>
      </c>
      <c r="AK49" s="442"/>
      <c r="AL49" s="442" t="str">
        <f>IF(AND('Mapa final'!$P$33="Muy Baja",'Mapa final'!$S$33="Catastrófico"),CONCATENATE("R",'Mapa final'!$A$33),"")</f>
        <v/>
      </c>
      <c r="AM49" s="442"/>
      <c r="AN49" s="442" t="str">
        <f>IF(AND('Mapa final'!$P$34="Muy Baja",'Mapa final'!$S$34="Catastrófico"),CONCATENATE("R",'Mapa final'!$A$34),"")</f>
        <v/>
      </c>
      <c r="AO49" s="443"/>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380"/>
      <c r="E50" s="380"/>
      <c r="F50" s="381"/>
      <c r="G50" s="422"/>
      <c r="H50" s="423"/>
      <c r="I50" s="423"/>
      <c r="J50" s="423"/>
      <c r="K50" s="423"/>
      <c r="L50" s="460"/>
      <c r="M50" s="461"/>
      <c r="N50" s="461"/>
      <c r="O50" s="461"/>
      <c r="P50" s="461"/>
      <c r="Q50" s="462"/>
      <c r="R50" s="461"/>
      <c r="S50" s="461"/>
      <c r="T50" s="461"/>
      <c r="U50" s="461"/>
      <c r="V50" s="461"/>
      <c r="W50" s="462"/>
      <c r="X50" s="451"/>
      <c r="Y50" s="452"/>
      <c r="Z50" s="452"/>
      <c r="AA50" s="452"/>
      <c r="AB50" s="452"/>
      <c r="AC50" s="453"/>
      <c r="AD50" s="439"/>
      <c r="AE50" s="434"/>
      <c r="AF50" s="434"/>
      <c r="AG50" s="434"/>
      <c r="AH50" s="434"/>
      <c r="AI50" s="435"/>
      <c r="AJ50" s="447"/>
      <c r="AK50" s="448"/>
      <c r="AL50" s="448"/>
      <c r="AM50" s="448"/>
      <c r="AN50" s="448"/>
      <c r="AO50" s="449"/>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429" t="s">
        <v>301</v>
      </c>
      <c r="M51" s="421"/>
      <c r="N51" s="421"/>
      <c r="O51" s="421"/>
      <c r="P51" s="421"/>
      <c r="Q51" s="430"/>
      <c r="R51" s="418" t="s">
        <v>302</v>
      </c>
      <c r="S51" s="419"/>
      <c r="T51" s="419"/>
      <c r="U51" s="419"/>
      <c r="V51" s="419"/>
      <c r="W51" s="432"/>
      <c r="X51" s="418" t="s">
        <v>303</v>
      </c>
      <c r="Y51" s="419"/>
      <c r="Z51" s="419"/>
      <c r="AA51" s="419"/>
      <c r="AB51" s="419"/>
      <c r="AC51" s="432"/>
      <c r="AD51" s="418" t="s">
        <v>304</v>
      </c>
      <c r="AE51" s="438"/>
      <c r="AF51" s="419"/>
      <c r="AG51" s="419"/>
      <c r="AH51" s="419"/>
      <c r="AI51" s="432"/>
      <c r="AJ51" s="418" t="s">
        <v>305</v>
      </c>
      <c r="AK51" s="419"/>
      <c r="AL51" s="419"/>
      <c r="AM51" s="419"/>
      <c r="AN51" s="419"/>
      <c r="AO51" s="432"/>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420"/>
      <c r="M52" s="421"/>
      <c r="N52" s="421"/>
      <c r="O52" s="421"/>
      <c r="P52" s="421"/>
      <c r="Q52" s="430"/>
      <c r="R52" s="420"/>
      <c r="S52" s="421"/>
      <c r="T52" s="421"/>
      <c r="U52" s="421"/>
      <c r="V52" s="421"/>
      <c r="W52" s="430"/>
      <c r="X52" s="420"/>
      <c r="Y52" s="421"/>
      <c r="Z52" s="421"/>
      <c r="AA52" s="421"/>
      <c r="AB52" s="421"/>
      <c r="AC52" s="430"/>
      <c r="AD52" s="420"/>
      <c r="AE52" s="421"/>
      <c r="AF52" s="421"/>
      <c r="AG52" s="421"/>
      <c r="AH52" s="421"/>
      <c r="AI52" s="430"/>
      <c r="AJ52" s="420"/>
      <c r="AK52" s="421"/>
      <c r="AL52" s="421"/>
      <c r="AM52" s="421"/>
      <c r="AN52" s="421"/>
      <c r="AO52" s="430"/>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420"/>
      <c r="M53" s="421"/>
      <c r="N53" s="421"/>
      <c r="O53" s="421"/>
      <c r="P53" s="421"/>
      <c r="Q53" s="430"/>
      <c r="R53" s="420"/>
      <c r="S53" s="421"/>
      <c r="T53" s="421"/>
      <c r="U53" s="421"/>
      <c r="V53" s="421"/>
      <c r="W53" s="430"/>
      <c r="X53" s="420"/>
      <c r="Y53" s="421"/>
      <c r="Z53" s="421"/>
      <c r="AA53" s="421"/>
      <c r="AB53" s="421"/>
      <c r="AC53" s="430"/>
      <c r="AD53" s="420"/>
      <c r="AE53" s="421"/>
      <c r="AF53" s="421"/>
      <c r="AG53" s="421"/>
      <c r="AH53" s="421"/>
      <c r="AI53" s="430"/>
      <c r="AJ53" s="420"/>
      <c r="AK53" s="421"/>
      <c r="AL53" s="421"/>
      <c r="AM53" s="421"/>
      <c r="AN53" s="421"/>
      <c r="AO53" s="430"/>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420"/>
      <c r="M54" s="421"/>
      <c r="N54" s="421"/>
      <c r="O54" s="421"/>
      <c r="P54" s="421"/>
      <c r="Q54" s="430"/>
      <c r="R54" s="420"/>
      <c r="S54" s="421"/>
      <c r="T54" s="421"/>
      <c r="U54" s="421"/>
      <c r="V54" s="421"/>
      <c r="W54" s="430"/>
      <c r="X54" s="420"/>
      <c r="Y54" s="421"/>
      <c r="Z54" s="421"/>
      <c r="AA54" s="421"/>
      <c r="AB54" s="421"/>
      <c r="AC54" s="430"/>
      <c r="AD54" s="420"/>
      <c r="AE54" s="421"/>
      <c r="AF54" s="421"/>
      <c r="AG54" s="421"/>
      <c r="AH54" s="421"/>
      <c r="AI54" s="430"/>
      <c r="AJ54" s="420"/>
      <c r="AK54" s="421"/>
      <c r="AL54" s="421"/>
      <c r="AM54" s="421"/>
      <c r="AN54" s="421"/>
      <c r="AO54" s="430"/>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420"/>
      <c r="M55" s="421"/>
      <c r="N55" s="421"/>
      <c r="O55" s="421"/>
      <c r="P55" s="421"/>
      <c r="Q55" s="430"/>
      <c r="R55" s="420"/>
      <c r="S55" s="421"/>
      <c r="T55" s="421"/>
      <c r="U55" s="421"/>
      <c r="V55" s="421"/>
      <c r="W55" s="430"/>
      <c r="X55" s="420"/>
      <c r="Y55" s="421"/>
      <c r="Z55" s="421"/>
      <c r="AA55" s="421"/>
      <c r="AB55" s="421"/>
      <c r="AC55" s="430"/>
      <c r="AD55" s="420"/>
      <c r="AE55" s="421"/>
      <c r="AF55" s="421"/>
      <c r="AG55" s="421"/>
      <c r="AH55" s="421"/>
      <c r="AI55" s="430"/>
      <c r="AJ55" s="420"/>
      <c r="AK55" s="421"/>
      <c r="AL55" s="421"/>
      <c r="AM55" s="421"/>
      <c r="AN55" s="421"/>
      <c r="AO55" s="430"/>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5.75" thickBot="1">
      <c r="C56" s="68"/>
      <c r="D56" s="68"/>
      <c r="E56" s="68"/>
      <c r="F56" s="68"/>
      <c r="G56" s="68"/>
      <c r="H56" s="68"/>
      <c r="I56" s="68"/>
      <c r="J56" s="68"/>
      <c r="K56" s="68"/>
      <c r="L56" s="422"/>
      <c r="M56" s="423"/>
      <c r="N56" s="423"/>
      <c r="O56" s="423"/>
      <c r="P56" s="423"/>
      <c r="Q56" s="431"/>
      <c r="R56" s="422"/>
      <c r="S56" s="423"/>
      <c r="T56" s="423"/>
      <c r="U56" s="423"/>
      <c r="V56" s="423"/>
      <c r="W56" s="431"/>
      <c r="X56" s="422"/>
      <c r="Y56" s="423"/>
      <c r="Z56" s="423"/>
      <c r="AA56" s="423"/>
      <c r="AB56" s="423"/>
      <c r="AC56" s="431"/>
      <c r="AD56" s="422"/>
      <c r="AE56" s="423"/>
      <c r="AF56" s="423"/>
      <c r="AG56" s="423"/>
      <c r="AH56" s="423"/>
      <c r="AI56" s="431"/>
      <c r="AJ56" s="422"/>
      <c r="AK56" s="423"/>
      <c r="AL56" s="423"/>
      <c r="AM56" s="423"/>
      <c r="AN56" s="423"/>
      <c r="AO56" s="431"/>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306</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X47:Y48"/>
    <mergeCell ref="Z47:AA48"/>
    <mergeCell ref="AB47:AC48"/>
    <mergeCell ref="X49:Y50"/>
    <mergeCell ref="Z49:AA50"/>
    <mergeCell ref="AB49:AC50"/>
    <mergeCell ref="X43:Y44"/>
    <mergeCell ref="Z43:AA44"/>
    <mergeCell ref="AB43:AC44"/>
    <mergeCell ref="X45:Y46"/>
    <mergeCell ref="Z45:AA46"/>
    <mergeCell ref="AB45:AC46"/>
    <mergeCell ref="R39:S40"/>
    <mergeCell ref="T39:U40"/>
    <mergeCell ref="V39:W40"/>
    <mergeCell ref="R41:S42"/>
    <mergeCell ref="T41:U42"/>
    <mergeCell ref="V41:W42"/>
    <mergeCell ref="R35:S36"/>
    <mergeCell ref="T35:U36"/>
    <mergeCell ref="V35:W36"/>
    <mergeCell ref="R37:S38"/>
    <mergeCell ref="T37:U38"/>
    <mergeCell ref="V37:W38"/>
    <mergeCell ref="X39:Y40"/>
    <mergeCell ref="Z39:AA40"/>
    <mergeCell ref="AB39:AC40"/>
    <mergeCell ref="X41:Y42"/>
    <mergeCell ref="Z41:AA42"/>
    <mergeCell ref="AB41:AC42"/>
    <mergeCell ref="X35:Y36"/>
    <mergeCell ref="Z35:AA36"/>
    <mergeCell ref="AB35:AC36"/>
    <mergeCell ref="X37:Y38"/>
    <mergeCell ref="Z37:AA38"/>
    <mergeCell ref="AB37:AC38"/>
    <mergeCell ref="X31:Y32"/>
    <mergeCell ref="Z31:AA32"/>
    <mergeCell ref="AB31:AC32"/>
    <mergeCell ref="X33:Y34"/>
    <mergeCell ref="Z33:AA34"/>
    <mergeCell ref="AB33:AC34"/>
    <mergeCell ref="X27:Y28"/>
    <mergeCell ref="Z27:AA28"/>
    <mergeCell ref="AB27:AC28"/>
    <mergeCell ref="X29:Y30"/>
    <mergeCell ref="Z29:AA30"/>
    <mergeCell ref="AB29:AC30"/>
    <mergeCell ref="R31:S32"/>
    <mergeCell ref="T31:U32"/>
    <mergeCell ref="V31:W32"/>
    <mergeCell ref="R33:S34"/>
    <mergeCell ref="T33:U34"/>
    <mergeCell ref="V33:W34"/>
    <mergeCell ref="R27:S28"/>
    <mergeCell ref="T27:U28"/>
    <mergeCell ref="V27:W28"/>
    <mergeCell ref="R29:S30"/>
    <mergeCell ref="T29:U30"/>
    <mergeCell ref="V29:W30"/>
    <mergeCell ref="L31:M32"/>
    <mergeCell ref="N31:O32"/>
    <mergeCell ref="P31:Q32"/>
    <mergeCell ref="L33:M34"/>
    <mergeCell ref="N33:O34"/>
    <mergeCell ref="P33:Q34"/>
    <mergeCell ref="L27:M28"/>
    <mergeCell ref="N27:O28"/>
    <mergeCell ref="P27:Q28"/>
    <mergeCell ref="L29:M30"/>
    <mergeCell ref="N29:O30"/>
    <mergeCell ref="P29:Q30"/>
    <mergeCell ref="R23:S24"/>
    <mergeCell ref="T23:U24"/>
    <mergeCell ref="V23:W24"/>
    <mergeCell ref="R25:S26"/>
    <mergeCell ref="T25:U26"/>
    <mergeCell ref="V25:W26"/>
    <mergeCell ref="R19:S20"/>
    <mergeCell ref="T19:U20"/>
    <mergeCell ref="V19:W20"/>
    <mergeCell ref="R21:S22"/>
    <mergeCell ref="T21:U22"/>
    <mergeCell ref="V21:W22"/>
    <mergeCell ref="P23:Q24"/>
    <mergeCell ref="L25:M26"/>
    <mergeCell ref="N25:O26"/>
    <mergeCell ref="P25:Q26"/>
    <mergeCell ref="L19:M20"/>
    <mergeCell ref="N19:O20"/>
    <mergeCell ref="P19:Q20"/>
    <mergeCell ref="L21:M22"/>
    <mergeCell ref="N21:O22"/>
    <mergeCell ref="P21:Q22"/>
    <mergeCell ref="AJ47:AK48"/>
    <mergeCell ref="AL47:AM48"/>
    <mergeCell ref="AN47:AO48"/>
    <mergeCell ref="AJ49:AK50"/>
    <mergeCell ref="AL49:AM50"/>
    <mergeCell ref="AN49:AO50"/>
    <mergeCell ref="AJ43:AK44"/>
    <mergeCell ref="AL43:AM44"/>
    <mergeCell ref="AN43:AO44"/>
    <mergeCell ref="AJ45:AK46"/>
    <mergeCell ref="AL45:AM46"/>
    <mergeCell ref="AN45:AO46"/>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15:AK16"/>
    <mergeCell ref="AL15:AM16"/>
    <mergeCell ref="AN15:AO16"/>
    <mergeCell ref="AJ17:AK18"/>
    <mergeCell ref="AL17:AM18"/>
    <mergeCell ref="AN17:AO18"/>
    <mergeCell ref="AJ11:AK12"/>
    <mergeCell ref="AL11:AM12"/>
    <mergeCell ref="AN11:AO12"/>
    <mergeCell ref="AJ13:AK14"/>
    <mergeCell ref="AL13:AM14"/>
    <mergeCell ref="AN13:AO14"/>
    <mergeCell ref="AD47:AE48"/>
    <mergeCell ref="AF47:AG48"/>
    <mergeCell ref="AH47:AI48"/>
    <mergeCell ref="AD49:AE50"/>
    <mergeCell ref="AF49:AG50"/>
    <mergeCell ref="AH49:AI50"/>
    <mergeCell ref="AD43:AE44"/>
    <mergeCell ref="AF43:AG44"/>
    <mergeCell ref="AH43:AI44"/>
    <mergeCell ref="AD45:AE46"/>
    <mergeCell ref="AF45:AG46"/>
    <mergeCell ref="AH45:AI46"/>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8" activePane="bottomLeft" state="frozen"/>
      <selection pane="bottomLeft" activeCell="AX15" sqref="AX14:AX15"/>
    </sheetView>
  </sheetViews>
  <sheetFormatPr defaultColWidth="11.42578125" defaultRowHeight="15"/>
  <cols>
    <col min="3" max="19" width="5.7109375" customWidth="1"/>
    <col min="20" max="20" width="6.7109375" customWidth="1"/>
    <col min="21" max="23" width="5.7109375" customWidth="1"/>
    <col min="24" max="24" width="7.42578125" customWidth="1"/>
    <col min="25" max="25" width="8.42578125" customWidth="1"/>
    <col min="26" max="26" width="12" customWidth="1"/>
    <col min="27" max="27" width="5.7109375" customWidth="1"/>
    <col min="28" max="28" width="10.7109375" customWidth="1"/>
    <col min="29" max="29" width="5.7109375" customWidth="1"/>
    <col min="30" max="30" width="7.42578125" customWidth="1"/>
    <col min="31" max="31" width="8.5703125" customWidth="1"/>
    <col min="32" max="34" width="5.7109375" customWidth="1"/>
    <col min="35" max="35" width="8.42578125" customWidth="1"/>
    <col min="36" max="36" width="9.7109375" customWidth="1"/>
    <col min="37" max="40" width="5.7109375" customWidth="1"/>
    <col min="42" max="47" width="5.7109375" customWidth="1"/>
  </cols>
  <sheetData>
    <row r="1" spans="1:92" ht="15.75" thickBot="1"/>
    <row r="2" spans="1:92">
      <c r="C2" s="371" t="s">
        <v>288</v>
      </c>
      <c r="D2" s="372"/>
      <c r="E2" s="372"/>
      <c r="F2" s="372"/>
      <c r="G2" s="372"/>
      <c r="H2" s="372"/>
      <c r="I2" s="372"/>
      <c r="J2" s="373"/>
      <c r="K2" s="362" t="s">
        <v>1</v>
      </c>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3"/>
      <c r="AM2" s="363"/>
      <c r="AN2" s="364"/>
      <c r="AO2" s="351" t="s">
        <v>8</v>
      </c>
      <c r="AP2" s="359"/>
      <c r="AQ2" s="359"/>
      <c r="AR2" s="359"/>
      <c r="AS2" s="359"/>
      <c r="AT2" s="359"/>
      <c r="AU2" s="325"/>
    </row>
    <row r="3" spans="1:92">
      <c r="C3" s="374"/>
      <c r="D3" s="375"/>
      <c r="E3" s="375"/>
      <c r="F3" s="375"/>
      <c r="G3" s="375"/>
      <c r="H3" s="375"/>
      <c r="I3" s="375"/>
      <c r="J3" s="376"/>
      <c r="K3" s="365"/>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7"/>
      <c r="AO3" s="352" t="s">
        <v>3</v>
      </c>
      <c r="AP3" s="360"/>
      <c r="AQ3" s="360"/>
      <c r="AR3" s="360"/>
      <c r="AS3" s="360"/>
      <c r="AT3" s="360"/>
      <c r="AU3" s="327"/>
    </row>
    <row r="4" spans="1:92">
      <c r="C4" s="374"/>
      <c r="D4" s="375"/>
      <c r="E4" s="375"/>
      <c r="F4" s="375"/>
      <c r="G4" s="375"/>
      <c r="H4" s="375"/>
      <c r="I4" s="375"/>
      <c r="J4" s="376"/>
      <c r="K4" s="365"/>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M4" s="366"/>
      <c r="AN4" s="367"/>
      <c r="AO4" s="352" t="s">
        <v>4</v>
      </c>
      <c r="AP4" s="360" t="s">
        <v>290</v>
      </c>
      <c r="AQ4" s="360"/>
      <c r="AR4" s="360"/>
      <c r="AS4" s="360"/>
      <c r="AT4" s="360"/>
      <c r="AU4" s="327"/>
    </row>
    <row r="5" spans="1:92" ht="15.75" thickBot="1">
      <c r="C5" s="377"/>
      <c r="D5" s="378"/>
      <c r="E5" s="378"/>
      <c r="F5" s="378"/>
      <c r="G5" s="378"/>
      <c r="H5" s="378"/>
      <c r="I5" s="378"/>
      <c r="J5" s="379"/>
      <c r="K5" s="368"/>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70"/>
      <c r="AO5" s="353" t="s">
        <v>5</v>
      </c>
      <c r="AP5" s="361" t="s">
        <v>5</v>
      </c>
      <c r="AQ5" s="361"/>
      <c r="AR5" s="361"/>
      <c r="AS5" s="361"/>
      <c r="AT5" s="361"/>
      <c r="AU5" s="329"/>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518" t="s">
        <v>9</v>
      </c>
      <c r="B8" s="518"/>
      <c r="C8" s="497" t="s">
        <v>307</v>
      </c>
      <c r="D8" s="498"/>
      <c r="E8" s="498"/>
      <c r="F8" s="498"/>
      <c r="G8" s="498"/>
      <c r="H8" s="498"/>
      <c r="I8" s="498"/>
      <c r="J8" s="498"/>
      <c r="K8" s="499" t="s">
        <v>60</v>
      </c>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499"/>
      <c r="AL8" s="499"/>
      <c r="AM8" s="499"/>
      <c r="AN8" s="499"/>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498"/>
      <c r="D9" s="498"/>
      <c r="E9" s="498"/>
      <c r="F9" s="498"/>
      <c r="G9" s="498"/>
      <c r="H9" s="498"/>
      <c r="I9" s="498"/>
      <c r="J9" s="498"/>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499"/>
      <c r="AL9" s="499"/>
      <c r="AM9" s="499"/>
      <c r="AN9" s="499"/>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498"/>
      <c r="D10" s="498"/>
      <c r="E10" s="498"/>
      <c r="F10" s="498"/>
      <c r="G10" s="498"/>
      <c r="H10" s="498"/>
      <c r="I10" s="498"/>
      <c r="J10" s="498"/>
      <c r="K10" s="499"/>
      <c r="L10" s="499"/>
      <c r="M10" s="499"/>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499"/>
      <c r="AM10" s="499"/>
      <c r="AN10" s="499"/>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5.75"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380" t="s">
        <v>292</v>
      </c>
      <c r="D12" s="380"/>
      <c r="E12" s="381"/>
      <c r="F12" s="469" t="s">
        <v>293</v>
      </c>
      <c r="G12" s="470"/>
      <c r="H12" s="470"/>
      <c r="I12" s="470"/>
      <c r="J12" s="470"/>
      <c r="K12" s="32"/>
      <c r="L12" s="33" t="str">
        <f>IF(AND('Mapa final'!$AH$16="Muy Alta",'Mapa final'!$AJ$16="Leve"),CONCATENATE("R2C",'Mapa final'!$R$15),"")</f>
        <v/>
      </c>
      <c r="M12" s="33" t="str">
        <f>IF(AND('Mapa final'!$AH$17="Muy Alta",'Mapa final'!$AJ$17="Leve"),CONCATENATE("R2C",'Mapa final'!$R$17),"")</f>
        <v/>
      </c>
      <c r="N12" s="33" t="e">
        <f>IF(AND('Mapa final'!#REF!="Muy Alta",'Mapa final'!#REF!="Leve"),CONCATENATE("R2C",'Mapa final'!#REF!),"")</f>
        <v>#REF!</v>
      </c>
      <c r="O12" s="33" t="str">
        <f>IF(AND('Mapa final'!$AH$19="Muy Alta",'Mapa final'!$AJ$19="Leve"),CONCATENATE("R2C",'Mapa final'!$R$19),"")</f>
        <v/>
      </c>
      <c r="P12" s="34" t="str">
        <f>IF(AND('Mapa final'!$AH$20="Muy Alta",'Mapa final'!$AJ$20="Leve"),CONCATENATE("R2C",'Mapa final'!$R$20),"")</f>
        <v/>
      </c>
      <c r="Q12" s="33"/>
      <c r="R12" s="33" t="str">
        <f>IF(AND('Mapa final'!$AH$16="Muy Alta",'Mapa final'!$AJ$16="Menore"),CONCATENATE("R2C",'Mapa final'!$R$15),"")</f>
        <v/>
      </c>
      <c r="S12" s="33" t="str">
        <f>IF(AND('Mapa final'!$AH$17="Muy Alta",'Mapa final'!$AJ$17="Menor"),CONCATENATE("R2C",'Mapa final'!$R$17),"")</f>
        <v/>
      </c>
      <c r="T12" s="33" t="e">
        <f>IF(AND('Mapa final'!#REF!="Muy Alta",'Mapa final'!#REF!="Menor"),CONCATENATE("R2C",'Mapa final'!#REF!),"")</f>
        <v>#REF!</v>
      </c>
      <c r="U12" s="33" t="str">
        <f>IF(AND('Mapa final'!$AH$19="Muy Alta",'Mapa final'!$AJ$19="Menor"),CONCATENATE("R2C",'Mapa final'!$R$19),"")</f>
        <v/>
      </c>
      <c r="V12" s="34" t="str">
        <f>IF(AND('Mapa final'!$AH$20="Muy Alta",'Mapa final'!$AJ$20="Menor"),CONCATENATE("R2C",'Mapa final'!$R$20),"")</f>
        <v/>
      </c>
      <c r="W12" s="32"/>
      <c r="X12" s="33" t="str">
        <f>IF(AND('Mapa final'!$AH$16="Muy Alta",'Mapa final'!$AJ$16="Moderado"),CONCATENATE("R2C",'Mapa final'!$R$15),"")</f>
        <v/>
      </c>
      <c r="Y12" s="33"/>
      <c r="Z12" s="33" t="e">
        <f>IF(AND('Mapa final'!#REF!="Muy Alta",'Mapa final'!#REF!="Moderado"),CONCATENATE("R2C",'Mapa final'!#REF!),"")</f>
        <v>#REF!</v>
      </c>
      <c r="AA12" s="33" t="str">
        <f>IF(AND('Mapa final'!$AH$19="Muy Alta",'Mapa final'!$AJ$19="Moderado"),CONCATENATE("R2C",'Mapa final'!$R$19),"")</f>
        <v/>
      </c>
      <c r="AB12" s="34" t="str">
        <f>IF(AND('Mapa final'!$AH$20="Muy Alta",'Mapa final'!$AJ$20="Moderado"),CONCATENATE("R2C",'Mapa final'!$R$20),"")</f>
        <v/>
      </c>
      <c r="AC12" s="32"/>
      <c r="AD12" s="33" t="str">
        <f>IF(AND('Mapa final'!$AH$16="Muy Alta",'Mapa final'!$AJ$16="Mayor"),CONCATENATE("R2C",'Mapa final'!$R$15),"")</f>
        <v/>
      </c>
      <c r="AE12" s="33" t="str">
        <f>IF(AND('Mapa final'!$AH$17="Muy Alta",'Mapa final'!$AJ$17="Mayor"),CONCATENATE("R2C",'Mapa final'!$R$17),"")</f>
        <v/>
      </c>
      <c r="AF12" s="33" t="e">
        <f>IF(AND('Mapa final'!#REF!="Muy Alta",'Mapa final'!#REF!="Mayor"),CONCATENATE("R2C",'Mapa final'!#REF!),"")</f>
        <v>#REF!</v>
      </c>
      <c r="AG12" s="33" t="str">
        <f>IF(AND('Mapa final'!$AH$19="Muy Alta",'Mapa final'!$AJ$19="Mayor"),CONCATENATE("R2C",'Mapa final'!$R$19),"")</f>
        <v/>
      </c>
      <c r="AH12" s="34" t="str">
        <f>IF(AND('Mapa final'!$AH$20="Muy Alta",'Mapa final'!$AJ$20="Mayor"),CONCATENATE("R2C",'Mapa final'!$R$20),"")</f>
        <v/>
      </c>
      <c r="AI12" s="35"/>
      <c r="AJ12" s="36" t="str">
        <f>IF(AND('Mapa final'!$AH$16="Muy Alta",'Mapa final'!$AJ$16="Catastrófico"),CONCATENATE("R2C",'Mapa final'!$R$15),"")</f>
        <v/>
      </c>
      <c r="AK12" s="36" t="str">
        <f>IF(AND('Mapa final'!$AH$17="Muy Alta",'Mapa final'!$AJ$17="Catastrófico"),CONCATENATE("R2C",'Mapa final'!$R$17),"")</f>
        <v/>
      </c>
      <c r="AL12" s="36" t="e">
        <f>IF(AND('Mapa final'!#REF!="Muy Alta",'Mapa final'!#REF!="Catastrófico"),CONCATENATE("R2C",'Mapa final'!#REF!),"")</f>
        <v>#REF!</v>
      </c>
      <c r="AM12" s="36" t="str">
        <f>IF(AND('Mapa final'!$AH$19="Muy Alta",'Mapa final'!$AJ$19="Catastrófico"),CONCATENATE("R2C",'Mapa final'!$R$19),"")</f>
        <v/>
      </c>
      <c r="AN12" s="37" t="str">
        <f>IF(AND('Mapa final'!$AH$20="Muy Alta",'Mapa final'!$AJ$20="Catastrófico"),CONCATENATE("R2C",'Mapa final'!$R$20),"")</f>
        <v/>
      </c>
      <c r="AO12" s="68"/>
      <c r="AP12" s="488" t="s">
        <v>294</v>
      </c>
      <c r="AQ12" s="489"/>
      <c r="AR12" s="489"/>
      <c r="AS12" s="489"/>
      <c r="AT12" s="489"/>
      <c r="AU12" s="490"/>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380"/>
      <c r="D13" s="380"/>
      <c r="E13" s="381"/>
      <c r="F13" s="472"/>
      <c r="G13" s="473"/>
      <c r="H13" s="473"/>
      <c r="I13" s="473"/>
      <c r="J13" s="473"/>
      <c r="K13" s="38" t="str">
        <f>IF(AND('Mapa final'!$AH$21="Muy Alta",'Mapa final'!$AJ$21="Leve"),CONCATENATE("R2C",'Mapa final'!$R$21),"")</f>
        <v/>
      </c>
      <c r="L13" s="39" t="str">
        <f>IF(AND('Mapa final'!$AH$22="Muy Alta",'Mapa final'!$AJ$22="Leve"),CONCATENATE("R2C",'Mapa final'!$R$22),"")</f>
        <v/>
      </c>
      <c r="M13" s="39" t="str">
        <f>IF(AND('Mapa final'!$AH$31="Muy Alta",'Mapa final'!$AJ$31="Leve"),CONCATENATE("R2C",'Mapa final'!$R$31),"")</f>
        <v/>
      </c>
      <c r="N13" s="39" t="str">
        <f>IF(AND('Mapa final'!$AH$32="Muy Alta",'Mapa final'!$AJ$32="Leve"),CONCATENATE("R2C",'Mapa final'!$R$32),"")</f>
        <v/>
      </c>
      <c r="O13" s="39" t="str">
        <f>IF(AND('Mapa final'!$AH$33="Muy Alta",'Mapa final'!$AJ$33="Leve"),CONCATENATE("R2C",'Mapa final'!$R$33),"")</f>
        <v/>
      </c>
      <c r="P13" s="40" t="str">
        <f>IF(AND('Mapa final'!$AH$34="Muy Alta",'Mapa final'!$AJ$34="Leve"),CONCATENATE("R2C",'Mapa final'!$R$34),"")</f>
        <v/>
      </c>
      <c r="Q13" s="39" t="str">
        <f>IF(AND('Mapa final'!$AH$21="Muy Alta",'Mapa final'!$AJ$21="Menor"),CONCATENATE("R2C",'Mapa final'!$R$21),"")</f>
        <v/>
      </c>
      <c r="R13" s="39" t="str">
        <f>IF(AND('Mapa final'!$AH$22="Muy Alta",'Mapa final'!$AJ$22="Menor"),CONCATENATE("R2C",'Mapa final'!$R$22),"")</f>
        <v/>
      </c>
      <c r="S13" s="39" t="str">
        <f>IF(AND('Mapa final'!$AH$31="Muy Alta",'Mapa final'!$AJ$31="Menor"),CONCATENATE("R2C",'Mapa final'!$R$31),"")</f>
        <v/>
      </c>
      <c r="T13" s="39" t="str">
        <f>IF(AND('Mapa final'!$AH$32="Muy Alta",'Mapa final'!$AJ$32="Menor"),CONCATENATE("R2C",'Mapa final'!$R$32),"")</f>
        <v/>
      </c>
      <c r="U13" s="39" t="str">
        <f>IF(AND('Mapa final'!$AH$33="Muy Alta",'Mapa final'!$AJ$33="Menor"),CONCATENATE("R2C",'Mapa final'!$R$33),"")</f>
        <v/>
      </c>
      <c r="V13" s="40" t="str">
        <f>IF(AND('Mapa final'!$AH$34="Muy Alta",'Mapa final'!$AJ$34="Menor"),CONCATENATE("R2C",'Mapa final'!$R$34),"")</f>
        <v/>
      </c>
      <c r="W13" s="38" t="str">
        <f>IF(AND('Mapa final'!$AH$21="Muy Alta",'Mapa final'!$AJ$21="Moderado"),CONCATENATE("R2C",'Mapa final'!$R$21),"")</f>
        <v/>
      </c>
      <c r="X13" s="39" t="str">
        <f>IF(AND('Mapa final'!$AH$22="Muy Alta",'Mapa final'!$AJ$22="Moderado"),CONCATENATE("R2C",'Mapa final'!$R$22),"")</f>
        <v/>
      </c>
      <c r="Y13" s="39" t="str">
        <f>IF(AND('Mapa final'!$AH$31="Muy Alta",'Mapa final'!$AJ$31="Moderado"),CONCATENATE("R2C",'Mapa final'!$R$31),"")</f>
        <v/>
      </c>
      <c r="Z13" s="39" t="str">
        <f>IF(AND('Mapa final'!$AH$32="Muy Alta",'Mapa final'!$AJ$32="Moderado"),CONCATENATE("R2C",'Mapa final'!$R$32),"")</f>
        <v/>
      </c>
      <c r="AA13" s="39" t="str">
        <f>IF(AND('Mapa final'!$AH$33="Muy Alta",'Mapa final'!$AJ$33="Moderado"),CONCATENATE("R2C",'Mapa final'!$R$33),"")</f>
        <v/>
      </c>
      <c r="AB13" s="40" t="str">
        <f>IF(AND('Mapa final'!$AH$34="Muy Alta",'Mapa final'!$AJ$34="Moderado"),CONCATENATE("R2C",'Mapa final'!$R$34),"")</f>
        <v/>
      </c>
      <c r="AC13" s="38" t="str">
        <f>IF(AND('Mapa final'!$AH$21="Muy Alta",'Mapa final'!$AJ$21="Mayor"),CONCATENATE("R2C",'Mapa final'!$R$21),"")</f>
        <v/>
      </c>
      <c r="AD13" s="39" t="str">
        <f>IF(AND('Mapa final'!$AH$22="Muy Alta",'Mapa final'!$AJ$22="Mayor"),CONCATENATE("R2C",'Mapa final'!$R$22),"")</f>
        <v/>
      </c>
      <c r="AE13" s="39" t="str">
        <f>IF(AND('Mapa final'!$AH$31="Muy Alta",'Mapa final'!$AJ$31="Mayor"),CONCATENATE("R2C",'Mapa final'!$R$31),"")</f>
        <v/>
      </c>
      <c r="AF13" s="39" t="str">
        <f>IF(AND('Mapa final'!$AH$32="Muy Alta",'Mapa final'!$AJ$32="Mayor"),CONCATENATE("R2C",'Mapa final'!$R$32),"")</f>
        <v/>
      </c>
      <c r="AG13" s="39" t="str">
        <f>IF(AND('Mapa final'!$AH$33="Muy Alta",'Mapa final'!$AJ$33="Mayor"),CONCATENATE("R2C",'Mapa final'!$R$33),"")</f>
        <v/>
      </c>
      <c r="AH13" s="40" t="str">
        <f>IF(AND('Mapa final'!$AH$34="Muy Alta",'Mapa final'!$AJ$34="Mayor"),CONCATENATE("R2C",'Mapa final'!$R$34),"")</f>
        <v/>
      </c>
      <c r="AI13" s="41" t="str">
        <f>IF(AND('Mapa final'!$AH$21="Muy Alta",'Mapa final'!$AJ$21="Catastrófico"),CONCATENATE("R2C",'Mapa final'!$R$21),"")</f>
        <v/>
      </c>
      <c r="AJ13" s="42" t="str">
        <f>IF(AND('Mapa final'!$AH$22="Muy Alta",'Mapa final'!$AJ$22="Catastrófico"),CONCATENATE("R2C",'Mapa final'!$R$22),"")</f>
        <v/>
      </c>
      <c r="AK13" s="42" t="str">
        <f>IF(AND('Mapa final'!$AH$31="Muy Alta",'Mapa final'!$AJ$31="Catastrófico"),CONCATENATE("R2C",'Mapa final'!$R$31),"")</f>
        <v/>
      </c>
      <c r="AL13" s="42" t="str">
        <f>IF(AND('Mapa final'!$AH$32="Muy Alta",'Mapa final'!$AJ$32="Catastrófico"),CONCATENATE("R2C",'Mapa final'!$R$32),"")</f>
        <v/>
      </c>
      <c r="AM13" s="42" t="str">
        <f>IF(AND('Mapa final'!$AH$33="Muy Alta",'Mapa final'!$AJ$33="Catastrófico"),CONCATENATE("R2C",'Mapa final'!$R$33),"")</f>
        <v/>
      </c>
      <c r="AN13" s="43" t="str">
        <f>IF(AND('Mapa final'!$AH$34="Muy Alta",'Mapa final'!$AJ$34="Catastrófico"),CONCATENATE("R2C",'Mapa final'!$R$34),"")</f>
        <v/>
      </c>
      <c r="AO13" s="68"/>
      <c r="AP13" s="491"/>
      <c r="AQ13" s="492"/>
      <c r="AR13" s="492"/>
      <c r="AS13" s="492"/>
      <c r="AT13" s="492"/>
      <c r="AU13" s="493"/>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380"/>
      <c r="D14" s="380"/>
      <c r="E14" s="381"/>
      <c r="F14" s="472"/>
      <c r="G14" s="473"/>
      <c r="H14" s="473"/>
      <c r="I14" s="473"/>
      <c r="J14" s="473"/>
      <c r="K14" s="38" t="str">
        <f>IF(AND('Mapa final'!$AH$35="Muy Alta",'Mapa final'!$AJ$35="Leve"),CONCATENATE("R2C",'Mapa final'!$R$35),"")</f>
        <v/>
      </c>
      <c r="L14" s="39" t="str">
        <f>IF(AND('Mapa final'!$AH$36="Muy Alta",'Mapa final'!$AJ$36="Leve"),CONCATENATE("R2C",'Mapa final'!$R$36),"")</f>
        <v/>
      </c>
      <c r="M14" s="39" t="str">
        <f>IF(AND('Mapa final'!$AH$37="Muy Alta",'Mapa final'!$AJ$37="Leve"),CONCATENATE("R2C",'Mapa final'!$R$37),"")</f>
        <v/>
      </c>
      <c r="N14" s="39" t="str">
        <f>IF(AND('Mapa final'!$AH$38="Muy Alta",'Mapa final'!$AJ$38="Leve"),CONCATENATE("R2C",'Mapa final'!$R$38),"")</f>
        <v/>
      </c>
      <c r="O14" s="39" t="str">
        <f>IF(AND('Mapa final'!$AH$39="Muy Alta",'Mapa final'!$AJ$39="Leve"),CONCATENATE("R2C",'Mapa final'!$R$39),"")</f>
        <v/>
      </c>
      <c r="P14" s="40" t="str">
        <f>IF(AND('Mapa final'!$AH$40="Muy Alta",'Mapa final'!$AJ$40="Leve"),CONCATENATE("R2C",'Mapa final'!$R$40),"")</f>
        <v/>
      </c>
      <c r="Q14" s="39" t="str">
        <f>IF(AND('Mapa final'!$AH$35="Muy Alta",'Mapa final'!$AJ$35="Menor"),CONCATENATE("R2C",'Mapa final'!$R$35),"")</f>
        <v/>
      </c>
      <c r="R14" s="39" t="str">
        <f>IF(AND('Mapa final'!$AH$36="Muy Alta",'Mapa final'!$AJ$36="Menor"),CONCATENATE("R2C",'Mapa final'!$R$36),"")</f>
        <v/>
      </c>
      <c r="S14" s="39" t="str">
        <f>IF(AND('Mapa final'!$AH$37="Muy Alta",'Mapa final'!$AJ$37="Menor"),CONCATENATE("R2C",'Mapa final'!$R$37),"")</f>
        <v/>
      </c>
      <c r="T14" s="39" t="str">
        <f>IF(AND('Mapa final'!$AH$38="Muy Alta",'Mapa final'!$AJ$38="Menor"),CONCATENATE("R2C",'Mapa final'!$R$38),"")</f>
        <v/>
      </c>
      <c r="U14" s="39" t="str">
        <f>IF(AND('Mapa final'!$AH$39="Muy Alta",'Mapa final'!$AJ$39="Menor"),CONCATENATE("R2C",'Mapa final'!$R$39),"")</f>
        <v/>
      </c>
      <c r="V14" s="40" t="str">
        <f>IF(AND('Mapa final'!$AH$40="Muy Alta",'Mapa final'!$AJ$40="Menor"),CONCATENATE("R2C",'Mapa final'!$R$40),"")</f>
        <v/>
      </c>
      <c r="W14" s="38" t="str">
        <f>IF(AND('Mapa final'!$AH$35="Muy Alta",'Mapa final'!$AJ$35="Moderado"),CONCATENATE("R2C",'Mapa final'!$R$35),"")</f>
        <v/>
      </c>
      <c r="X14" s="39" t="str">
        <f>IF(AND('Mapa final'!$AH$36="Muy Alta",'Mapa final'!$AJ$36="Moderado"),CONCATENATE("R2C",'Mapa final'!$R$36),"")</f>
        <v/>
      </c>
      <c r="Y14" s="39" t="str">
        <f>IF(AND('Mapa final'!$AH$37="Muy Alta",'Mapa final'!$AJ$37="Moderado"),CONCATENATE("R2C",'Mapa final'!$R$37),"")</f>
        <v/>
      </c>
      <c r="Z14" s="39" t="str">
        <f>IF(AND('Mapa final'!$AH$38="Muy Alta",'Mapa final'!$AJ$38="Moderado"),CONCATENATE("R2C",'Mapa final'!$R$38),"")</f>
        <v/>
      </c>
      <c r="AA14" s="39" t="str">
        <f>IF(AND('Mapa final'!$AH$39="Muy Alta",'Mapa final'!$AJ$39="Moderado"),CONCATENATE("R2C",'Mapa final'!$R$39),"")</f>
        <v/>
      </c>
      <c r="AB14" s="40" t="str">
        <f>IF(AND('Mapa final'!$AH$40="Muy Alta",'Mapa final'!$AJ$40="Moderado"),CONCATENATE("R2C",'Mapa final'!$R$40),"")</f>
        <v/>
      </c>
      <c r="AC14" s="38" t="str">
        <f>IF(AND('Mapa final'!$AH$35="Muy Alta",'Mapa final'!$AJ$35="Mayor"),CONCATENATE("R2C",'Mapa final'!$R$35),"")</f>
        <v/>
      </c>
      <c r="AD14" s="39" t="str">
        <f>IF(AND('Mapa final'!$AH$36="Muy Alta",'Mapa final'!$AJ$36="Mayor"),CONCATENATE("R2C",'Mapa final'!$R$36),"")</f>
        <v/>
      </c>
      <c r="AE14" s="39" t="str">
        <f>IF(AND('Mapa final'!$AH$37="Muy Alta",'Mapa final'!$AJ$37="Mayor"),CONCATENATE("R2C",'Mapa final'!$R$37),"")</f>
        <v/>
      </c>
      <c r="AF14" s="39" t="str">
        <f>IF(AND('Mapa final'!$AH$38="Muy Alta",'Mapa final'!$AJ$38="Mayor"),CONCATENATE("R2C",'Mapa final'!$R$38),"")</f>
        <v/>
      </c>
      <c r="AG14" s="39" t="str">
        <f>IF(AND('Mapa final'!$AH$39="Muy Alta",'Mapa final'!$AJ$39="Mayor"),CONCATENATE("R2C",'Mapa final'!$R$39),"")</f>
        <v/>
      </c>
      <c r="AH14" s="40" t="str">
        <f>IF(AND('Mapa final'!$AH$40="Muy Alta",'Mapa final'!$AJ$40="Mayor"),CONCATENATE("R2C",'Mapa final'!$R$40),"")</f>
        <v/>
      </c>
      <c r="AI14" s="41" t="str">
        <f>IF(AND('Mapa final'!$AH$35="Muy Alta",'Mapa final'!$AJ$35="Catastrófico"),CONCATENATE("R2C",'Mapa final'!$R$35),"")</f>
        <v/>
      </c>
      <c r="AJ14" s="42" t="str">
        <f>IF(AND('Mapa final'!$AH$36="Muy Alta",'Mapa final'!$AJ$36="Catastrófico"),CONCATENATE("R2C",'Mapa final'!$R$36),"")</f>
        <v/>
      </c>
      <c r="AK14" s="42" t="str">
        <f>IF(AND('Mapa final'!$AH$37="Muy Alta",'Mapa final'!$AJ$37="Catastrófico"),CONCATENATE("R2C",'Mapa final'!$R$37),"")</f>
        <v/>
      </c>
      <c r="AL14" s="42" t="str">
        <f>IF(AND('Mapa final'!$AH$38="Muy Alta",'Mapa final'!$AJ$38="Catastrófico"),CONCATENATE("R2C",'Mapa final'!$R$38),"")</f>
        <v/>
      </c>
      <c r="AM14" s="42" t="str">
        <f>IF(AND('Mapa final'!$AH$39="Muy Alta",'Mapa final'!$AJ$39="Catastrófico"),CONCATENATE("R2C",'Mapa final'!$R$39),"")</f>
        <v/>
      </c>
      <c r="AN14" s="43" t="str">
        <f>IF(AND('Mapa final'!$AH$40="Muy Alta",'Mapa final'!$AJ$40="Catastrófico"),CONCATENATE("R2C",'Mapa final'!$R$40),"")</f>
        <v/>
      </c>
      <c r="AO14" s="68"/>
      <c r="AP14" s="491"/>
      <c r="AQ14" s="492"/>
      <c r="AR14" s="492"/>
      <c r="AS14" s="492"/>
      <c r="AT14" s="492"/>
      <c r="AU14" s="493"/>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380"/>
      <c r="D15" s="380"/>
      <c r="E15" s="381"/>
      <c r="F15" s="472"/>
      <c r="G15" s="473"/>
      <c r="H15" s="473"/>
      <c r="I15" s="473"/>
      <c r="J15" s="473"/>
      <c r="K15" s="38" t="str">
        <f>IF(AND('Mapa final'!$AH$41="Muy Alta",'Mapa final'!$AJ$41="Leve"),CONCATENATE("R2C",'Mapa final'!$R$41),"")</f>
        <v/>
      </c>
      <c r="L15" s="39" t="str">
        <f>IF(AND('Mapa final'!$AH$42="Muy Alta",'Mapa final'!$AJ$42="Leve"),CONCATENATE("R2C",'Mapa final'!$R$42),"")</f>
        <v/>
      </c>
      <c r="M15" s="39" t="str">
        <f>IF(AND('Mapa final'!$AH$43="Muy Alta",'Mapa final'!$AJ$43="Leve"),CONCATENATE("R2C",'Mapa final'!$R$43),"")</f>
        <v/>
      </c>
      <c r="N15" s="39" t="str">
        <f>IF(AND('Mapa final'!$AH$44="Muy Alta",'Mapa final'!$AJ$44="Leve"),CONCATENATE("R2C",'Mapa final'!$R$44),"")</f>
        <v/>
      </c>
      <c r="O15" s="39" t="str">
        <f>IF(AND('Mapa final'!$AH$45="Muy Alta",'Mapa final'!$AJ$45="Leve"),CONCATENATE("R2C",'Mapa final'!$R$45),"")</f>
        <v/>
      </c>
      <c r="P15" s="40" t="str">
        <f>IF(AND('Mapa final'!$AH$46="Muy Alta",'Mapa final'!$AJ$46="Leve"),CONCATENATE("R2C",'Mapa final'!$R$46),"")</f>
        <v/>
      </c>
      <c r="Q15" s="39" t="str">
        <f>IF(AND('Mapa final'!$AH$41="Muy Alta",'Mapa final'!$AJ$41="Menor"),CONCATENATE("R2C",'Mapa final'!$R$41),"")</f>
        <v/>
      </c>
      <c r="R15" s="39" t="str">
        <f>IF(AND('Mapa final'!$AH$42="Muy Alta",'Mapa final'!$AJ$42="Menor"),CONCATENATE("R2C",'Mapa final'!$R$42),"")</f>
        <v/>
      </c>
      <c r="S15" s="39" t="str">
        <f>IF(AND('Mapa final'!$AH$43="Muy Alta",'Mapa final'!$AJ$43="Menor"),CONCATENATE("R2C",'Mapa final'!$R$43),"")</f>
        <v/>
      </c>
      <c r="T15" s="39" t="str">
        <f>IF(AND('Mapa final'!$AH$44="Muy Alta",'Mapa final'!$AJ$44="Menor"),CONCATENATE("R2C",'Mapa final'!$R$44),"")</f>
        <v/>
      </c>
      <c r="U15" s="39" t="str">
        <f>IF(AND('Mapa final'!$AH$45="Muy Alta",'Mapa final'!$AJ$45="LMenor"),CONCATENATE("R2C",'Mapa final'!$R$45),"")</f>
        <v/>
      </c>
      <c r="V15" s="40" t="str">
        <f>IF(AND('Mapa final'!$AH$46="Muy Alta",'Mapa final'!$AJ$46="Menor"),CONCATENATE("R2C",'Mapa final'!$R$46),"")</f>
        <v/>
      </c>
      <c r="W15" s="38" t="str">
        <f>IF(AND('Mapa final'!$AH$41="Muy Alta",'Mapa final'!$AJ$41="Moderado"),CONCATENATE("R2C",'Mapa final'!$R$41),"")</f>
        <v/>
      </c>
      <c r="X15" s="39" t="str">
        <f>IF(AND('Mapa final'!$AH$42="Muy Alta",'Mapa final'!$AJ$42="Moderado"),CONCATENATE("R2C",'Mapa final'!$R$42),"")</f>
        <v/>
      </c>
      <c r="Y15" s="39" t="str">
        <f>IF(AND('Mapa final'!$AH$43="Muy Alta",'Mapa final'!$AJ$43="Moderado"),CONCATENATE("R2C",'Mapa final'!$R$43),"")</f>
        <v/>
      </c>
      <c r="Z15" s="39" t="str">
        <f>IF(AND('Mapa final'!$AH$44="Muy Alta",'Mapa final'!$AJ$44="Moderado"),CONCATENATE("R2C",'Mapa final'!$R$44),"")</f>
        <v/>
      </c>
      <c r="AA15" s="39" t="str">
        <f>IF(AND('Mapa final'!$AH$45="Muy Alta",'Mapa final'!$AJ$45="Moderado"),CONCATENATE("R2C",'Mapa final'!$R$45),"")</f>
        <v/>
      </c>
      <c r="AB15" s="40" t="str">
        <f>IF(AND('Mapa final'!$AH$46="Muy Alta",'Mapa final'!$AJ$46="Moderado"),CONCATENATE("R2C",'Mapa final'!$R$46),"")</f>
        <v/>
      </c>
      <c r="AC15" s="38" t="str">
        <f>IF(AND('Mapa final'!$AH$41="Muy Alta",'Mapa final'!$AJ$41="Mayor"),CONCATENATE("R2C",'Mapa final'!$R$41),"")</f>
        <v/>
      </c>
      <c r="AD15" s="39" t="str">
        <f>IF(AND('Mapa final'!$AH$42="Muy Alta",'Mapa final'!$AJ$42="Mayor"),CONCATENATE("R2C",'Mapa final'!$R$42),"")</f>
        <v/>
      </c>
      <c r="AE15" s="39" t="str">
        <f>IF(AND('Mapa final'!$AH$43="Muy Alta",'Mapa final'!$AJ$43="Mayor"),CONCATENATE("R2C",'Mapa final'!$R$43),"")</f>
        <v/>
      </c>
      <c r="AF15" s="39" t="str">
        <f>IF(AND('Mapa final'!$AH$44="Muy Alta",'Mapa final'!$AJ$44="Mayor"),CONCATENATE("R2C",'Mapa final'!$R$44),"")</f>
        <v/>
      </c>
      <c r="AG15" s="39" t="str">
        <f>IF(AND('Mapa final'!$AH$45="Muy Alta",'Mapa final'!$AJ$45="Mayor"),CONCATENATE("R2C",'Mapa final'!$R$45),"")</f>
        <v/>
      </c>
      <c r="AH15" s="40" t="str">
        <f>IF(AND('Mapa final'!$AH$46="Muy Alta",'Mapa final'!$AJ$46="Mayor"),CONCATENATE("R2C",'Mapa final'!$R$46),"")</f>
        <v/>
      </c>
      <c r="AI15" s="41" t="str">
        <f>IF(AND('Mapa final'!$AH$41="Muy Alta",'Mapa final'!$AJ$41="Catastrófico"),CONCATENATE("R2C",'Mapa final'!$R$41),"")</f>
        <v/>
      </c>
      <c r="AJ15" s="42" t="str">
        <f>IF(AND('Mapa final'!$AH$42="Muy Alta",'Mapa final'!$AJ$42="Catastrófico"),CONCATENATE("R2C",'Mapa final'!$R$42),"")</f>
        <v/>
      </c>
      <c r="AK15" s="42" t="str">
        <f>IF(AND('Mapa final'!$AH$43="Muy Alta",'Mapa final'!$AJ$43="Catastrófico"),CONCATENATE("R2C",'Mapa final'!$R$43),"")</f>
        <v/>
      </c>
      <c r="AL15" s="42" t="str">
        <f>IF(AND('Mapa final'!$AH$44="Muy Alta",'Mapa final'!$AJ$44="Catastrófico"),CONCATENATE("R2C",'Mapa final'!$R$44),"")</f>
        <v/>
      </c>
      <c r="AM15" s="42" t="str">
        <f>IF(AND('Mapa final'!$AH$45="Muy Alta",'Mapa final'!$AJ$45="LCatastrófico"),CONCATENATE("R2C",'Mapa final'!$R$45),"")</f>
        <v/>
      </c>
      <c r="AN15" s="43" t="str">
        <f>IF(AND('Mapa final'!$AH$46="Muy Alta",'Mapa final'!$AJ$46="Catastrófico"),CONCATENATE("R2C",'Mapa final'!$R$46),"")</f>
        <v/>
      </c>
      <c r="AO15" s="68"/>
      <c r="AP15" s="491"/>
      <c r="AQ15" s="492"/>
      <c r="AR15" s="492"/>
      <c r="AS15" s="492"/>
      <c r="AT15" s="492"/>
      <c r="AU15" s="493"/>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380"/>
      <c r="D16" s="380"/>
      <c r="E16" s="381"/>
      <c r="F16" s="472"/>
      <c r="G16" s="473"/>
      <c r="H16" s="473"/>
      <c r="I16" s="473"/>
      <c r="J16" s="473"/>
      <c r="K16" s="38" t="str">
        <f>IF(AND('Mapa final'!$AH$47="Muy Alta",'Mapa final'!$AJ$47="Leve"),CONCATENATE("R2C",'Mapa final'!$R$47),"")</f>
        <v/>
      </c>
      <c r="L16" s="39" t="str">
        <f>IF(AND('Mapa final'!$AH$48="Muy Alta",'Mapa final'!$AJ$48="Leve"),CONCATENATE("R2C",'Mapa final'!$R$48),"")</f>
        <v/>
      </c>
      <c r="M16" s="39" t="str">
        <f>IF(AND('Mapa final'!$AH$49="Muy Alta",'Mapa final'!$AJ$49="Leve"),CONCATENATE("R2C",'Mapa final'!$R$49),"")</f>
        <v/>
      </c>
      <c r="N16" s="39" t="str">
        <f>IF(AND('Mapa final'!$AH$50="Muy Alta",'Mapa final'!$AJ$50="Leve"),CONCATENATE("R2C",'Mapa final'!$R$50),"")</f>
        <v/>
      </c>
      <c r="O16" s="39" t="str">
        <f>IF(AND('Mapa final'!$AH$51="Muy Alta",'Mapa final'!$AJ$51="Leve"),CONCATENATE("R2C",'Mapa final'!$R$51),"")</f>
        <v/>
      </c>
      <c r="P16" s="40" t="str">
        <f>IF(AND('Mapa final'!$AH$52="Muy Alta",'Mapa final'!$AJ$52="Leve"),CONCATENATE("R2C",'Mapa final'!$R$52),"")</f>
        <v/>
      </c>
      <c r="Q16" s="39" t="str">
        <f>IF(AND('Mapa final'!$AH$47="Muy Alta",'Mapa final'!$AJ$47="Menor"),CONCATENATE("R2C",'Mapa final'!$R$47),"")</f>
        <v/>
      </c>
      <c r="R16" s="39" t="str">
        <f>IF(AND('Mapa final'!$AH$48="Muy Alta",'Mapa final'!$AJ$48="Menor"),CONCATENATE("R2C",'Mapa final'!$R$48),"")</f>
        <v/>
      </c>
      <c r="S16" s="39" t="str">
        <f>IF(AND('Mapa final'!$AH$49="Muy Alta",'Mapa final'!$AJ$49="Menor"),CONCATENATE("R2C",'Mapa final'!$R$49),"")</f>
        <v/>
      </c>
      <c r="T16" s="39" t="str">
        <f>IF(AND('Mapa final'!$AH$50="Muy Alta",'Mapa final'!$AJ$50="Menor"),CONCATENATE("R2C",'Mapa final'!$R$50),"")</f>
        <v/>
      </c>
      <c r="U16" s="39" t="str">
        <f>IF(AND('Mapa final'!$AH$51="Muy Alta",'Mapa final'!$AJ$51="Menor"),CONCATENATE("R2C",'Mapa final'!$R$51),"")</f>
        <v/>
      </c>
      <c r="V16" s="40" t="str">
        <f>IF(AND('Mapa final'!$AH$52="Muy Alta",'Mapa final'!$AJ$52="Menor"),CONCATENATE("R2C",'Mapa final'!$R$52),"")</f>
        <v/>
      </c>
      <c r="W16" s="38" t="str">
        <f>IF(AND('Mapa final'!$AH$47="Muy Alta",'Mapa final'!$AJ$47="Moderado"),CONCATENATE("R2C",'Mapa final'!$R$47),"")</f>
        <v/>
      </c>
      <c r="X16" s="39" t="str">
        <f>IF(AND('Mapa final'!$AH$48="Muy Alta",'Mapa final'!$AJ$48="Moderado"),CONCATENATE("R2C",'Mapa final'!$R$48),"")</f>
        <v/>
      </c>
      <c r="Y16" s="39" t="str">
        <f>IF(AND('Mapa final'!$AH$49="Muy Alta",'Mapa final'!$AJ$49="Moderado"),CONCATENATE("R2C",'Mapa final'!$R$49),"")</f>
        <v/>
      </c>
      <c r="Z16" s="39" t="str">
        <f>IF(AND('Mapa final'!$AH$50="Muy Alta",'Mapa final'!$AJ$50="Moderado"),CONCATENATE("R2C",'Mapa final'!$R$50),"")</f>
        <v/>
      </c>
      <c r="AA16" s="39" t="str">
        <f>IF(AND('Mapa final'!$AH$51="Muy Alta",'Mapa final'!$AJ$51="Moderado"),CONCATENATE("R2C",'Mapa final'!$R$51),"")</f>
        <v/>
      </c>
      <c r="AB16" s="40" t="str">
        <f>IF(AND('Mapa final'!$AH$52="Muy Alta",'Mapa final'!$AJ$52="Moderado"),CONCATENATE("R2C",'Mapa final'!$R$52),"")</f>
        <v/>
      </c>
      <c r="AC16" s="38" t="str">
        <f>IF(AND('Mapa final'!$AH$47="Muy Alta",'Mapa final'!$AJ$47="Mayor"),CONCATENATE("R2C",'Mapa final'!$R$47),"")</f>
        <v/>
      </c>
      <c r="AD16" s="39" t="str">
        <f>IF(AND('Mapa final'!$AH$48="Muy Alta",'Mapa final'!$AJ$48="Mayor"),CONCATENATE("R2C",'Mapa final'!$R$48),"")</f>
        <v/>
      </c>
      <c r="AE16" s="39" t="str">
        <f>IF(AND('Mapa final'!$AH$49="Muy Alta",'Mapa final'!$AJ$49="Mayor"),CONCATENATE("R2C",'Mapa final'!$R$49),"")</f>
        <v/>
      </c>
      <c r="AF16" s="39" t="str">
        <f>IF(AND('Mapa final'!$AH$50="Muy Alta",'Mapa final'!$AJ$50="Mayor"),CONCATENATE("R2C",'Mapa final'!$R$50),"")</f>
        <v/>
      </c>
      <c r="AG16" s="39" t="str">
        <f>IF(AND('Mapa final'!$AH$51="Muy Alta",'Mapa final'!$AJ$51="Mayor"),CONCATENATE("R2C",'Mapa final'!$R$51),"")</f>
        <v/>
      </c>
      <c r="AH16" s="40" t="str">
        <f>IF(AND('Mapa final'!$AH$52="Muy Alta",'Mapa final'!$AJ$52="Mayor"),CONCATENATE("R2C",'Mapa final'!$R$52),"")</f>
        <v/>
      </c>
      <c r="AI16" s="41" t="str">
        <f>IF(AND('Mapa final'!$AH$47="Muy Alta",'Mapa final'!$AJ$47="Catastrófico"),CONCATENATE("R2C",'Mapa final'!$R$47),"")</f>
        <v/>
      </c>
      <c r="AJ16" s="42" t="str">
        <f>IF(AND('Mapa final'!$AH$48="Muy Alta",'Mapa final'!$AJ$48="Catastrófico"),CONCATENATE("R2C",'Mapa final'!$R$48),"")</f>
        <v/>
      </c>
      <c r="AK16" s="42" t="str">
        <f>IF(AND('Mapa final'!$AH$49="Muy Alta",'Mapa final'!$AJ$49="Catastrófico"),CONCATENATE("R2C",'Mapa final'!$R$49),"")</f>
        <v/>
      </c>
      <c r="AL16" s="42" t="str">
        <f>IF(AND('Mapa final'!$AH$50="Muy Alta",'Mapa final'!$AJ$50="Catastrófico"),CONCATENATE("R2C",'Mapa final'!$R$50),"")</f>
        <v/>
      </c>
      <c r="AM16" s="42" t="str">
        <f>IF(AND('Mapa final'!$AH$51="Muy Alta",'Mapa final'!$AJ$51="Catastrófico"),CONCATENATE("R2C",'Mapa final'!$R$51),"")</f>
        <v/>
      </c>
      <c r="AN16" s="43" t="str">
        <f>IF(AND('Mapa final'!$AH$52="Muy Alta",'Mapa final'!$AJ$52="Catastrófico"),CONCATENATE("R2C",'Mapa final'!$R$52),"")</f>
        <v/>
      </c>
      <c r="AO16" s="68"/>
      <c r="AP16" s="491"/>
      <c r="AQ16" s="492"/>
      <c r="AR16" s="492"/>
      <c r="AS16" s="492"/>
      <c r="AT16" s="492"/>
      <c r="AU16" s="493"/>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380"/>
      <c r="D17" s="380"/>
      <c r="E17" s="381"/>
      <c r="F17" s="472"/>
      <c r="G17" s="473"/>
      <c r="H17" s="473"/>
      <c r="I17" s="473"/>
      <c r="J17" s="473"/>
      <c r="K17" s="38" t="str">
        <f>IF(AND('Mapa final'!$AH$53="Muy Alta",'Mapa final'!$AJ$53="Leve"),CONCATENATE("R2C",'Mapa final'!$R$53),"")</f>
        <v/>
      </c>
      <c r="L17" s="39" t="str">
        <f>IF(AND('Mapa final'!$AH$54="Muy Alta",'Mapa final'!$AJ$54="Leve"),CONCATENATE("R2C",'Mapa final'!$R$54),"")</f>
        <v/>
      </c>
      <c r="M17" s="39" t="str">
        <f>IF(AND('Mapa final'!$AH$55="Muy Alta",'Mapa final'!$AJ$55="Leve"),CONCATENATE("R2C",'Mapa final'!$R$55),"")</f>
        <v/>
      </c>
      <c r="N17" s="39" t="str">
        <f>IF(AND('Mapa final'!$AH$56="Muy Alta",'Mapa final'!$AJ$56="Leve"),CONCATENATE("R2C",'Mapa final'!$R$56),"")</f>
        <v/>
      </c>
      <c r="O17" s="39" t="str">
        <f>IF(AND('Mapa final'!$AH$57="Muy Alta",'Mapa final'!$AJ$57="Leve"),CONCATENATE("R2C",'Mapa final'!$R$57),"")</f>
        <v/>
      </c>
      <c r="P17" s="40" t="str">
        <f>IF(AND('Mapa final'!$AH$68="Muy Alta",'Mapa final'!$AJ$58="Leve"),CONCATENATE("R2C",'Mapa final'!$R$58),"")</f>
        <v/>
      </c>
      <c r="Q17" s="39" t="str">
        <f>IF(AND('Mapa final'!$AH$53="Muy Alta",'Mapa final'!$AJ$53="Menor"),CONCATENATE("R2C",'Mapa final'!$R$53),"")</f>
        <v/>
      </c>
      <c r="R17" s="39" t="str">
        <f>IF(AND('Mapa final'!$AH$54="Muy Alta",'Mapa final'!$AJ$54="Menor"),CONCATENATE("R2C",'Mapa final'!$R$54),"")</f>
        <v/>
      </c>
      <c r="S17" s="39" t="str">
        <f>IF(AND('Mapa final'!$AH$55="Muy Alta",'Mapa final'!$AJ$55="Menor"),CONCATENATE("R2C",'Mapa final'!$R$55),"")</f>
        <v/>
      </c>
      <c r="T17" s="39" t="str">
        <f>IF(AND('Mapa final'!$AH$56="Muy Alta",'Mapa final'!$AJ$56="Menor"),CONCATENATE("R2C",'Mapa final'!$R$56),"")</f>
        <v/>
      </c>
      <c r="U17" s="39" t="str">
        <f>IF(AND('Mapa final'!$AH$57="Muy Alta",'Mapa final'!$AJ$57="Menor"),CONCATENATE("R2C",'Mapa final'!$R$57),"")</f>
        <v/>
      </c>
      <c r="V17" s="40" t="str">
        <f>IF(AND('Mapa final'!$AH$68="Muy Alta",'Mapa final'!$AJ$58="Menor"),CONCATENATE("R2C",'Mapa final'!$R$58),"")</f>
        <v/>
      </c>
      <c r="W17" s="38" t="str">
        <f>IF(AND('Mapa final'!$AH$53="Muy Alta",'Mapa final'!$AJ$53="Moderado"),CONCATENATE("R2C",'Mapa final'!$R$53),"")</f>
        <v/>
      </c>
      <c r="X17" s="39" t="str">
        <f>IF(AND('Mapa final'!$AH$54="Muy Alta",'Mapa final'!$AJ$54="Moderado"),CONCATENATE("R2C",'Mapa final'!$R$54),"")</f>
        <v/>
      </c>
      <c r="Y17" s="39" t="str">
        <f>IF(AND('Mapa final'!$AH$55="Muy Alta",'Mapa final'!$AJ$55="Moderado"),CONCATENATE("R2C",'Mapa final'!$R$55),"")</f>
        <v/>
      </c>
      <c r="Z17" s="39" t="str">
        <f>IF(AND('Mapa final'!$AH$56="Muy Alta",'Mapa final'!$AJ$56="Moderado"),CONCATENATE("R2C",'Mapa final'!$R$56),"")</f>
        <v/>
      </c>
      <c r="AA17" s="39" t="str">
        <f>IF(AND('Mapa final'!$AH$57="Muy Alta",'Mapa final'!$AJ$57="Moderado"),CONCATENATE("R2C",'Mapa final'!$R$57),"")</f>
        <v/>
      </c>
      <c r="AB17" s="40" t="str">
        <f>IF(AND('Mapa final'!$AH$68="Muy Alta",'Mapa final'!$AJ$58="Moderado"),CONCATENATE("R2C",'Mapa final'!$R$58),"")</f>
        <v/>
      </c>
      <c r="AC17" s="38" t="str">
        <f>IF(AND('Mapa final'!$AH$53="Muy Alta",'Mapa final'!$AJ$53="Mayor"),CONCATENATE("R2C",'Mapa final'!$R$53),"")</f>
        <v/>
      </c>
      <c r="AD17" s="39" t="str">
        <f>IF(AND('Mapa final'!$AH$54="Muy Alta",'Mapa final'!$AJ$54="Mayor"),CONCATENATE("R2C",'Mapa final'!$R$54),"")</f>
        <v/>
      </c>
      <c r="AE17" s="39" t="str">
        <f>IF(AND('Mapa final'!$AH$55="Muy Alta",'Mapa final'!$AJ$55="Mayor"),CONCATENATE("R2C",'Mapa final'!$R$55),"")</f>
        <v/>
      </c>
      <c r="AF17" s="39" t="str">
        <f>IF(AND('Mapa final'!$AH$56="Muy Alta",'Mapa final'!$AJ$56="Mayor"),CONCATENATE("R2C",'Mapa final'!$R$56),"")</f>
        <v/>
      </c>
      <c r="AG17" s="39" t="str">
        <f>IF(AND('Mapa final'!$AH$57="Muy Alta",'Mapa final'!$AJ$57="Mayor"),CONCATENATE("R2C",'Mapa final'!$R$57),"")</f>
        <v/>
      </c>
      <c r="AH17" s="40" t="str">
        <f>IF(AND('Mapa final'!$AH$68="Muy Alta",'Mapa final'!$AJ$58="Mayor"),CONCATENATE("R2C",'Mapa final'!$R$58),"")</f>
        <v/>
      </c>
      <c r="AI17" s="41" t="str">
        <f>IF(AND('Mapa final'!$AH$53="Muy Alta",'Mapa final'!$AJ$53="Catastrófico"),CONCATENATE("R2C",'Mapa final'!$R$53),"")</f>
        <v/>
      </c>
      <c r="AJ17" s="42" t="str">
        <f>IF(AND('Mapa final'!$AH$54="Muy Alta",'Mapa final'!$AJ$54="Catastrófico"),CONCATENATE("R2C",'Mapa final'!$R$54),"")</f>
        <v/>
      </c>
      <c r="AK17" s="42" t="str">
        <f>IF(AND('Mapa final'!$AH$55="Muy Alta",'Mapa final'!$AJ$55="Catastrófico"),CONCATENATE("R2C",'Mapa final'!$R$55),"")</f>
        <v/>
      </c>
      <c r="AL17" s="42" t="str">
        <f>IF(AND('Mapa final'!$AH$56="Muy Alta",'Mapa final'!$AJ$56="Catastrófico"),CONCATENATE("R2C",'Mapa final'!$R$56),"")</f>
        <v/>
      </c>
      <c r="AM17" s="42" t="str">
        <f>IF(AND('Mapa final'!$AH$57="Muy Alta",'Mapa final'!$AJ$57="Catastrófico"),CONCATENATE("R2C",'Mapa final'!$R$57),"")</f>
        <v/>
      </c>
      <c r="AN17" s="43" t="str">
        <f>IF(AND('Mapa final'!$AH$68="Muy Alta",'Mapa final'!$AJ$58="Catastrófico"),CONCATENATE("R2C",'Mapa final'!$R$58),"")</f>
        <v/>
      </c>
      <c r="AO17" s="68"/>
      <c r="AP17" s="491"/>
      <c r="AQ17" s="492"/>
      <c r="AR17" s="492"/>
      <c r="AS17" s="492"/>
      <c r="AT17" s="492"/>
      <c r="AU17" s="493"/>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380"/>
      <c r="D18" s="380"/>
      <c r="E18" s="381"/>
      <c r="F18" s="472"/>
      <c r="G18" s="473"/>
      <c r="H18" s="473"/>
      <c r="I18" s="473"/>
      <c r="J18" s="473"/>
      <c r="K18" s="38" t="str">
        <f>IF(AND('Mapa final'!$AH$59="Muy Alta",'Mapa final'!$AJ$59="Leve"),CONCATENATE("R2C",'Mapa final'!$R$59),"")</f>
        <v/>
      </c>
      <c r="L18" s="39" t="str">
        <f>IF(AND('Mapa final'!$AH$60="Muy Alta",'Mapa final'!$AJ$60="Leve"),CONCATENATE("R2C",'Mapa final'!$R$60),"")</f>
        <v/>
      </c>
      <c r="M18" s="39" t="str">
        <f>IF(AND('Mapa final'!$AH$61="Muy Alta",'Mapa final'!$AJ$61="Leve"),CONCATENATE("R2C",'Mapa final'!$R$61),"")</f>
        <v/>
      </c>
      <c r="N18" s="39" t="str">
        <f>IF(AND('Mapa final'!$AH$62="Muy Alta",'Mapa final'!$AJ$62="Leve"),CONCATENATE("R2C",'Mapa final'!$R$62),"")</f>
        <v/>
      </c>
      <c r="O18" s="39" t="str">
        <f>IF(AND('Mapa final'!$AH$63="Muy Alta",'Mapa final'!$AJ$63="Leve"),CONCATENATE("R2C",'Mapa final'!$R$63),"")</f>
        <v/>
      </c>
      <c r="P18" s="40" t="str">
        <f>IF(AND('Mapa final'!$AH$64="Muy Alta",'Mapa final'!$AJ$64="Leve"),CONCATENATE("R2C",'Mapa final'!$R$64),"")</f>
        <v/>
      </c>
      <c r="Q18" s="39" t="str">
        <f>IF(AND('Mapa final'!$AH$59="Muy Alta",'Mapa final'!$AJ$59="Menor"),CONCATENATE("R2C",'Mapa final'!$R$59),"")</f>
        <v/>
      </c>
      <c r="R18" s="39" t="str">
        <f>IF(AND('Mapa final'!$AH$60="Muy Alta",'Mapa final'!$AJ$60="Menor"),CONCATENATE("R2C",'Mapa final'!$R$60),"")</f>
        <v/>
      </c>
      <c r="S18" s="39" t="str">
        <f>IF(AND('Mapa final'!$AH$61="Muy Alta",'Mapa final'!$AJ$61="Menor"),CONCATENATE("R2C",'Mapa final'!$R$61),"")</f>
        <v/>
      </c>
      <c r="T18" s="39" t="str">
        <f>IF(AND('Mapa final'!$AH$62="Muy Alta",'Mapa final'!$AJ$62="Menor"),CONCATENATE("R2C",'Mapa final'!$R$62),"")</f>
        <v/>
      </c>
      <c r="U18" s="39" t="str">
        <f>IF(AND('Mapa final'!$AH$63="Muy Alta",'Mapa final'!$AJ$63="Menor"),CONCATENATE("R2C",'Mapa final'!$R$63),"")</f>
        <v/>
      </c>
      <c r="V18" s="40" t="str">
        <f>IF(AND('Mapa final'!$AH$64="Muy Alta",'Mapa final'!$AJ$64="Menor"),CONCATENATE("R2C",'Mapa final'!$R$64),"")</f>
        <v/>
      </c>
      <c r="W18" s="38" t="str">
        <f>IF(AND('Mapa final'!$AH$59="Muy Alta",'Mapa final'!$AJ$59="Moderado"),CONCATENATE("R2C",'Mapa final'!$R$59),"")</f>
        <v/>
      </c>
      <c r="X18" s="39" t="str">
        <f>IF(AND('Mapa final'!$AH$60="Muy Alta",'Mapa final'!$AJ$60="Moderado"),CONCATENATE("R2C",'Mapa final'!$R$60),"")</f>
        <v/>
      </c>
      <c r="Y18" s="39" t="str">
        <f>IF(AND('Mapa final'!$AH$61="Muy Alta",'Mapa final'!$AJ$61="Moderado"),CONCATENATE("R2C",'Mapa final'!$R$61),"")</f>
        <v/>
      </c>
      <c r="Z18" s="39" t="str">
        <f>IF(AND('Mapa final'!$AH$62="Muy Alta",'Mapa final'!$AJ$62="Moderado"),CONCATENATE("R2C",'Mapa final'!$R$62),"")</f>
        <v/>
      </c>
      <c r="AA18" s="39" t="str">
        <f>IF(AND('Mapa final'!$AH$63="Muy Alta",'Mapa final'!$AJ$63="Moderado"),CONCATENATE("R2C",'Mapa final'!$R$63),"")</f>
        <v/>
      </c>
      <c r="AB18" s="40" t="str">
        <f>IF(AND('Mapa final'!$AH$64="Muy Alta",'Mapa final'!$AJ$64="Moderado"),CONCATENATE("R2C",'Mapa final'!$R$64),"")</f>
        <v/>
      </c>
      <c r="AC18" s="38" t="str">
        <f>IF(AND('Mapa final'!$AH$59="Muy Alta",'Mapa final'!$AJ$59="Mayor"),CONCATENATE("R2C",'Mapa final'!$R$59),"")</f>
        <v/>
      </c>
      <c r="AD18" s="39" t="str">
        <f>IF(AND('Mapa final'!$AH$60="Muy Alta",'Mapa final'!$AJ$60="Mayor"),CONCATENATE("R2C",'Mapa final'!$R$60),"")</f>
        <v/>
      </c>
      <c r="AE18" s="39" t="str">
        <f>IF(AND('Mapa final'!$AH$61="Muy Alta",'Mapa final'!$AJ$61="Mayor"),CONCATENATE("R2C",'Mapa final'!$R$61),"")</f>
        <v/>
      </c>
      <c r="AF18" s="39" t="str">
        <f>IF(AND('Mapa final'!$AH$62="Muy Alta",'Mapa final'!$AJ$62="Mayor"),CONCATENATE("R2C",'Mapa final'!$R$62),"")</f>
        <v/>
      </c>
      <c r="AG18" s="39" t="str">
        <f>IF(AND('Mapa final'!$AH$63="Muy Alta",'Mapa final'!$AJ$63="Mayor"),CONCATENATE("R2C",'Mapa final'!$R$63),"")</f>
        <v/>
      </c>
      <c r="AH18" s="40" t="str">
        <f>IF(AND('Mapa final'!$AH$64="Muy Alta",'Mapa final'!$AJ$64="Mayor"),CONCATENATE("R2C",'Mapa final'!$R$64),"")</f>
        <v/>
      </c>
      <c r="AI18" s="41" t="str">
        <f>IF(AND('Mapa final'!$AH$59="Muy Alta",'Mapa final'!$AJ$59="Catastrófico"),CONCATENATE("R2C",'Mapa final'!$R$59),"")</f>
        <v/>
      </c>
      <c r="AJ18" s="42" t="str">
        <f>IF(AND('Mapa final'!$AH$60="Muy Alta",'Mapa final'!$AJ$60="Catastrófico"),CONCATENATE("R2C",'Mapa final'!$R$60),"")</f>
        <v/>
      </c>
      <c r="AK18" s="42" t="str">
        <f>IF(AND('Mapa final'!$AH$61="Muy Alta",'Mapa final'!$AJ$61="Catastrófico"),CONCATENATE("R2C",'Mapa final'!$R$61),"")</f>
        <v/>
      </c>
      <c r="AL18" s="42" t="str">
        <f>IF(AND('Mapa final'!$AH$62="Muy Alta",'Mapa final'!$AJ$62="Catastrófico"),CONCATENATE("R2C",'Mapa final'!$R$62),"")</f>
        <v/>
      </c>
      <c r="AM18" s="42" t="str">
        <f>IF(AND('Mapa final'!$AH$63="Muy Alta",'Mapa final'!$AJ$63="Catastrófico"),CONCATENATE("R2C",'Mapa final'!$R$63),"")</f>
        <v/>
      </c>
      <c r="AN18" s="43" t="str">
        <f>IF(AND('Mapa final'!$AH$64="Muy Alta",'Mapa final'!$AJ$64="Catastrófico"),CONCATENATE("R2C",'Mapa final'!$R$64),"")</f>
        <v/>
      </c>
      <c r="AO18" s="68"/>
      <c r="AP18" s="491"/>
      <c r="AQ18" s="492"/>
      <c r="AR18" s="492"/>
      <c r="AS18" s="492"/>
      <c r="AT18" s="492"/>
      <c r="AU18" s="493"/>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380"/>
      <c r="D19" s="380"/>
      <c r="E19" s="381"/>
      <c r="F19" s="472"/>
      <c r="G19" s="473"/>
      <c r="H19" s="473"/>
      <c r="I19" s="473"/>
      <c r="J19" s="473"/>
      <c r="K19" s="38" t="str">
        <f>IF(AND('Mapa final'!$AH$65="Muy Alta",'Mapa final'!$AJ$65="Leve"),CONCATENATE("R2C",'Mapa final'!$R$65),"")</f>
        <v/>
      </c>
      <c r="L19" s="39" t="str">
        <f>IF(AND('Mapa final'!$AH$66="Muy Alta",'Mapa final'!$AJ$66="Leve"),CONCATENATE("R2C",'Mapa final'!$R$66),"")</f>
        <v/>
      </c>
      <c r="M19" s="39" t="str">
        <f>IF(AND('Mapa final'!$AH$67="Muy Alta",'Mapa final'!$AJ$67="Leve"),CONCATENATE("R2C",'Mapa final'!$R$67),"")</f>
        <v/>
      </c>
      <c r="N19" s="39" t="str">
        <f>IF(AND('Mapa final'!$AH$68="Muy Alta",'Mapa final'!$AJ$68="Leve"),CONCATENATE("R2C",'Mapa final'!$R$68),"")</f>
        <v/>
      </c>
      <c r="O19" s="39" t="str">
        <f>IF(AND('Mapa final'!$AH$69="Muy Alta",'Mapa final'!$AJ$69="Leve"),CONCATENATE("R2C",'Mapa final'!$R$69),"")</f>
        <v/>
      </c>
      <c r="P19" s="40" t="str">
        <f>IF(AND('Mapa final'!$AH$70="Muy Alta",'Mapa final'!$AJ$70="Leve"),CONCATENATE("R2C",'Mapa final'!$R$70),"")</f>
        <v/>
      </c>
      <c r="Q19" s="39" t="str">
        <f>IF(AND('Mapa final'!$AH$65="Muy Alta",'Mapa final'!$AJ$65="Menor"),CONCATENATE("R2C",'Mapa final'!$R$65),"")</f>
        <v/>
      </c>
      <c r="R19" s="39" t="str">
        <f>IF(AND('Mapa final'!$AH$66="Muy Alta",'Mapa final'!$AJ$66="Menor"),CONCATENATE("R2C",'Mapa final'!$R$66),"")</f>
        <v/>
      </c>
      <c r="S19" s="39" t="str">
        <f>IF(AND('Mapa final'!$AH$67="Muy Alta",'Mapa final'!$AJ$67="Menor"),CONCATENATE("R2C",'Mapa final'!$R$67),"")</f>
        <v/>
      </c>
      <c r="T19" s="39" t="str">
        <f>IF(AND('Mapa final'!$AH$68="Muy Alta",'Mapa final'!$AJ$68="Menor"),CONCATENATE("R2C",'Mapa final'!$R$68),"")</f>
        <v/>
      </c>
      <c r="U19" s="39" t="str">
        <f>IF(AND('Mapa final'!$AH$69="Muy Alta",'Mapa final'!$AJ$69="Menor"),CONCATENATE("R2C",'Mapa final'!$R$69),"")</f>
        <v/>
      </c>
      <c r="V19" s="40" t="str">
        <f>IF(AND('Mapa final'!$AH$70="Muy Alta",'Mapa final'!$AJ$70="Menor"),CONCATENATE("R2C",'Mapa final'!$R$70),"")</f>
        <v/>
      </c>
      <c r="W19" s="38" t="str">
        <f>IF(AND('Mapa final'!$AH$65="Muy Alta",'Mapa final'!$AJ$65="Moderado"),CONCATENATE("R2C",'Mapa final'!$R$65),"")</f>
        <v/>
      </c>
      <c r="X19" s="39" t="str">
        <f>IF(AND('Mapa final'!$AH$66="Muy Alta",'Mapa final'!$AJ$66="Moderado"),CONCATENATE("R2C",'Mapa final'!$R$66),"")</f>
        <v/>
      </c>
      <c r="Y19" s="39" t="str">
        <f>IF(AND('Mapa final'!$AH$67="Muy Alta",'Mapa final'!$AJ$67="Moderado"),CONCATENATE("R2C",'Mapa final'!$R$67),"")</f>
        <v/>
      </c>
      <c r="Z19" s="39" t="str">
        <f>IF(AND('Mapa final'!$AH$68="Muy Alta",'Mapa final'!$AJ$68="Moderado"),CONCATENATE("R2C",'Mapa final'!$R$68),"")</f>
        <v/>
      </c>
      <c r="AA19" s="39" t="str">
        <f>IF(AND('Mapa final'!$AH$69="Muy Alta",'Mapa final'!$AJ$69="Moderado"),CONCATENATE("R2C",'Mapa final'!$R$69),"")</f>
        <v/>
      </c>
      <c r="AB19" s="40" t="str">
        <f>IF(AND('Mapa final'!$AH$70="Muy Alta",'Mapa final'!$AJ$70="Moderado"),CONCATENATE("R2C",'Mapa final'!$R$70),"")</f>
        <v/>
      </c>
      <c r="AC19" s="38" t="str">
        <f>IF(AND('Mapa final'!$AH$65="Muy Alta",'Mapa final'!$AJ$65="Mayor"),CONCATENATE("R2C",'Mapa final'!$R$65),"")</f>
        <v/>
      </c>
      <c r="AD19" s="39" t="str">
        <f>IF(AND('Mapa final'!$AH$66="Muy Alta",'Mapa final'!$AJ$66="Mayor"),CONCATENATE("R2C",'Mapa final'!$R$66),"")</f>
        <v/>
      </c>
      <c r="AE19" s="39" t="str">
        <f>IF(AND('Mapa final'!$AH$67="Muy Alta",'Mapa final'!$AJ$67="Mayor"),CONCATENATE("R2C",'Mapa final'!$R$67),"")</f>
        <v/>
      </c>
      <c r="AF19" s="39" t="str">
        <f>IF(AND('Mapa final'!$AH$68="Muy Alta",'Mapa final'!$AJ$68="Mayor"),CONCATENATE("R2C",'Mapa final'!$R$68),"")</f>
        <v/>
      </c>
      <c r="AG19" s="39" t="str">
        <f>IF(AND('Mapa final'!$AH$69="Muy Alta",'Mapa final'!$AJ$69="Mayor"),CONCATENATE("R2C",'Mapa final'!$R$69),"")</f>
        <v/>
      </c>
      <c r="AH19" s="40" t="str">
        <f>IF(AND('Mapa final'!$AH$70="Muy Alta",'Mapa final'!$AJ$70="Mayor"),CONCATENATE("R2C",'Mapa final'!$R$70),"")</f>
        <v/>
      </c>
      <c r="AI19" s="41" t="str">
        <f>IF(AND('Mapa final'!$AH$65="Muy Alta",'Mapa final'!$AJ$65="Catastrófico"),CONCATENATE("R2C",'Mapa final'!$R$65),"")</f>
        <v/>
      </c>
      <c r="AJ19" s="42" t="str">
        <f>IF(AND('Mapa final'!$AH$66="Muy Alta",'Mapa final'!$AJ$66="Catastrófico"),CONCATENATE("R2C",'Mapa final'!$R$66),"")</f>
        <v/>
      </c>
      <c r="AK19" s="42" t="str">
        <f>IF(AND('Mapa final'!$AH$67="Muy Alta",'Mapa final'!$AJ$67="Catastrófico"),CONCATENATE("R2C",'Mapa final'!$R$67),"")</f>
        <v/>
      </c>
      <c r="AL19" s="42" t="str">
        <f>IF(AND('Mapa final'!$AH$68="Muy Alta",'Mapa final'!$AJ$68="Catastrófico"),CONCATENATE("R2C",'Mapa final'!$R$68),"")</f>
        <v/>
      </c>
      <c r="AM19" s="42" t="str">
        <f>IF(AND('Mapa final'!$AH$69="Muy Alta",'Mapa final'!$AJ$69="Catastrófico"),CONCATENATE("R2C",'Mapa final'!$R$69),"")</f>
        <v/>
      </c>
      <c r="AN19" s="43" t="str">
        <f>IF(AND('Mapa final'!$AH$70="Muy Alta",'Mapa final'!$AJ$70="Catastrófico"),CONCATENATE("R2C",'Mapa final'!$R$70),"")</f>
        <v/>
      </c>
      <c r="AO19" s="68"/>
      <c r="AP19" s="491"/>
      <c r="AQ19" s="492"/>
      <c r="AR19" s="492"/>
      <c r="AS19" s="492"/>
      <c r="AT19" s="492"/>
      <c r="AU19" s="493"/>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380"/>
      <c r="D20" s="380"/>
      <c r="E20" s="381"/>
      <c r="F20" s="472"/>
      <c r="G20" s="473"/>
      <c r="H20" s="473"/>
      <c r="I20" s="473"/>
      <c r="J20" s="473"/>
      <c r="K20" s="38" t="str">
        <f>IF(AND('Mapa final'!$AH$71="Muy Alta",'Mapa final'!$AJ$71="Leve"),CONCATENATE("R2C",'Mapa final'!$R$71),"")</f>
        <v/>
      </c>
      <c r="L20" s="39" t="str">
        <f>IF(AND('Mapa final'!$AH$72="Muy Alta",'Mapa final'!$AJ$72="Leve"),CONCATENATE("R2C",'Mapa final'!$R$72),"")</f>
        <v/>
      </c>
      <c r="M20" s="39" t="str">
        <f>IF(AND('Mapa final'!$AH$73="Muy Alta",'Mapa final'!$AJ$73="Leve"),CONCATENATE("R2C",'Mapa final'!$R$73),"")</f>
        <v/>
      </c>
      <c r="N20" s="39" t="str">
        <f>IF(AND('Mapa final'!$AH$74="Muy Alta",'Mapa final'!$AJ$74="Leve"),CONCATENATE("R2C",'Mapa final'!$R$74),"")</f>
        <v/>
      </c>
      <c r="O20" s="39" t="str">
        <f>IF(AND('Mapa final'!$AH$75="Muy Alta",'Mapa final'!$AJ$75="Leve"),CONCATENATE("R2C",'Mapa final'!$R$75),"")</f>
        <v/>
      </c>
      <c r="P20" s="40" t="str">
        <f>IF(AND('Mapa final'!$AH$76="Muy Alta",'Mapa final'!$AJ$76="Leve"),CONCATENATE("R2C",'Mapa final'!$R$76),"")</f>
        <v/>
      </c>
      <c r="Q20" s="39" t="str">
        <f>IF(AND('Mapa final'!$AH$71="Muy Alta",'Mapa final'!$AJ$71="Menor"),CONCATENATE("R2C",'Mapa final'!$R$71),"")</f>
        <v/>
      </c>
      <c r="R20" s="39" t="str">
        <f>IF(AND('Mapa final'!$AH$72="Muy Alta",'Mapa final'!$AJ$72="Menor"),CONCATENATE("R2C",'Mapa final'!$R$72),"")</f>
        <v/>
      </c>
      <c r="S20" s="39" t="str">
        <f>IF(AND('Mapa final'!$AH$73="Muy Alta",'Mapa final'!$AJ$73="Menor"),CONCATENATE("R2C",'Mapa final'!$R$73),"")</f>
        <v/>
      </c>
      <c r="T20" s="39" t="str">
        <f>IF(AND('Mapa final'!$AH$74="Muy Alta",'Mapa final'!$AJ$74="Menor"),CONCATENATE("R2C",'Mapa final'!$R$74),"")</f>
        <v/>
      </c>
      <c r="U20" s="39" t="str">
        <f>IF(AND('Mapa final'!$AH$75="Muy Alta",'Mapa final'!$AJ$75="Menor"),CONCATENATE("R2C",'Mapa final'!$R$75),"")</f>
        <v/>
      </c>
      <c r="V20" s="40" t="str">
        <f>IF(AND('Mapa final'!$AH$76="Muy Alta",'Mapa final'!$AJ$76="Menor"),CONCATENATE("R2C",'Mapa final'!$R$76),"")</f>
        <v/>
      </c>
      <c r="W20" s="38" t="str">
        <f>IF(AND('Mapa final'!$AH$71="Muy Alta",'Mapa final'!$AJ$71="Moderado"),CONCATENATE("R2C",'Mapa final'!$R$71),"")</f>
        <v/>
      </c>
      <c r="X20" s="39" t="str">
        <f>IF(AND('Mapa final'!$AH$72="Muy Alta",'Mapa final'!$AJ$72="Moderado"),CONCATENATE("R2C",'Mapa final'!$R$72),"")</f>
        <v/>
      </c>
      <c r="Y20" s="39" t="str">
        <f>IF(AND('Mapa final'!$AH$73="Muy Alta",'Mapa final'!$AJ$73="Moderado"),CONCATENATE("R2C",'Mapa final'!$R$73),"")</f>
        <v/>
      </c>
      <c r="Z20" s="39" t="str">
        <f>IF(AND('Mapa final'!$AH$74="Muy Alta",'Mapa final'!$AJ$74="Moderado"),CONCATENATE("R2C",'Mapa final'!$R$74),"")</f>
        <v/>
      </c>
      <c r="AA20" s="39" t="str">
        <f>IF(AND('Mapa final'!$AH$75="Muy Alta",'Mapa final'!$AJ$75="Moderado"),CONCATENATE("R2C",'Mapa final'!$R$75),"")</f>
        <v/>
      </c>
      <c r="AB20" s="40" t="str">
        <f>IF(AND('Mapa final'!$AH$76="Muy Alta",'Mapa final'!$AJ$76="Moderado"),CONCATENATE("R2C",'Mapa final'!$R$76),"")</f>
        <v/>
      </c>
      <c r="AC20" s="38" t="str">
        <f>IF(AND('Mapa final'!$AH$71="Muy Alta",'Mapa final'!$AJ$71="Mayor"),CONCATENATE("R2C",'Mapa final'!$R$71),"")</f>
        <v/>
      </c>
      <c r="AD20" s="39" t="str">
        <f>IF(AND('Mapa final'!$AH$72="Muy Alta",'Mapa final'!$AJ$72="Mayor"),CONCATENATE("R2C",'Mapa final'!$R$72),"")</f>
        <v/>
      </c>
      <c r="AE20" s="39" t="str">
        <f>IF(AND('Mapa final'!$AH$73="Muy Alta",'Mapa final'!$AJ$73="Mayor"),CONCATENATE("R2C",'Mapa final'!$R$73),"")</f>
        <v/>
      </c>
      <c r="AF20" s="39" t="str">
        <f>IF(AND('Mapa final'!$AH$74="Muy Alta",'Mapa final'!$AJ$74="Mayor"),CONCATENATE("R2C",'Mapa final'!$R$74),"")</f>
        <v/>
      </c>
      <c r="AG20" s="39" t="str">
        <f>IF(AND('Mapa final'!$AH$75="Muy Alta",'Mapa final'!$AJ$75="Mayor"),CONCATENATE("R2C",'Mapa final'!$R$75),"")</f>
        <v/>
      </c>
      <c r="AH20" s="40" t="str">
        <f>IF(AND('Mapa final'!$AH$76="Muy Alta",'Mapa final'!$AJ$76="Mayor"),CONCATENATE("R2C",'Mapa final'!$R$76),"")</f>
        <v/>
      </c>
      <c r="AI20" s="41" t="str">
        <f>IF(AND('Mapa final'!$AH$71="Muy Alta",'Mapa final'!$AJ$71="Catastrófico"),CONCATENATE("R2C",'Mapa final'!$R$71),"")</f>
        <v/>
      </c>
      <c r="AJ20" s="42" t="str">
        <f>IF(AND('Mapa final'!$AH$72="Muy Alta",'Mapa final'!$AJ$72="Catastrófico"),CONCATENATE("R2C",'Mapa final'!$R$72),"")</f>
        <v/>
      </c>
      <c r="AK20" s="42" t="str">
        <f>IF(AND('Mapa final'!$AH$73="Muy Alta",'Mapa final'!$AJ$73="Catastrófico"),CONCATENATE("R2C",'Mapa final'!$R$73),"")</f>
        <v/>
      </c>
      <c r="AL20" s="42" t="str">
        <f>IF(AND('Mapa final'!$AH$74="Muy Alta",'Mapa final'!$AJ$74="Catastrófico"),CONCATENATE("R2C",'Mapa final'!$R$74),"")</f>
        <v/>
      </c>
      <c r="AM20" s="42" t="str">
        <f>IF(AND('Mapa final'!$AH$75="Muy Alta",'Mapa final'!$AJ$75="Catastrófico"),CONCATENATE("R2C",'Mapa final'!$R$75),"")</f>
        <v/>
      </c>
      <c r="AN20" s="43" t="str">
        <f>IF(AND('Mapa final'!$AH$76="Muy Alta",'Mapa final'!$AJ$76="Catastrófico"),CONCATENATE("R2C",'Mapa final'!$R$76),"")</f>
        <v/>
      </c>
      <c r="AO20" s="68"/>
      <c r="AP20" s="491"/>
      <c r="AQ20" s="492"/>
      <c r="AR20" s="492"/>
      <c r="AS20" s="492"/>
      <c r="AT20" s="492"/>
      <c r="AU20" s="493"/>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380"/>
      <c r="D21" s="380"/>
      <c r="E21" s="381"/>
      <c r="F21" s="475"/>
      <c r="G21" s="476"/>
      <c r="H21" s="476"/>
      <c r="I21" s="476"/>
      <c r="J21" s="476"/>
      <c r="K21" s="44" t="str">
        <f>IF(AND('Mapa final'!$AH$77="Muy Alta",'Mapa final'!$AJ$77="Leve"),CONCATENATE("R2C",'Mapa final'!$R$77),"")</f>
        <v/>
      </c>
      <c r="L21" s="45" t="str">
        <f>IF(AND('Mapa final'!$AH$78="Muy Alta",'Mapa final'!$AJ$78="Leve"),CONCATENATE("R2C",'Mapa final'!$R$78),"")</f>
        <v/>
      </c>
      <c r="M21" s="45" t="str">
        <f>IF(AND('Mapa final'!$AH$79="Muy Alta",'Mapa final'!$AJ$79="Leve"),CONCATENATE("R2C",'Mapa final'!$R$79),"")</f>
        <v/>
      </c>
      <c r="N21" s="45" t="str">
        <f>IF(AND('Mapa final'!$AH$80="Muy Alta",'Mapa final'!$AJ$80="Leve"),CONCATENATE("R2C",'Mapa final'!$R$80),"")</f>
        <v/>
      </c>
      <c r="O21" s="45" t="str">
        <f>IF(AND('Mapa final'!$AH$82="Muy Alta",'Mapa final'!$AJ$82="Leve"),CONCATENATE("R2C",'Mapa final'!$R$82),"")</f>
        <v/>
      </c>
      <c r="P21" s="46" t="str">
        <f>IF(AND('Mapa final'!$AH$83="Muy Alta",'Mapa final'!$AJ$83="Leve"),CONCATENATE("R2C",'Mapa final'!$R$83),"")</f>
        <v/>
      </c>
      <c r="Q21" s="39" t="str">
        <f>IF(AND('Mapa final'!$AH$77="Muy Alta",'Mapa final'!$AJ$77="Menor"),CONCATENATE("R2C",'Mapa final'!$R$77),"")</f>
        <v/>
      </c>
      <c r="R21" s="39" t="str">
        <f>IF(AND('Mapa final'!$AH$78="Muy Alta",'Mapa final'!$AJ$78="Menor"),CONCATENATE("R2C",'Mapa final'!$R$78),"")</f>
        <v/>
      </c>
      <c r="S21" s="39" t="str">
        <f>IF(AND('Mapa final'!$AH$79="Muy Alta",'Mapa final'!$AJ$79="Menor"),CONCATENATE("R2C",'Mapa final'!$R$79),"")</f>
        <v/>
      </c>
      <c r="T21" s="39" t="str">
        <f>IF(AND('Mapa final'!$AH$80="Muy Alta",'Mapa final'!$AJ$80="Menor"),CONCATENATE("R2C",'Mapa final'!$R$80),"")</f>
        <v/>
      </c>
      <c r="U21" s="39" t="str">
        <f>IF(AND('Mapa final'!$AH$82="Muy Alta",'Mapa final'!$AJ$82="Menor"),CONCATENATE("R2C",'Mapa final'!$R$82),"")</f>
        <v/>
      </c>
      <c r="V21" s="40" t="str">
        <f>IF(AND('Mapa final'!$AH$83="Muy Alta",'Mapa final'!$AJ$83="Menor"),CONCATENATE("R2C",'Mapa final'!$R$83),"")</f>
        <v/>
      </c>
      <c r="W21" s="44" t="str">
        <f>IF(AND('Mapa final'!$AH$77="Muy Alta",'Mapa final'!$AJ$77="Moderado"),CONCATENATE("R2C",'Mapa final'!$R$77),"")</f>
        <v/>
      </c>
      <c r="X21" s="45" t="str">
        <f>IF(AND('Mapa final'!$AH$78="Muy Alta",'Mapa final'!$AJ$78="Moderado"),CONCATENATE("R2C",'Mapa final'!$R$78),"")</f>
        <v/>
      </c>
      <c r="Y21" s="45" t="str">
        <f>IF(AND('Mapa final'!$AH$79="Muy Alta",'Mapa final'!$AJ$79="Moderado"),CONCATENATE("R2C",'Mapa final'!$R$79),"")</f>
        <v/>
      </c>
      <c r="Z21" s="45" t="str">
        <f>IF(AND('Mapa final'!$AH$80="Muy Alta",'Mapa final'!$AJ$80="Moderado"),CONCATENATE("R2C",'Mapa final'!$R$80),"")</f>
        <v/>
      </c>
      <c r="AA21" s="45" t="str">
        <f>IF(AND('Mapa final'!$AH$82="Muy Alta",'Mapa final'!$AJ$82="Moderado"),CONCATENATE("R2C",'Mapa final'!$R$82),"")</f>
        <v/>
      </c>
      <c r="AB21" s="46" t="str">
        <f>IF(AND('Mapa final'!$AH$83="Muy Alta",'Mapa final'!$AJ$83="Moderado"),CONCATENATE("R2C",'Mapa final'!$R$83),"")</f>
        <v/>
      </c>
      <c r="AC21" s="38" t="str">
        <f>IF(AND('Mapa final'!$AH$77="Muy Alta",'Mapa final'!$AJ$77="Mayor"),CONCATENATE("R2C",'Mapa final'!$R$77),"")</f>
        <v/>
      </c>
      <c r="AD21" s="39" t="str">
        <f>IF(AND('Mapa final'!$AH$78="Muy Alta",'Mapa final'!$AJ$78="Mayor"),CONCATENATE("R2C",'Mapa final'!$R$78),"")</f>
        <v/>
      </c>
      <c r="AE21" s="39" t="str">
        <f>IF(AND('Mapa final'!$AH$79="Muy Alta",'Mapa final'!$AJ$79="Mayor"),CONCATENATE("R2C",'Mapa final'!$R$79),"")</f>
        <v/>
      </c>
      <c r="AF21" s="39" t="str">
        <f>IF(AND('Mapa final'!$AH$80="Muy Alta",'Mapa final'!$AJ$80="Mayor"),CONCATENATE("R2C",'Mapa final'!$R$80),"")</f>
        <v/>
      </c>
      <c r="AG21" s="39" t="str">
        <f>IF(AND('Mapa final'!$AH$82="Muy Alta",'Mapa final'!$AJ$82="Mayor"),CONCATENATE("R2C",'Mapa final'!$R$82),"")</f>
        <v/>
      </c>
      <c r="AH21" s="40" t="str">
        <f>IF(AND('Mapa final'!$AH$83="Muy Alta",'Mapa final'!$AJ$83="Mayor"),CONCATENATE("R2C",'Mapa final'!$R$83),"")</f>
        <v/>
      </c>
      <c r="AI21" s="47" t="str">
        <f>IF(AND('Mapa final'!$AH$77="Muy Alta",'Mapa final'!$AJ$77="Catastrófico"),CONCATENATE("R2C",'Mapa final'!$R$77),"")</f>
        <v/>
      </c>
      <c r="AJ21" s="48" t="str">
        <f>IF(AND('Mapa final'!$AH$78="Muy Alta",'Mapa final'!$AJ$78="Catastrófico"),CONCATENATE("R2C",'Mapa final'!$R$78),"")</f>
        <v/>
      </c>
      <c r="AK21" s="48" t="str">
        <f>IF(AND('Mapa final'!$AH$79="Muy Alta",'Mapa final'!$AJ$79="Catastrófico"),CONCATENATE("R2C",'Mapa final'!$R$79),"")</f>
        <v/>
      </c>
      <c r="AL21" s="48" t="str">
        <f>IF(AND('Mapa final'!$AH$80="Muy Alta",'Mapa final'!$AJ$80="Catastrófico"),CONCATENATE("R2C",'Mapa final'!$R$80),"")</f>
        <v/>
      </c>
      <c r="AM21" s="48" t="str">
        <f>IF(AND('Mapa final'!$AH$82="Muy Alta",'Mapa final'!$AJ$82="Catastrófico"),CONCATENATE("R2C",'Mapa final'!$R$82),"")</f>
        <v/>
      </c>
      <c r="AN21" s="49" t="str">
        <f>IF(AND('Mapa final'!$AH$83="Muy Alta",'Mapa final'!$AJ$83="Catastrófico"),CONCATENATE("R2C",'Mapa final'!$R$83),"")</f>
        <v/>
      </c>
      <c r="AO21" s="68"/>
      <c r="AP21" s="494"/>
      <c r="AQ21" s="495"/>
      <c r="AR21" s="495"/>
      <c r="AS21" s="495"/>
      <c r="AT21" s="495"/>
      <c r="AU21" s="496"/>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380"/>
      <c r="D22" s="380"/>
      <c r="E22" s="381"/>
      <c r="F22" s="469" t="s">
        <v>295</v>
      </c>
      <c r="G22" s="470"/>
      <c r="H22" s="470"/>
      <c r="I22" s="470"/>
      <c r="J22" s="470"/>
      <c r="K22" s="53"/>
      <c r="L22" s="54" t="str">
        <f>IF(AND('Mapa final'!$AH$16="Alta",'Mapa final'!$AJ$16="Leve"),CONCATENATE("R2C",'Mapa final'!$R$15),"")</f>
        <v/>
      </c>
      <c r="M22" s="54" t="str">
        <f>IF(AND('Mapa final'!$AH$17="Alta",'Mapa final'!$AJ$17="Leve"),CONCATENATE("R2C",'Mapa final'!$R$17),"")</f>
        <v/>
      </c>
      <c r="N22" s="54" t="e">
        <f>IF(AND('Mapa final'!#REF!="Alta",'Mapa final'!#REF!="Leve"),CONCATENATE("R2C",'Mapa final'!#REF!),"")</f>
        <v>#REF!</v>
      </c>
      <c r="O22" s="54" t="str">
        <f>IF(AND('Mapa final'!$AH$19="Alta",'Mapa final'!$AJ$19="Leve"),CONCATENATE("R2C",'Mapa final'!$R$19),"")</f>
        <v/>
      </c>
      <c r="P22" s="55" t="str">
        <f>IF(AND('Mapa final'!$AH$20="Alta",'Mapa final'!$AJ$20="Leve"),CONCATENATE("R2C",'Mapa final'!$R$20),"")</f>
        <v/>
      </c>
      <c r="Q22" s="50"/>
      <c r="R22" s="51" t="str">
        <f>IF(AND('Mapa final'!$AH$16="Alta",'Mapa final'!$AJ$16="Menore"),CONCATENATE("R2C",'Mapa final'!$R$15),"")</f>
        <v/>
      </c>
      <c r="S22" s="51" t="str">
        <f>IF(AND('Mapa final'!$AH$17="Alta",'Mapa final'!$AJ$17="Menor"),CONCATENATE("R2C",'Mapa final'!$R$17),"")</f>
        <v/>
      </c>
      <c r="T22" s="51" t="e">
        <f>IF(AND('Mapa final'!#REF!="Alta",'Mapa final'!#REF!="Menor"),CONCATENATE("R2C",'Mapa final'!#REF!),"")</f>
        <v>#REF!</v>
      </c>
      <c r="U22" s="51" t="str">
        <f>IF(AND('Mapa final'!$AH$19="Alta",'Mapa final'!$AJ$19="Menor"),CONCATENATE("R2C",'Mapa final'!$R$19),"")</f>
        <v/>
      </c>
      <c r="V22" s="52" t="str">
        <f>IF(AND('Mapa final'!$AH$20="Alta",'Mapa final'!$AJ$20="Menor"),CONCATENATE("R2C",'Mapa final'!$R$20),"")</f>
        <v/>
      </c>
      <c r="W22" s="32"/>
      <c r="X22" s="33" t="str">
        <f>IF(AND('Mapa final'!$AH$16="Alta",'Mapa final'!$AJ$16="Moderado"),CONCATENATE("R2C",'Mapa final'!$R$15),"")</f>
        <v/>
      </c>
      <c r="Y22" s="33"/>
      <c r="Z22" s="33" t="e">
        <f>IF(AND('Mapa final'!#REF!="Alta",'Mapa final'!#REF!="Moderado"),CONCATENATE("R2C",'Mapa final'!#REF!),"")</f>
        <v>#REF!</v>
      </c>
      <c r="AA22" s="33" t="str">
        <f>IF(AND('Mapa final'!$AH$19="Alta",'Mapa final'!$AJ$19="Moderado"),CONCATENATE("R2C",'Mapa final'!$R$19),"")</f>
        <v/>
      </c>
      <c r="AB22" s="34" t="str">
        <f>IF(AND('Mapa final'!$AH$20="Alta",'Mapa final'!$AJ$20="Moderado"),CONCATENATE("R2C",'Mapa final'!$R$20),"")</f>
        <v/>
      </c>
      <c r="AC22" s="32"/>
      <c r="AD22" s="33" t="str">
        <f>IF(AND('Mapa final'!$AH$16="Alta",'Mapa final'!$AJ$16="Mayor"),CONCATENATE("R2C",'Mapa final'!$R$15),"")</f>
        <v/>
      </c>
      <c r="AE22" s="33" t="str">
        <f>IF(AND('Mapa final'!$AH$17="Alta",'Mapa final'!$AJ$17="Mayor"),CONCATENATE("R2C",'Mapa final'!$R$17),"")</f>
        <v/>
      </c>
      <c r="AF22" s="33" t="e">
        <f>IF(AND('Mapa final'!#REF!="Alta",'Mapa final'!#REF!="Mayor"),CONCATENATE("R2C",'Mapa final'!#REF!),"")</f>
        <v>#REF!</v>
      </c>
      <c r="AG22" s="33" t="str">
        <f>IF(AND('Mapa final'!$AH$19="Alta",'Mapa final'!$AJ$19="Mayor"),CONCATENATE("R2C",'Mapa final'!$R$19),"")</f>
        <v/>
      </c>
      <c r="AH22" s="34" t="str">
        <f>IF(AND('Mapa final'!$AH$20="Alta",'Mapa final'!$AJ$20="Mayor"),CONCATENATE("R2C",'Mapa final'!$R$20),"")</f>
        <v/>
      </c>
      <c r="AI22" s="35"/>
      <c r="AJ22" s="36" t="str">
        <f>IF(AND('Mapa final'!$AH$16="Alta",'Mapa final'!$AJ$16="Catastrófico"),CONCATENATE("R2C",'Mapa final'!$R$15),"")</f>
        <v/>
      </c>
      <c r="AK22" s="36" t="str">
        <f>IF(AND('Mapa final'!$AH$17="Alta",'Mapa final'!$AJ$17="Catastrófico"),CONCATENATE("R2C",'Mapa final'!$R$17),"")</f>
        <v/>
      </c>
      <c r="AL22" s="36" t="e">
        <f>IF(AND('Mapa final'!#REF!="Alta",'Mapa final'!#REF!="Catastrófico"),CONCATENATE("R2C",'Mapa final'!#REF!),"")</f>
        <v>#REF!</v>
      </c>
      <c r="AM22" s="36" t="str">
        <f>IF(AND('Mapa final'!$AH$19="Alta",'Mapa final'!$AJ$19="Catastrófico"),CONCATENATE("R2C",'Mapa final'!$R$19),"")</f>
        <v/>
      </c>
      <c r="AN22" s="37" t="str">
        <f>IF(AND('Mapa final'!$AH$20="Alta",'Mapa final'!$AJ$20="Catastrófico"),CONCATENATE("R2C",'Mapa final'!$R$20),"")</f>
        <v/>
      </c>
      <c r="AO22" s="68"/>
      <c r="AP22" s="478" t="s">
        <v>296</v>
      </c>
      <c r="AQ22" s="479"/>
      <c r="AR22" s="479"/>
      <c r="AS22" s="479"/>
      <c r="AT22" s="479"/>
      <c r="AU22" s="480"/>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380"/>
      <c r="D23" s="380"/>
      <c r="E23" s="381"/>
      <c r="F23" s="487"/>
      <c r="G23" s="473"/>
      <c r="H23" s="473"/>
      <c r="I23" s="473"/>
      <c r="J23" s="473"/>
      <c r="K23" s="53" t="str">
        <f>IF(AND('Mapa final'!$AH$21="Alta",'Mapa final'!$AJ$21="Leve"),CONCATENATE("R2C",'Mapa final'!$R$21),"")</f>
        <v/>
      </c>
      <c r="L23" s="54" t="str">
        <f>IF(AND('Mapa final'!$AH$22="Alta",'Mapa final'!$AJ$22="Leve"),CONCATENATE("R2C",'Mapa final'!$R$22),"")</f>
        <v/>
      </c>
      <c r="M23" s="54" t="str">
        <f>IF(AND('Mapa final'!$AH$31="Alta",'Mapa final'!$AJ$31="Leve"),CONCATENATE("R2C",'Mapa final'!$R$31),"")</f>
        <v/>
      </c>
      <c r="N23" s="54" t="str">
        <f>IF(AND('Mapa final'!$AH$32="Alta",'Mapa final'!$AJ$32="Leve"),CONCATENATE("R2C",'Mapa final'!$R$32),"")</f>
        <v/>
      </c>
      <c r="O23" s="54" t="str">
        <f>IF(AND('Mapa final'!$AH$33="Alta",'Mapa final'!$AJ$33="Leve"),CONCATENATE("R2C",'Mapa final'!$R$33),"")</f>
        <v/>
      </c>
      <c r="P23" s="55" t="str">
        <f>IF(AND('Mapa final'!$AH$34="Alta",'Mapa final'!$AJ$34="Leve"),CONCATENATE("R2C",'Mapa final'!$R$34),"")</f>
        <v/>
      </c>
      <c r="Q23" s="53" t="str">
        <f>IF(AND('Mapa final'!$AH$21="Alta",'Mapa final'!$AJ$21="Menor"),CONCATENATE("R2C",'Mapa final'!$R$21),"")</f>
        <v/>
      </c>
      <c r="R23" s="54" t="str">
        <f>IF(AND('Mapa final'!$AH$22="Alta",'Mapa final'!$AJ$22="Menor"),CONCATENATE("R2C",'Mapa final'!$R$22),"")</f>
        <v/>
      </c>
      <c r="S23" s="54" t="str">
        <f>IF(AND('Mapa final'!$AH$31="Alta",'Mapa final'!$AJ$31="Menor"),CONCATENATE("R2C",'Mapa final'!$R$31),"")</f>
        <v/>
      </c>
      <c r="T23" s="54" t="str">
        <f>IF(AND('Mapa final'!$AH$32="Alta",'Mapa final'!$AJ$32="Menor"),CONCATENATE("R2C",'Mapa final'!$R$32),"")</f>
        <v/>
      </c>
      <c r="U23" s="54" t="str">
        <f>IF(AND('Mapa final'!$AH$33="Alta",'Mapa final'!$AJ$33="Menor"),CONCATENATE("R2C",'Mapa final'!$R$33),"")</f>
        <v/>
      </c>
      <c r="V23" s="55" t="str">
        <f>IF(AND('Mapa final'!$AH$34="Alta",'Mapa final'!$AJ$34="Menor"),CONCATENATE("R2C",'Mapa final'!$R$34),"")</f>
        <v/>
      </c>
      <c r="W23" s="38" t="str">
        <f>IF(AND('Mapa final'!$AH$21="Alta",'Mapa final'!$AJ$21="Moderado"),CONCATENATE("R2C",'Mapa final'!$R$21),"")</f>
        <v/>
      </c>
      <c r="X23" s="39" t="str">
        <f>IF(AND('Mapa final'!$AH$22="Alta",'Mapa final'!$AJ$22="Moderado"),CONCATENATE("R2C",'Mapa final'!$R$22),"")</f>
        <v/>
      </c>
      <c r="Y23" s="39" t="str">
        <f>IF(AND('Mapa final'!$AH$31="Alta",'Mapa final'!$AJ$31="Moderado"),CONCATENATE("R2C",'Mapa final'!$R$31),"")</f>
        <v/>
      </c>
      <c r="Z23" s="39" t="str">
        <f>IF(AND('Mapa final'!$AH$32="Alta",'Mapa final'!$AJ$32="Moderado"),CONCATENATE("R2C",'Mapa final'!$R$32),"")</f>
        <v/>
      </c>
      <c r="AA23" s="39" t="str">
        <f>IF(AND('Mapa final'!$AH$33="Alta",'Mapa final'!$AJ$33="Moderado"),CONCATENATE("R2C",'Mapa final'!$R$33),"")</f>
        <v/>
      </c>
      <c r="AB23" s="40" t="str">
        <f>IF(AND('Mapa final'!$AH$34="Alta",'Mapa final'!$AJ$34="Moderado"),CONCATENATE("R2C",'Mapa final'!$R$34),"")</f>
        <v/>
      </c>
      <c r="AC23" s="38" t="str">
        <f>IF(AND('Mapa final'!$AH$21="Alta",'Mapa final'!$AJ$21="Mayor"),CONCATENATE("R2C",'Mapa final'!$R$21),"")</f>
        <v/>
      </c>
      <c r="AD23" s="39" t="str">
        <f>IF(AND('Mapa final'!$AH$22="Alta",'Mapa final'!$AJ$22="Mayor"),CONCATENATE("R2C",'Mapa final'!$R$22),"")</f>
        <v/>
      </c>
      <c r="AE23" s="39" t="str">
        <f>IF(AND('Mapa final'!$AH$31="Alta",'Mapa final'!$AJ$31="Mayor"),CONCATENATE("R2C",'Mapa final'!$R$31),"")</f>
        <v/>
      </c>
      <c r="AF23" s="39" t="str">
        <f>IF(AND('Mapa final'!$AH$32="Alta",'Mapa final'!$AJ$32="Mayor"),CONCATENATE("R2C",'Mapa final'!$R$32),"")</f>
        <v/>
      </c>
      <c r="AG23" s="39" t="str">
        <f>IF(AND('Mapa final'!$AH$33="Alta",'Mapa final'!$AJ$33="Mayor"),CONCATENATE("R2C",'Mapa final'!$R$33),"")</f>
        <v/>
      </c>
      <c r="AH23" s="40" t="str">
        <f>IF(AND('Mapa final'!$AH$34="Alta",'Mapa final'!$AJ$34="Mayor"),CONCATENATE("R2C",'Mapa final'!$R$34),"")</f>
        <v/>
      </c>
      <c r="AI23" s="41" t="str">
        <f>IF(AND('Mapa final'!$AH$21="Alta",'Mapa final'!$AJ$21="Catastrófico"),CONCATENATE("R2C",'Mapa final'!$R$21),"")</f>
        <v/>
      </c>
      <c r="AJ23" s="42" t="str">
        <f>IF(AND('Mapa final'!$AH$22="Alta",'Mapa final'!$AJ$22="Catastrófico"),CONCATENATE("R2C",'Mapa final'!$R$22),"")</f>
        <v/>
      </c>
      <c r="AK23" s="42" t="str">
        <f>IF(AND('Mapa final'!$AH$31="Alta",'Mapa final'!$AJ$31="Catastrófico"),CONCATENATE("R2C",'Mapa final'!$R$31),"")</f>
        <v/>
      </c>
      <c r="AL23" s="42" t="str">
        <f>IF(AND('Mapa final'!$AH$32="Alta",'Mapa final'!$AJ$32="Catastrófico"),CONCATENATE("R2C",'Mapa final'!$R$32),"")</f>
        <v/>
      </c>
      <c r="AM23" s="42" t="str">
        <f>IF(AND('Mapa final'!$AH$33="Alta",'Mapa final'!$AJ$33="Catastrófico"),CONCATENATE("R2C",'Mapa final'!$R$33),"")</f>
        <v/>
      </c>
      <c r="AN23" s="43" t="str">
        <f>IF(AND('Mapa final'!$AH$34="Alta",'Mapa final'!$AJ$34="Catastrófico"),CONCATENATE("R2C",'Mapa final'!$R$34),"")</f>
        <v/>
      </c>
      <c r="AO23" s="68"/>
      <c r="AP23" s="481"/>
      <c r="AQ23" s="482"/>
      <c r="AR23" s="482"/>
      <c r="AS23" s="482"/>
      <c r="AT23" s="482"/>
      <c r="AU23" s="483"/>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380"/>
      <c r="D24" s="380"/>
      <c r="E24" s="381"/>
      <c r="F24" s="472"/>
      <c r="G24" s="473"/>
      <c r="H24" s="473"/>
      <c r="I24" s="473"/>
      <c r="J24" s="473"/>
      <c r="K24" s="53" t="str">
        <f>IF(AND('Mapa final'!$AH$35="Alta",'Mapa final'!$AJ$35="Leve"),CONCATENATE("R2C",'Mapa final'!$R$35),"")</f>
        <v/>
      </c>
      <c r="L24" s="54" t="str">
        <f>IF(AND('Mapa final'!$AH$36="Alta",'Mapa final'!$AJ$36="Leve"),CONCATENATE("R2C",'Mapa final'!$R$36),"")</f>
        <v/>
      </c>
      <c r="M24" s="54" t="str">
        <f>IF(AND('Mapa final'!$AH$37="Alta",'Mapa final'!$AJ$37="Leve"),CONCATENATE("R2C",'Mapa final'!$R$37),"")</f>
        <v/>
      </c>
      <c r="N24" s="54" t="str">
        <f>IF(AND('Mapa final'!$AH$38="Alta",'Mapa final'!$AJ$38="Leve"),CONCATENATE("R2C",'Mapa final'!$R$38),"")</f>
        <v/>
      </c>
      <c r="O24" s="54" t="str">
        <f>IF(AND('Mapa final'!$AH$39="Alta",'Mapa final'!$AJ$39="Leve"),CONCATENATE("R2C",'Mapa final'!$R$39),"")</f>
        <v/>
      </c>
      <c r="P24" s="55" t="str">
        <f>IF(AND('Mapa final'!$AH$40="Alta",'Mapa final'!$AJ$40="Leve"),CONCATENATE("R2C",'Mapa final'!$R$40),"")</f>
        <v/>
      </c>
      <c r="Q24" s="53" t="str">
        <f>IF(AND('Mapa final'!$AH$35="Alta",'Mapa final'!$AJ$35="Menor"),CONCATENATE("R2C",'Mapa final'!$R$35),"")</f>
        <v/>
      </c>
      <c r="R24" s="54" t="str">
        <f>IF(AND('Mapa final'!$AH$36="Alta",'Mapa final'!$AJ$36="Menor"),CONCATENATE("R2C",'Mapa final'!$R$36),"")</f>
        <v/>
      </c>
      <c r="S24" s="54" t="str">
        <f>IF(AND('Mapa final'!$AH$37="Alta",'Mapa final'!$AJ$37="Menor"),CONCATENATE("R2C",'Mapa final'!$R$37),"")</f>
        <v/>
      </c>
      <c r="T24" s="54" t="str">
        <f>IF(AND('Mapa final'!$AH$38="Alta",'Mapa final'!$AJ$38="Menor"),CONCATENATE("R2C",'Mapa final'!$R$38),"")</f>
        <v/>
      </c>
      <c r="U24" s="54" t="str">
        <f>IF(AND('Mapa final'!$AH$39="Alta",'Mapa final'!$AJ$39="Menor"),CONCATENATE("R2C",'Mapa final'!$R$39),"")</f>
        <v/>
      </c>
      <c r="V24" s="55" t="str">
        <f>IF(AND('Mapa final'!$AH$40="Alta",'Mapa final'!$AJ$40="Menor"),CONCATENATE("R2C",'Mapa final'!$R$40),"")</f>
        <v/>
      </c>
      <c r="W24" s="38" t="str">
        <f>IF(AND('Mapa final'!$AH$35="Alta",'Mapa final'!$AJ$35="Moderado"),CONCATENATE("R2C",'Mapa final'!$R$35),"")</f>
        <v/>
      </c>
      <c r="X24" s="39" t="str">
        <f>IF(AND('Mapa final'!$AH$36="Alta",'Mapa final'!$AJ$36="Moderado"),CONCATENATE("R2C",'Mapa final'!$R$36),"")</f>
        <v/>
      </c>
      <c r="Y24" s="39" t="str">
        <f>IF(AND('Mapa final'!$AH$37="Alta",'Mapa final'!$AJ$37="Moderado"),CONCATENATE("R2C",'Mapa final'!$R$37),"")</f>
        <v/>
      </c>
      <c r="Z24" s="39" t="str">
        <f>IF(AND('Mapa final'!$AH$38="Alta",'Mapa final'!$AJ$38="Moderado"),CONCATENATE("R2C",'Mapa final'!$R$38),"")</f>
        <v/>
      </c>
      <c r="AA24" s="39" t="str">
        <f>IF(AND('Mapa final'!$AH$39="Alta",'Mapa final'!$AJ$39="Moderado"),CONCATENATE("R2C",'Mapa final'!$R$39),"")</f>
        <v/>
      </c>
      <c r="AB24" s="40" t="str">
        <f>IF(AND('Mapa final'!$AH$40="Alta",'Mapa final'!$AJ$40="Moderado"),CONCATENATE("R2C",'Mapa final'!$R$40),"")</f>
        <v/>
      </c>
      <c r="AC24" s="38" t="str">
        <f>IF(AND('Mapa final'!$AH$35="Alta",'Mapa final'!$AJ$35="Mayor"),CONCATENATE("R2C",'Mapa final'!$R$35),"")</f>
        <v/>
      </c>
      <c r="AD24" s="39" t="str">
        <f>IF(AND('Mapa final'!$AH$36="Alta",'Mapa final'!$AJ$36="Mayor"),CONCATENATE("R2C",'Mapa final'!$R$36),"")</f>
        <v/>
      </c>
      <c r="AE24" s="39" t="str">
        <f>IF(AND('Mapa final'!$AH$37="Alta",'Mapa final'!$AJ$37="Mayor"),CONCATENATE("R2C",'Mapa final'!$R$37),"")</f>
        <v/>
      </c>
      <c r="AF24" s="39" t="str">
        <f>IF(AND('Mapa final'!$AH$38="Alta",'Mapa final'!$AJ$38="Mayor"),CONCATENATE("R2C",'Mapa final'!$R$38),"")</f>
        <v/>
      </c>
      <c r="AG24" s="39" t="str">
        <f>IF(AND('Mapa final'!$AH$39="Alta",'Mapa final'!$AJ$39="Mayor"),CONCATENATE("R2C",'Mapa final'!$R$39),"")</f>
        <v/>
      </c>
      <c r="AH24" s="40" t="str">
        <f>IF(AND('Mapa final'!$AH$40="Alta",'Mapa final'!$AJ$40="Mayor"),CONCATENATE("R2C",'Mapa final'!$R$40),"")</f>
        <v/>
      </c>
      <c r="AI24" s="41" t="str">
        <f>IF(AND('Mapa final'!$AH$35="Alta",'Mapa final'!$AJ$35="Catastrófico"),CONCATENATE("R2C",'Mapa final'!$R$35),"")</f>
        <v/>
      </c>
      <c r="AJ24" s="42" t="str">
        <f>IF(AND('Mapa final'!$AH$36="Alta",'Mapa final'!$AJ$36="Catastrófico"),CONCATENATE("R2C",'Mapa final'!$R$36),"")</f>
        <v/>
      </c>
      <c r="AK24" s="42" t="str">
        <f>IF(AND('Mapa final'!$AH$37="Alta",'Mapa final'!$AJ$37="Catastrófico"),CONCATENATE("R2C",'Mapa final'!$R$37),"")</f>
        <v/>
      </c>
      <c r="AL24" s="42" t="str">
        <f>IF(AND('Mapa final'!$AH$38="Alta",'Mapa final'!$AJ$38="Catastrófico"),CONCATENATE("R2C",'Mapa final'!$R$38),"")</f>
        <v/>
      </c>
      <c r="AM24" s="42" t="str">
        <f>IF(AND('Mapa final'!$AH$39="Alta",'Mapa final'!$AJ$39="Catastrófico"),CONCATENATE("R2C",'Mapa final'!$R$39),"")</f>
        <v/>
      </c>
      <c r="AN24" s="43" t="str">
        <f>IF(AND('Mapa final'!$AH$40="Alta",'Mapa final'!$AJ$40="Catastrófico"),CONCATENATE("R2C",'Mapa final'!$R$40),"")</f>
        <v/>
      </c>
      <c r="AO24" s="68"/>
      <c r="AP24" s="481"/>
      <c r="AQ24" s="482"/>
      <c r="AR24" s="482"/>
      <c r="AS24" s="482"/>
      <c r="AT24" s="482"/>
      <c r="AU24" s="483"/>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380"/>
      <c r="D25" s="380"/>
      <c r="E25" s="381"/>
      <c r="F25" s="472"/>
      <c r="G25" s="473"/>
      <c r="H25" s="473"/>
      <c r="I25" s="473"/>
      <c r="J25" s="473"/>
      <c r="K25" s="53" t="str">
        <f>IF(AND('Mapa final'!$AH$41="Alta",'Mapa final'!$AJ$41="Leve"),CONCATENATE("R2C",'Mapa final'!$R$41),"")</f>
        <v/>
      </c>
      <c r="L25" s="54" t="str">
        <f>IF(AND('Mapa final'!$AH$42="Alta",'Mapa final'!$AJ$42="Leve"),CONCATENATE("R2C",'Mapa final'!$R$42),"")</f>
        <v/>
      </c>
      <c r="M25" s="54" t="str">
        <f>IF(AND('Mapa final'!$AH$43="Alta",'Mapa final'!$AJ$43="Leve"),CONCATENATE("R2C",'Mapa final'!$R$43),"")</f>
        <v/>
      </c>
      <c r="N25" s="54" t="str">
        <f>IF(AND('Mapa final'!$AH$44="Alta",'Mapa final'!$AJ$44="Leve"),CONCATENATE("R2C",'Mapa final'!$R$44),"")</f>
        <v/>
      </c>
      <c r="O25" s="54" t="str">
        <f>IF(AND('Mapa final'!$AH$45="Alta",'Mapa final'!$AJ$45="Leve"),CONCATENATE("R2C",'Mapa final'!$R$45),"")</f>
        <v/>
      </c>
      <c r="P25" s="55" t="str">
        <f>IF(AND('Mapa final'!$AH$46="Alta",'Mapa final'!$AJ$46="Leve"),CONCATENATE("R2C",'Mapa final'!$R$46),"")</f>
        <v/>
      </c>
      <c r="Q25" s="53" t="str">
        <f>IF(AND('Mapa final'!$AH$41="Alta",'Mapa final'!$AJ$41="Menor"),CONCATENATE("R2C",'Mapa final'!$R$41),"")</f>
        <v/>
      </c>
      <c r="R25" s="54" t="str">
        <f>IF(AND('Mapa final'!$AH$42="Alta",'Mapa final'!$AJ$42="Menor"),CONCATENATE("R2C",'Mapa final'!$R$42),"")</f>
        <v/>
      </c>
      <c r="S25" s="54" t="str">
        <f>IF(AND('Mapa final'!$AH$43="Alta",'Mapa final'!$AJ$43="Menor"),CONCATENATE("R2C",'Mapa final'!$R$43),"")</f>
        <v/>
      </c>
      <c r="T25" s="54" t="str">
        <f>IF(AND('Mapa final'!$AH$44="Alta",'Mapa final'!$AJ$44="Menor"),CONCATENATE("R2C",'Mapa final'!$R$44),"")</f>
        <v/>
      </c>
      <c r="U25" s="54" t="str">
        <f>IF(AND('Mapa final'!$AH$45="Alta",'Mapa final'!$AJ$45="LMenor"),CONCATENATE("R2C",'Mapa final'!$R$45),"")</f>
        <v/>
      </c>
      <c r="V25" s="55" t="str">
        <f>IF(AND('Mapa final'!$AH$46="Alta",'Mapa final'!$AJ$46="Menor"),CONCATENATE("R2C",'Mapa final'!$R$46),"")</f>
        <v/>
      </c>
      <c r="W25" s="38" t="str">
        <f>IF(AND('Mapa final'!$AH$41="Alta",'Mapa final'!$AJ$41="Moderado"),CONCATENATE("R2C",'Mapa final'!$R$41),"")</f>
        <v/>
      </c>
      <c r="X25" s="39" t="str">
        <f>IF(AND('Mapa final'!$AH$42="Alta",'Mapa final'!$AJ$42="Moderado"),CONCATENATE("R2C",'Mapa final'!$R$42),"")</f>
        <v/>
      </c>
      <c r="Y25" s="39" t="str">
        <f>IF(AND('Mapa final'!$AH$43="Alta",'Mapa final'!$AJ$43="Moderado"),CONCATENATE("R2C",'Mapa final'!$R$43),"")</f>
        <v/>
      </c>
      <c r="Z25" s="39" t="str">
        <f>IF(AND('Mapa final'!$AH$44="Alta",'Mapa final'!$AJ$44="Moderado"),CONCATENATE("R2C",'Mapa final'!$R$44),"")</f>
        <v/>
      </c>
      <c r="AA25" s="39" t="str">
        <f>IF(AND('Mapa final'!$AH$45="Alta",'Mapa final'!$AJ$45="Moderado"),CONCATENATE("R2C",'Mapa final'!$R$45),"")</f>
        <v/>
      </c>
      <c r="AB25" s="40" t="str">
        <f>IF(AND('Mapa final'!$AH$46="Alta",'Mapa final'!$AJ$46="Moderado"),CONCATENATE("R2C",'Mapa final'!$R$46),"")</f>
        <v/>
      </c>
      <c r="AC25" s="38" t="str">
        <f>IF(AND('Mapa final'!$AH$41="Alta",'Mapa final'!$AJ$41="Mayor"),CONCATENATE("R2C",'Mapa final'!$R$41),"")</f>
        <v/>
      </c>
      <c r="AD25" s="39" t="str">
        <f>IF(AND('Mapa final'!$AH$42="Alta",'Mapa final'!$AJ$42="Mayor"),CONCATENATE("R2C",'Mapa final'!$R$42),"")</f>
        <v/>
      </c>
      <c r="AE25" s="39" t="str">
        <f>IF(AND('Mapa final'!$AH$43="Alta",'Mapa final'!$AJ$43="Mayor"),CONCATENATE("R2C",'Mapa final'!$R$43),"")</f>
        <v/>
      </c>
      <c r="AF25" s="39" t="str">
        <f>IF(AND('Mapa final'!$AH$44="Alta",'Mapa final'!$AJ$44="Mayor"),CONCATENATE("R2C",'Mapa final'!$R$44),"")</f>
        <v/>
      </c>
      <c r="AG25" s="39" t="str">
        <f>IF(AND('Mapa final'!$AH$45="Alta",'Mapa final'!$AJ$45="Mayor"),CONCATENATE("R2C",'Mapa final'!$R$45),"")</f>
        <v/>
      </c>
      <c r="AH25" s="40" t="str">
        <f>IF(AND('Mapa final'!$AH$46="Alta",'Mapa final'!$AJ$46="Mayor"),CONCATENATE("R2C",'Mapa final'!$R$46),"")</f>
        <v/>
      </c>
      <c r="AI25" s="41" t="str">
        <f>IF(AND('Mapa final'!$AH$41="Alta",'Mapa final'!$AJ$41="Catastrófico"),CONCATENATE("R2C",'Mapa final'!$R$41),"")</f>
        <v/>
      </c>
      <c r="AJ25" s="42" t="str">
        <f>IF(AND('Mapa final'!$AH$42="Alta",'Mapa final'!$AJ$42="Catastrófico"),CONCATENATE("R2C",'Mapa final'!$R$42),"")</f>
        <v/>
      </c>
      <c r="AK25" s="42" t="str">
        <f>IF(AND('Mapa final'!$AH$43="Alta",'Mapa final'!$AJ$43="Catastrófico"),CONCATENATE("R2C",'Mapa final'!$R$43),"")</f>
        <v/>
      </c>
      <c r="AL25" s="42" t="str">
        <f>IF(AND('Mapa final'!$AH$44="Alta",'Mapa final'!$AJ$44="Catastrófico"),CONCATENATE("R2C",'Mapa final'!$R$44),"")</f>
        <v/>
      </c>
      <c r="AM25" s="42" t="str">
        <f>IF(AND('Mapa final'!$AH$45="Alta",'Mapa final'!$AJ$45="LCatastrófico"),CONCATENATE("R2C",'Mapa final'!$R$45),"")</f>
        <v/>
      </c>
      <c r="AN25" s="43" t="str">
        <f>IF(AND('Mapa final'!$AH$46="Alta",'Mapa final'!$AJ$46="Catastrófico"),CONCATENATE("R2C",'Mapa final'!$R$46),"")</f>
        <v/>
      </c>
      <c r="AO25" s="68"/>
      <c r="AP25" s="481"/>
      <c r="AQ25" s="482"/>
      <c r="AR25" s="482"/>
      <c r="AS25" s="482"/>
      <c r="AT25" s="482"/>
      <c r="AU25" s="483"/>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380"/>
      <c r="D26" s="380"/>
      <c r="E26" s="381"/>
      <c r="F26" s="472"/>
      <c r="G26" s="473"/>
      <c r="H26" s="473"/>
      <c r="I26" s="473"/>
      <c r="J26" s="473"/>
      <c r="K26" s="53" t="str">
        <f>IF(AND('Mapa final'!$AH$47="Alta",'Mapa final'!$AJ$47="Leve"),CONCATENATE("R2C",'Mapa final'!$R$47),"")</f>
        <v/>
      </c>
      <c r="L26" s="54" t="str">
        <f>IF(AND('Mapa final'!$AH$48="Alta",'Mapa final'!$AJ$48="Leve"),CONCATENATE("R2C",'Mapa final'!$R$48),"")</f>
        <v/>
      </c>
      <c r="M26" s="54" t="str">
        <f>IF(AND('Mapa final'!$AH$49="Alta",'Mapa final'!$AJ$49="Leve"),CONCATENATE("R2C",'Mapa final'!$R$49),"")</f>
        <v/>
      </c>
      <c r="N26" s="54" t="str">
        <f>IF(AND('Mapa final'!$AH$50="Alta",'Mapa final'!$AJ$50="Leve"),CONCATENATE("R2C",'Mapa final'!$R$50),"")</f>
        <v/>
      </c>
      <c r="O26" s="54" t="str">
        <f>IF(AND('Mapa final'!$AH$51="Alta",'Mapa final'!$AJ$51="Leve"),CONCATENATE("R2C",'Mapa final'!$R$51),"")</f>
        <v/>
      </c>
      <c r="P26" s="55" t="str">
        <f>IF(AND('Mapa final'!$AH$52="Alta",'Mapa final'!$AJ$52="Leve"),CONCATENATE("R2C",'Mapa final'!$R$52),"")</f>
        <v/>
      </c>
      <c r="Q26" s="53" t="str">
        <f>IF(AND('Mapa final'!$AH$47="Alta",'Mapa final'!$AJ$47="Menor"),CONCATENATE("R2C",'Mapa final'!$R$47),"")</f>
        <v/>
      </c>
      <c r="R26" s="54" t="str">
        <f>IF(AND('Mapa final'!$AH$48="Alta",'Mapa final'!$AJ$48="Menor"),CONCATENATE("R2C",'Mapa final'!$R$48),"")</f>
        <v/>
      </c>
      <c r="S26" s="54" t="str">
        <f>IF(AND('Mapa final'!$AH$49="Alta",'Mapa final'!$AJ$49="Menor"),CONCATENATE("R2C",'Mapa final'!$R$49),"")</f>
        <v/>
      </c>
      <c r="T26" s="54" t="str">
        <f>IF(AND('Mapa final'!$AH$50="Alta",'Mapa final'!$AJ$50="Menor"),CONCATENATE("R2C",'Mapa final'!$R$50),"")</f>
        <v/>
      </c>
      <c r="U26" s="54" t="str">
        <f>IF(AND('Mapa final'!$AH$51="Alta",'Mapa final'!$AJ$51="Menor"),CONCATENATE("R2C",'Mapa final'!$R$51),"")</f>
        <v/>
      </c>
      <c r="V26" s="55" t="str">
        <f>IF(AND('Mapa final'!$AH$52="Alta",'Mapa final'!$AJ$52="Menor"),CONCATENATE("R2C",'Mapa final'!$R$52),"")</f>
        <v/>
      </c>
      <c r="W26" s="38" t="str">
        <f>IF(AND('Mapa final'!$AH$47="Alta",'Mapa final'!$AJ$47="Moderado"),CONCATENATE("R2C",'Mapa final'!$R$47),"")</f>
        <v/>
      </c>
      <c r="X26" s="39" t="str">
        <f>IF(AND('Mapa final'!$AH$48="Alta",'Mapa final'!$AJ$48="Moderado"),CONCATENATE("R2C",'Mapa final'!$R$48),"")</f>
        <v/>
      </c>
      <c r="Y26" s="39" t="str">
        <f>IF(AND('Mapa final'!$AH$49="Alta",'Mapa final'!$AJ$49="Moderado"),CONCATENATE("R2C",'Mapa final'!$R$49),"")</f>
        <v/>
      </c>
      <c r="Z26" s="39" t="str">
        <f>IF(AND('Mapa final'!$AH$50="Alta",'Mapa final'!$AJ$50="Moderado"),CONCATENATE("R2C",'Mapa final'!$R$50),"")</f>
        <v/>
      </c>
      <c r="AA26" s="39" t="str">
        <f>IF(AND('Mapa final'!$AH$51="Alta",'Mapa final'!$AJ$51="Moderado"),CONCATENATE("R2C",'Mapa final'!$R$51),"")</f>
        <v/>
      </c>
      <c r="AB26" s="40" t="str">
        <f>IF(AND('Mapa final'!$AH$52="Alta",'Mapa final'!$AJ$52="Moderado"),CONCATENATE("R2C",'Mapa final'!$R$52),"")</f>
        <v/>
      </c>
      <c r="AC26" s="38" t="str">
        <f>IF(AND('Mapa final'!$AH$47="Alta",'Mapa final'!$AJ$47="Mayor"),CONCATENATE("R2C",'Mapa final'!$R$47),"")</f>
        <v/>
      </c>
      <c r="AD26" s="39" t="str">
        <f>IF(AND('Mapa final'!$AH$48="Alta",'Mapa final'!$AJ$48="Mayor"),CONCATENATE("R2C",'Mapa final'!$R$48),"")</f>
        <v/>
      </c>
      <c r="AE26" s="39" t="str">
        <f>IF(AND('Mapa final'!$AH$49="Alta",'Mapa final'!$AJ$49="Mayor"),CONCATENATE("R2C",'Mapa final'!$R$49),"")</f>
        <v/>
      </c>
      <c r="AF26" s="39" t="str">
        <f>IF(AND('Mapa final'!$AH$50="Alta",'Mapa final'!$AJ$50="Mayor"),CONCATENATE("R2C",'Mapa final'!$R$50),"")</f>
        <v/>
      </c>
      <c r="AG26" s="39" t="str">
        <f>IF(AND('Mapa final'!$AH$51="Alta",'Mapa final'!$AJ$51="Mayor"),CONCATENATE("R2C",'Mapa final'!$R$51),"")</f>
        <v/>
      </c>
      <c r="AH26" s="40" t="str">
        <f>IF(AND('Mapa final'!$AH$52="Alta",'Mapa final'!$AJ$52="Mayor"),CONCATENATE("R2C",'Mapa final'!$R$52),"")</f>
        <v/>
      </c>
      <c r="AI26" s="41" t="str">
        <f>IF(AND('Mapa final'!$AH$47="Alta",'Mapa final'!$AJ$47="Catastrófico"),CONCATENATE("R2C",'Mapa final'!$R$47),"")</f>
        <v/>
      </c>
      <c r="AJ26" s="42" t="str">
        <f>IF(AND('Mapa final'!$AH$48="Alta",'Mapa final'!$AJ$48="Catastrófico"),CONCATENATE("R2C",'Mapa final'!$R$48),"")</f>
        <v/>
      </c>
      <c r="AK26" s="42" t="str">
        <f>IF(AND('Mapa final'!$AH$49="Alta",'Mapa final'!$AJ$49="Catastrófico"),CONCATENATE("R2C",'Mapa final'!$R$49),"")</f>
        <v/>
      </c>
      <c r="AL26" s="42" t="str">
        <f>IF(AND('Mapa final'!$AH$50="Alta",'Mapa final'!$AJ$50="Catastrófico"),CONCATENATE("R2C",'Mapa final'!$R$50),"")</f>
        <v/>
      </c>
      <c r="AM26" s="42" t="str">
        <f>IF(AND('Mapa final'!$AH$51="Alta",'Mapa final'!$AJ$51="Catastrófico"),CONCATENATE("R2C",'Mapa final'!$R$51),"")</f>
        <v/>
      </c>
      <c r="AN26" s="43" t="str">
        <f>IF(AND('Mapa final'!$AH$52="Alta",'Mapa final'!$AJ$52="Catastrófico"),CONCATENATE("R2C",'Mapa final'!$R$52),"")</f>
        <v/>
      </c>
      <c r="AO26" s="68"/>
      <c r="AP26" s="481"/>
      <c r="AQ26" s="482"/>
      <c r="AR26" s="482"/>
      <c r="AS26" s="482"/>
      <c r="AT26" s="482"/>
      <c r="AU26" s="483"/>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380"/>
      <c r="D27" s="380"/>
      <c r="E27" s="381"/>
      <c r="F27" s="472"/>
      <c r="G27" s="473"/>
      <c r="H27" s="473"/>
      <c r="I27" s="473"/>
      <c r="J27" s="473"/>
      <c r="K27" s="53" t="str">
        <f>IF(AND('Mapa final'!$AH$53="Alta",'Mapa final'!$AJ$53="Leve"),CONCATENATE("R2C",'Mapa final'!$R$53),"")</f>
        <v/>
      </c>
      <c r="L27" s="54" t="str">
        <f>IF(AND('Mapa final'!$AH$54="Alta",'Mapa final'!$AJ$54="Leve"),CONCATENATE("R2C",'Mapa final'!$R$54),"")</f>
        <v/>
      </c>
      <c r="M27" s="54" t="str">
        <f>IF(AND('Mapa final'!$AH$55="Alta",'Mapa final'!$AJ$55="Leve"),CONCATENATE("R2C",'Mapa final'!$R$55),"")</f>
        <v/>
      </c>
      <c r="N27" s="54" t="str">
        <f>IF(AND('Mapa final'!$AH$56="Alta",'Mapa final'!$AJ$56="Leve"),CONCATENATE("R2C",'Mapa final'!$R$56),"")</f>
        <v/>
      </c>
      <c r="O27" s="54" t="str">
        <f>IF(AND('Mapa final'!$AH$57="Alta",'Mapa final'!$AJ$57="Leve"),CONCATENATE("R2C",'Mapa final'!$R$57),"")</f>
        <v/>
      </c>
      <c r="P27" s="55" t="str">
        <f>IF(AND('Mapa final'!$AH$68="Alta",'Mapa final'!$AJ$58="Leve"),CONCATENATE("R2C",'Mapa final'!$R$58),"")</f>
        <v/>
      </c>
      <c r="Q27" s="53" t="str">
        <f>IF(AND('Mapa final'!$AH$53="Alta",'Mapa final'!$AJ$53="Menor"),CONCATENATE("R2C",'Mapa final'!$R$53),"")</f>
        <v/>
      </c>
      <c r="R27" s="54" t="str">
        <f>IF(AND('Mapa final'!$AH$54="Alta",'Mapa final'!$AJ$54="Menor"),CONCATENATE("R2C",'Mapa final'!$R$54),"")</f>
        <v/>
      </c>
      <c r="S27" s="54" t="str">
        <f>IF(AND('Mapa final'!$AH$55="Alta",'Mapa final'!$AJ$55="Menor"),CONCATENATE("R2C",'Mapa final'!$R$55),"")</f>
        <v/>
      </c>
      <c r="T27" s="54" t="str">
        <f>IF(AND('Mapa final'!$AH$56="Alta",'Mapa final'!$AJ$56="Menor"),CONCATENATE("R2C",'Mapa final'!$R$56),"")</f>
        <v/>
      </c>
      <c r="U27" s="54" t="str">
        <f>IF(AND('Mapa final'!$AH$57="Alta",'Mapa final'!$AJ$57="Menor"),CONCATENATE("R2C",'Mapa final'!$R$57),"")</f>
        <v/>
      </c>
      <c r="V27" s="55" t="str">
        <f>IF(AND('Mapa final'!$AH$68="Alta",'Mapa final'!$AJ$58="Menor"),CONCATENATE("R2C",'Mapa final'!$R$58),"")</f>
        <v/>
      </c>
      <c r="W27" s="38" t="str">
        <f>IF(AND('Mapa final'!$AH$53="Alta",'Mapa final'!$AJ$53="Moderado"),CONCATENATE("R2C",'Mapa final'!$R$53),"")</f>
        <v/>
      </c>
      <c r="X27" s="39" t="str">
        <f>IF(AND('Mapa final'!$AH$54="Alta",'Mapa final'!$AJ$54="Moderado"),CONCATENATE("R2C",'Mapa final'!$R$54),"")</f>
        <v/>
      </c>
      <c r="Y27" s="39" t="str">
        <f>IF(AND('Mapa final'!$AH$55="Alta",'Mapa final'!$AJ$55="Moderado"),CONCATENATE("R2C",'Mapa final'!$R$55),"")</f>
        <v/>
      </c>
      <c r="Z27" s="39" t="str">
        <f>IF(AND('Mapa final'!$AH$56="Alta",'Mapa final'!$AJ$56="Moderado"),CONCATENATE("R2C",'Mapa final'!$R$56),"")</f>
        <v/>
      </c>
      <c r="AA27" s="39" t="str">
        <f>IF(AND('Mapa final'!$AH$57="Alta",'Mapa final'!$AJ$57="Moderado"),CONCATENATE("R2C",'Mapa final'!$R$57),"")</f>
        <v/>
      </c>
      <c r="AB27" s="40" t="str">
        <f>IF(AND('Mapa final'!$AH$68="Alta",'Mapa final'!$AJ$58="Moderado"),CONCATENATE("R2C",'Mapa final'!$R$58),"")</f>
        <v/>
      </c>
      <c r="AC27" s="38" t="str">
        <f>IF(AND('Mapa final'!$AH$53="Alta",'Mapa final'!$AJ$53="Mayor"),CONCATENATE("R2C",'Mapa final'!$R$53),"")</f>
        <v/>
      </c>
      <c r="AD27" s="39" t="str">
        <f>IF(AND('Mapa final'!$AH$54="Alta",'Mapa final'!$AJ$54="Mayor"),CONCATENATE("R2C",'Mapa final'!$R$54),"")</f>
        <v/>
      </c>
      <c r="AE27" s="39" t="str">
        <f>IF(AND('Mapa final'!$AH$55="Alta",'Mapa final'!$AJ$55="Mayor"),CONCATENATE("R2C",'Mapa final'!$R$55),"")</f>
        <v/>
      </c>
      <c r="AF27" s="39" t="str">
        <f>IF(AND('Mapa final'!$AH$56="Alta",'Mapa final'!$AJ$56="Mayor"),CONCATENATE("R2C",'Mapa final'!$R$56),"")</f>
        <v/>
      </c>
      <c r="AG27" s="39" t="str">
        <f>IF(AND('Mapa final'!$AH$57="Alta",'Mapa final'!$AJ$57="Mayor"),CONCATENATE("R2C",'Mapa final'!$R$57),"")</f>
        <v/>
      </c>
      <c r="AH27" s="40" t="str">
        <f>IF(AND('Mapa final'!$AH$68="Alta",'Mapa final'!$AJ$58="Mayor"),CONCATENATE("R2C",'Mapa final'!$R$58),"")</f>
        <v/>
      </c>
      <c r="AI27" s="41" t="str">
        <f>IF(AND('Mapa final'!$AH$53="Alta",'Mapa final'!$AJ$53="Catastrófico"),CONCATENATE("R2C",'Mapa final'!$R$53),"")</f>
        <v/>
      </c>
      <c r="AJ27" s="42" t="str">
        <f>IF(AND('Mapa final'!$AH$54="Alta",'Mapa final'!$AJ$54="Catastrófico"),CONCATENATE("R2C",'Mapa final'!$R$54),"")</f>
        <v/>
      </c>
      <c r="AK27" s="42" t="str">
        <f>IF(AND('Mapa final'!$AH$55="Alta",'Mapa final'!$AJ$55="Catastrófico"),CONCATENATE("R2C",'Mapa final'!$R$55),"")</f>
        <v/>
      </c>
      <c r="AL27" s="42" t="str">
        <f>IF(AND('Mapa final'!$AH$56="Alta",'Mapa final'!$AJ$56="Catastrófico"),CONCATENATE("R2C",'Mapa final'!$R$56),"")</f>
        <v/>
      </c>
      <c r="AM27" s="42" t="str">
        <f>IF(AND('Mapa final'!$AH$57="Alta",'Mapa final'!$AJ$57="Catastrófico"),CONCATENATE("R2C",'Mapa final'!$R$57),"")</f>
        <v/>
      </c>
      <c r="AN27" s="43" t="str">
        <f>IF(AND('Mapa final'!$AH$68="Alta",'Mapa final'!$AJ$58="Catastrófico"),CONCATENATE("R2C",'Mapa final'!$R$58),"")</f>
        <v/>
      </c>
      <c r="AO27" s="68"/>
      <c r="AP27" s="481"/>
      <c r="AQ27" s="482"/>
      <c r="AR27" s="482"/>
      <c r="AS27" s="482"/>
      <c r="AT27" s="482"/>
      <c r="AU27" s="483"/>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380"/>
      <c r="D28" s="380"/>
      <c r="E28" s="381"/>
      <c r="F28" s="472"/>
      <c r="G28" s="473"/>
      <c r="H28" s="473"/>
      <c r="I28" s="473"/>
      <c r="J28" s="473"/>
      <c r="K28" s="53" t="str">
        <f>IF(AND('Mapa final'!$AH$59="Alta",'Mapa final'!$AJ$59="Leve"),CONCATENATE("R2C",'Mapa final'!$R$59),"")</f>
        <v/>
      </c>
      <c r="L28" s="54" t="str">
        <f>IF(AND('Mapa final'!$AH$60="Alta",'Mapa final'!$AJ$60="Leve"),CONCATENATE("R2C",'Mapa final'!$R$60),"")</f>
        <v/>
      </c>
      <c r="M28" s="54" t="str">
        <f>IF(AND('Mapa final'!$AH$61="Alta",'Mapa final'!$AJ$61="Leve"),CONCATENATE("R2C",'Mapa final'!$R$61),"")</f>
        <v/>
      </c>
      <c r="N28" s="54" t="str">
        <f>IF(AND('Mapa final'!$AH$62="Alta",'Mapa final'!$AJ$62="Leve"),CONCATENATE("R2C",'Mapa final'!$R$62),"")</f>
        <v/>
      </c>
      <c r="O28" s="54" t="str">
        <f>IF(AND('Mapa final'!$AH$63="Alta",'Mapa final'!$AJ$63="Leve"),CONCATENATE("R2C",'Mapa final'!$R$63),"")</f>
        <v/>
      </c>
      <c r="P28" s="55" t="str">
        <f>IF(AND('Mapa final'!$AH$64="Alta",'Mapa final'!$AJ$64="Leve"),CONCATENATE("R2C",'Mapa final'!$R$64),"")</f>
        <v/>
      </c>
      <c r="Q28" s="53" t="str">
        <f>IF(AND('Mapa final'!$AH$59="Alta",'Mapa final'!$AJ$59="Menor"),CONCATENATE("R2C",'Mapa final'!$R$59),"")</f>
        <v/>
      </c>
      <c r="R28" s="54" t="str">
        <f>IF(AND('Mapa final'!$AH$60="Alta",'Mapa final'!$AJ$60="Menor"),CONCATENATE("R2C",'Mapa final'!$R$60),"")</f>
        <v/>
      </c>
      <c r="S28" s="54" t="str">
        <f>IF(AND('Mapa final'!$AH$61="Alta",'Mapa final'!$AJ$61="Menor"),CONCATENATE("R2C",'Mapa final'!$R$61),"")</f>
        <v/>
      </c>
      <c r="T28" s="54" t="str">
        <f>IF(AND('Mapa final'!$AH$62="Alta",'Mapa final'!$AJ$62="Menor"),CONCATENATE("R2C",'Mapa final'!$R$62),"")</f>
        <v/>
      </c>
      <c r="U28" s="54" t="str">
        <f>IF(AND('Mapa final'!$AH$63="Alta",'Mapa final'!$AJ$63="Menor"),CONCATENATE("R2C",'Mapa final'!$R$63),"")</f>
        <v/>
      </c>
      <c r="V28" s="55" t="str">
        <f>IF(AND('Mapa final'!$AH$64="Alta",'Mapa final'!$AJ$64="Menor"),CONCATENATE("R2C",'Mapa final'!$R$64),"")</f>
        <v/>
      </c>
      <c r="W28" s="38" t="str">
        <f>IF(AND('Mapa final'!$AH$59="Alta",'Mapa final'!$AJ$59="Moderado"),CONCATENATE("R2C",'Mapa final'!$R$59),"")</f>
        <v/>
      </c>
      <c r="X28" s="39" t="str">
        <f>IF(AND('Mapa final'!$AH$60="Alta",'Mapa final'!$AJ$60="Moderado"),CONCATENATE("R2C",'Mapa final'!$R$60),"")</f>
        <v/>
      </c>
      <c r="Y28" s="39" t="str">
        <f>IF(AND('Mapa final'!$AH$61="Alta",'Mapa final'!$AJ$61="Moderado"),CONCATENATE("R2C",'Mapa final'!$R$61),"")</f>
        <v/>
      </c>
      <c r="Z28" s="39" t="str">
        <f>IF(AND('Mapa final'!$AH$62="Alta",'Mapa final'!$AJ$62="Moderado"),CONCATENATE("R2C",'Mapa final'!$R$62),"")</f>
        <v/>
      </c>
      <c r="AA28" s="39" t="str">
        <f>IF(AND('Mapa final'!$AH$63="Alta",'Mapa final'!$AJ$63="Moderado"),CONCATENATE("R2C",'Mapa final'!$R$63),"")</f>
        <v/>
      </c>
      <c r="AB28" s="40" t="str">
        <f>IF(AND('Mapa final'!$AH$64="Alta",'Mapa final'!$AJ$64="Moderado"),CONCATENATE("R2C",'Mapa final'!$R$64),"")</f>
        <v/>
      </c>
      <c r="AC28" s="38" t="str">
        <f>IF(AND('Mapa final'!$AH$59="Alta",'Mapa final'!$AJ$59="Mayor"),CONCATENATE("R2C",'Mapa final'!$R$59),"")</f>
        <v/>
      </c>
      <c r="AD28" s="39" t="str">
        <f>IF(AND('Mapa final'!$AH$60="Alta",'Mapa final'!$AJ$60="Mayor"),CONCATENATE("R2C",'Mapa final'!$R$60),"")</f>
        <v/>
      </c>
      <c r="AE28" s="39" t="str">
        <f>IF(AND('Mapa final'!$AH$61="Alta",'Mapa final'!$AJ$61="Mayor"),CONCATENATE("R2C",'Mapa final'!$R$61),"")</f>
        <v/>
      </c>
      <c r="AF28" s="39" t="str">
        <f>IF(AND('Mapa final'!$AH$62="Alta",'Mapa final'!$AJ$62="Mayor"),CONCATENATE("R2C",'Mapa final'!$R$62),"")</f>
        <v/>
      </c>
      <c r="AG28" s="39" t="str">
        <f>IF(AND('Mapa final'!$AH$63="Alta",'Mapa final'!$AJ$63="Mayor"),CONCATENATE("R2C",'Mapa final'!$R$63),"")</f>
        <v/>
      </c>
      <c r="AH28" s="40" t="str">
        <f>IF(AND('Mapa final'!$AH$64="Alta",'Mapa final'!$AJ$64="Mayor"),CONCATENATE("R2C",'Mapa final'!$R$64),"")</f>
        <v/>
      </c>
      <c r="AI28" s="41" t="str">
        <f>IF(AND('Mapa final'!$AH$59="Alta",'Mapa final'!$AJ$59="Catastrófico"),CONCATENATE("R2C",'Mapa final'!$R$59),"")</f>
        <v/>
      </c>
      <c r="AJ28" s="42" t="str">
        <f>IF(AND('Mapa final'!$AH$60="Alta",'Mapa final'!$AJ$60="Catastrófico"),CONCATENATE("R2C",'Mapa final'!$R$60),"")</f>
        <v/>
      </c>
      <c r="AK28" s="42" t="str">
        <f>IF(AND('Mapa final'!$AH$61="Alta",'Mapa final'!$AJ$61="Catastrófico"),CONCATENATE("R2C",'Mapa final'!$R$61),"")</f>
        <v/>
      </c>
      <c r="AL28" s="42" t="str">
        <f>IF(AND('Mapa final'!$AH$62="Alta",'Mapa final'!$AJ$62="Catastrófico"),CONCATENATE("R2C",'Mapa final'!$R$62),"")</f>
        <v/>
      </c>
      <c r="AM28" s="42" t="str">
        <f>IF(AND('Mapa final'!$AH$63="Alta",'Mapa final'!$AJ$63="Catastrófico"),CONCATENATE("R2C",'Mapa final'!$R$63),"")</f>
        <v/>
      </c>
      <c r="AN28" s="43" t="str">
        <f>IF(AND('Mapa final'!$AH$64="Alta",'Mapa final'!$AJ$64="Catastrófico"),CONCATENATE("R2C",'Mapa final'!$R$64),"")</f>
        <v/>
      </c>
      <c r="AO28" s="68"/>
      <c r="AP28" s="481"/>
      <c r="AQ28" s="482"/>
      <c r="AR28" s="482"/>
      <c r="AS28" s="482"/>
      <c r="AT28" s="482"/>
      <c r="AU28" s="483"/>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380"/>
      <c r="D29" s="380"/>
      <c r="E29" s="381"/>
      <c r="F29" s="472"/>
      <c r="G29" s="473"/>
      <c r="H29" s="473"/>
      <c r="I29" s="473"/>
      <c r="J29" s="473"/>
      <c r="K29" s="53" t="str">
        <f>IF(AND('Mapa final'!$AH$65="Alta",'Mapa final'!$AJ$65="Leve"),CONCATENATE("R2C",'Mapa final'!$R$65),"")</f>
        <v/>
      </c>
      <c r="L29" s="54" t="str">
        <f>IF(AND('Mapa final'!$AH$66="Alta",'Mapa final'!$AJ$66="Leve"),CONCATENATE("R2C",'Mapa final'!$R$66),"")</f>
        <v/>
      </c>
      <c r="M29" s="54" t="str">
        <f>IF(AND('Mapa final'!$AH$67="Alta",'Mapa final'!$AJ$67="Leve"),CONCATENATE("R2C",'Mapa final'!$R$67),"")</f>
        <v/>
      </c>
      <c r="N29" s="54" t="str">
        <f>IF(AND('Mapa final'!$AH$68="Alta",'Mapa final'!$AJ$68="Leve"),CONCATENATE("R2C",'Mapa final'!$R$68),"")</f>
        <v/>
      </c>
      <c r="O29" s="54" t="str">
        <f>IF(AND('Mapa final'!$AH$69="Alta",'Mapa final'!$AJ$69="Leve"),CONCATENATE("R2C",'Mapa final'!$R$69),"")</f>
        <v/>
      </c>
      <c r="P29" s="55" t="str">
        <f>IF(AND('Mapa final'!$AH$70="Alta",'Mapa final'!$AJ$70="Leve"),CONCATENATE("R2C",'Mapa final'!$R$70),"")</f>
        <v/>
      </c>
      <c r="Q29" s="53" t="str">
        <f>IF(AND('Mapa final'!$AH$65="Alta",'Mapa final'!$AJ$65="Menor"),CONCATENATE("R2C",'Mapa final'!$R$65),"")</f>
        <v/>
      </c>
      <c r="R29" s="54" t="str">
        <f>IF(AND('Mapa final'!$AH$66="Alta",'Mapa final'!$AJ$66="Menor"),CONCATENATE("R2C",'Mapa final'!$R$66),"")</f>
        <v/>
      </c>
      <c r="S29" s="54" t="str">
        <f>IF(AND('Mapa final'!$AH$67="Alta",'Mapa final'!$AJ$67="Menor"),CONCATENATE("R2C",'Mapa final'!$R$67),"")</f>
        <v/>
      </c>
      <c r="T29" s="54" t="str">
        <f>IF(AND('Mapa final'!$AH$68="Alta",'Mapa final'!$AJ$68="Menor"),CONCATENATE("R2C",'Mapa final'!$R$68),"")</f>
        <v/>
      </c>
      <c r="U29" s="54" t="str">
        <f>IF(AND('Mapa final'!$AH$69="Alta",'Mapa final'!$AJ$69="Menor"),CONCATENATE("R2C",'Mapa final'!$R$69),"")</f>
        <v/>
      </c>
      <c r="V29" s="55" t="str">
        <f>IF(AND('Mapa final'!$AH$70="Alta",'Mapa final'!$AJ$70="Menor"),CONCATENATE("R2C",'Mapa final'!$R$70),"")</f>
        <v/>
      </c>
      <c r="W29" s="38" t="str">
        <f>IF(AND('Mapa final'!$AH$65="Alta",'Mapa final'!$AJ$65="Moderado"),CONCATENATE("R2C",'Mapa final'!$R$65),"")</f>
        <v/>
      </c>
      <c r="X29" s="39" t="str">
        <f>IF(AND('Mapa final'!$AH$66="Alta",'Mapa final'!$AJ$66="Moderado"),CONCATENATE("R2C",'Mapa final'!$R$66),"")</f>
        <v/>
      </c>
      <c r="Y29" s="39" t="str">
        <f>IF(AND('Mapa final'!$AH$67="Alta",'Mapa final'!$AJ$67="Moderado"),CONCATENATE("R2C",'Mapa final'!$R$67),"")</f>
        <v/>
      </c>
      <c r="Z29" s="39" t="str">
        <f>IF(AND('Mapa final'!$AH$68="Alta",'Mapa final'!$AJ$68="Moderado"),CONCATENATE("R2C",'Mapa final'!$R$68),"")</f>
        <v/>
      </c>
      <c r="AA29" s="39" t="str">
        <f>IF(AND('Mapa final'!$AH$69="Alta",'Mapa final'!$AJ$69="Moderado"),CONCATENATE("R2C",'Mapa final'!$R$69),"")</f>
        <v/>
      </c>
      <c r="AB29" s="40" t="str">
        <f>IF(AND('Mapa final'!$AH$70="Alta",'Mapa final'!$AJ$70="Moderado"),CONCATENATE("R2C",'Mapa final'!$R$70),"")</f>
        <v/>
      </c>
      <c r="AC29" s="38" t="str">
        <f>IF(AND('Mapa final'!$AH$65="Alta",'Mapa final'!$AJ$65="Mayor"),CONCATENATE("R2C",'Mapa final'!$R$65),"")</f>
        <v/>
      </c>
      <c r="AD29" s="39" t="str">
        <f>IF(AND('Mapa final'!$AH$66="Alta",'Mapa final'!$AJ$66="Mayor"),CONCATENATE("R2C",'Mapa final'!$R$66),"")</f>
        <v/>
      </c>
      <c r="AE29" s="39" t="str">
        <f>IF(AND('Mapa final'!$AH$67="Alta",'Mapa final'!$AJ$67="Mayor"),CONCATENATE("R2C",'Mapa final'!$R$67),"")</f>
        <v/>
      </c>
      <c r="AF29" s="39" t="str">
        <f>IF(AND('Mapa final'!$AH$68="Alta",'Mapa final'!$AJ$68="Mayor"),CONCATENATE("R2C",'Mapa final'!$R$68),"")</f>
        <v/>
      </c>
      <c r="AG29" s="39" t="str">
        <f>IF(AND('Mapa final'!$AH$69="Alta",'Mapa final'!$AJ$69="Mayor"),CONCATENATE("R2C",'Mapa final'!$R$69),"")</f>
        <v/>
      </c>
      <c r="AH29" s="40" t="str">
        <f>IF(AND('Mapa final'!$AH$70="Alta",'Mapa final'!$AJ$70="Mayor"),CONCATENATE("R2C",'Mapa final'!$R$70),"")</f>
        <v/>
      </c>
      <c r="AI29" s="41" t="str">
        <f>IF(AND('Mapa final'!$AH$65="Alta",'Mapa final'!$AJ$65="Catastrófico"),CONCATENATE("R2C",'Mapa final'!$R$65),"")</f>
        <v/>
      </c>
      <c r="AJ29" s="42" t="str">
        <f>IF(AND('Mapa final'!$AH$66="Alta",'Mapa final'!$AJ$66="Catastrófico"),CONCATENATE("R2C",'Mapa final'!$R$66),"")</f>
        <v/>
      </c>
      <c r="AK29" s="42" t="str">
        <f>IF(AND('Mapa final'!$AH$67="Alta",'Mapa final'!$AJ$67="Catastrófico"),CONCATENATE("R2C",'Mapa final'!$R$67),"")</f>
        <v/>
      </c>
      <c r="AL29" s="42" t="str">
        <f>IF(AND('Mapa final'!$AH$68="Alta",'Mapa final'!$AJ$68="Catastrófico"),CONCATENATE("R2C",'Mapa final'!$R$68),"")</f>
        <v/>
      </c>
      <c r="AM29" s="42" t="str">
        <f>IF(AND('Mapa final'!$AH$69="Alta",'Mapa final'!$AJ$69="Catastrófico"),CONCATENATE("R2C",'Mapa final'!$R$69),"")</f>
        <v/>
      </c>
      <c r="AN29" s="43" t="str">
        <f>IF(AND('Mapa final'!$AH$70="Alta",'Mapa final'!$AJ$70="Catastrófico"),CONCATENATE("R2C",'Mapa final'!$R$70),"")</f>
        <v/>
      </c>
      <c r="AO29" s="68"/>
      <c r="AP29" s="481"/>
      <c r="AQ29" s="482"/>
      <c r="AR29" s="482"/>
      <c r="AS29" s="482"/>
      <c r="AT29" s="482"/>
      <c r="AU29" s="483"/>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380"/>
      <c r="D30" s="380"/>
      <c r="E30" s="381"/>
      <c r="F30" s="472"/>
      <c r="G30" s="473"/>
      <c r="H30" s="473"/>
      <c r="I30" s="473"/>
      <c r="J30" s="473"/>
      <c r="K30" s="53" t="str">
        <f>IF(AND('Mapa final'!$AH$71="Alta",'Mapa final'!$AJ$71="Leve"),CONCATENATE("R2C",'Mapa final'!$R$71),"")</f>
        <v/>
      </c>
      <c r="L30" s="54" t="str">
        <f>IF(AND('Mapa final'!$AH$72="Alta",'Mapa final'!$AJ$72="Leve"),CONCATENATE("R2C",'Mapa final'!$R$72),"")</f>
        <v/>
      </c>
      <c r="M30" s="54" t="str">
        <f>IF(AND('Mapa final'!$AH$73="Alta",'Mapa final'!$AJ$73="Leve"),CONCATENATE("R2C",'Mapa final'!$R$73),"")</f>
        <v/>
      </c>
      <c r="N30" s="54" t="str">
        <f>IF(AND('Mapa final'!$AH$74="Alta",'Mapa final'!$AJ$74="Leve"),CONCATENATE("R2C",'Mapa final'!$R$74),"")</f>
        <v/>
      </c>
      <c r="O30" s="54" t="str">
        <f>IF(AND('Mapa final'!$AH$75="Alta",'Mapa final'!$AJ$75="Leve"),CONCATENATE("R2C",'Mapa final'!$R$75),"")</f>
        <v/>
      </c>
      <c r="P30" s="55" t="str">
        <f>IF(AND('Mapa final'!$AH$76="Alta",'Mapa final'!$AJ$76="Leve"),CONCATENATE("R2C",'Mapa final'!$R$76),"")</f>
        <v/>
      </c>
      <c r="Q30" s="53" t="str">
        <f>IF(AND('Mapa final'!$AH$71="Alta",'Mapa final'!$AJ$71="Menor"),CONCATENATE("R2C",'Mapa final'!$R$71),"")</f>
        <v/>
      </c>
      <c r="R30" s="54" t="str">
        <f>IF(AND('Mapa final'!$AH$72="Alta",'Mapa final'!$AJ$72="Menor"),CONCATENATE("R2C",'Mapa final'!$R$72),"")</f>
        <v/>
      </c>
      <c r="S30" s="54" t="str">
        <f>IF(AND('Mapa final'!$AH$73="Alta",'Mapa final'!$AJ$73="Menor"),CONCATENATE("R2C",'Mapa final'!$R$73),"")</f>
        <v/>
      </c>
      <c r="T30" s="54" t="str">
        <f>IF(AND('Mapa final'!$AH$74="Alta",'Mapa final'!$AJ$74="Menor"),CONCATENATE("R2C",'Mapa final'!$R$74),"")</f>
        <v/>
      </c>
      <c r="U30" s="54" t="str">
        <f>IF(AND('Mapa final'!$AH$75="Alta",'Mapa final'!$AJ$75="Menor"),CONCATENATE("R2C",'Mapa final'!$R$75),"")</f>
        <v/>
      </c>
      <c r="V30" s="55" t="str">
        <f>IF(AND('Mapa final'!$AH$76="Alta",'Mapa final'!$AJ$76="Menor"),CONCATENATE("R2C",'Mapa final'!$R$76),"")</f>
        <v/>
      </c>
      <c r="W30" s="38" t="str">
        <f>IF(AND('Mapa final'!$AH$71="Alta",'Mapa final'!$AJ$71="Moderado"),CONCATENATE("R2C",'Mapa final'!$R$71),"")</f>
        <v/>
      </c>
      <c r="X30" s="39" t="str">
        <f>IF(AND('Mapa final'!$AH$72="Alta",'Mapa final'!$AJ$72="Moderado"),CONCATENATE("R2C",'Mapa final'!$R$72),"")</f>
        <v/>
      </c>
      <c r="Y30" s="39" t="str">
        <f>IF(AND('Mapa final'!$AH$73="Alta",'Mapa final'!$AJ$73="Moderado"),CONCATENATE("R2C",'Mapa final'!$R$73),"")</f>
        <v/>
      </c>
      <c r="Z30" s="39" t="str">
        <f>IF(AND('Mapa final'!$AH$74="Alta",'Mapa final'!$AJ$74="Moderado"),CONCATENATE("R2C",'Mapa final'!$R$74),"")</f>
        <v/>
      </c>
      <c r="AA30" s="39" t="str">
        <f>IF(AND('Mapa final'!$AH$75="Alta",'Mapa final'!$AJ$75="Moderado"),CONCATENATE("R2C",'Mapa final'!$R$75),"")</f>
        <v/>
      </c>
      <c r="AB30" s="40" t="str">
        <f>IF(AND('Mapa final'!$AH$76="Alta",'Mapa final'!$AJ$76="Moderado"),CONCATENATE("R2C",'Mapa final'!$R$76),"")</f>
        <v/>
      </c>
      <c r="AC30" s="38" t="str">
        <f>IF(AND('Mapa final'!$AH$71="Alta",'Mapa final'!$AJ$71="Mayor"),CONCATENATE("R2C",'Mapa final'!$R$71),"")</f>
        <v/>
      </c>
      <c r="AD30" s="39" t="str">
        <f>IF(AND('Mapa final'!$AH$72="Alta",'Mapa final'!$AJ$72="Mayor"),CONCATENATE("R2C",'Mapa final'!$R$72),"")</f>
        <v/>
      </c>
      <c r="AE30" s="39" t="str">
        <f>IF(AND('Mapa final'!$AH$73="Alta",'Mapa final'!$AJ$73="Mayor"),CONCATENATE("R2C",'Mapa final'!$R$73),"")</f>
        <v/>
      </c>
      <c r="AF30" s="39" t="str">
        <f>IF(AND('Mapa final'!$AH$74="Alta",'Mapa final'!$AJ$74="Mayor"),CONCATENATE("R2C",'Mapa final'!$R$74),"")</f>
        <v/>
      </c>
      <c r="AG30" s="39" t="str">
        <f>IF(AND('Mapa final'!$AH$75="Alta",'Mapa final'!$AJ$75="Mayor"),CONCATENATE("R2C",'Mapa final'!$R$75),"")</f>
        <v/>
      </c>
      <c r="AH30" s="40" t="str">
        <f>IF(AND('Mapa final'!$AH$76="Alta",'Mapa final'!$AJ$76="Mayor"),CONCATENATE("R2C",'Mapa final'!$R$76),"")</f>
        <v/>
      </c>
      <c r="AI30" s="41" t="str">
        <f>IF(AND('Mapa final'!$AH$71="Alta",'Mapa final'!$AJ$71="Catastrófico"),CONCATENATE("R2C",'Mapa final'!$R$71),"")</f>
        <v/>
      </c>
      <c r="AJ30" s="42" t="str">
        <f>IF(AND('Mapa final'!$AH$72="Alta",'Mapa final'!$AJ$72="Catastrófico"),CONCATENATE("R2C",'Mapa final'!$R$72),"")</f>
        <v/>
      </c>
      <c r="AK30" s="42" t="str">
        <f>IF(AND('Mapa final'!$AH$73="Alta",'Mapa final'!$AJ$73="Catastrófico"),CONCATENATE("R2C",'Mapa final'!$R$73),"")</f>
        <v/>
      </c>
      <c r="AL30" s="42" t="str">
        <f>IF(AND('Mapa final'!$AH$74="Alta",'Mapa final'!$AJ$74="Catastrófico"),CONCATENATE("R2C",'Mapa final'!$R$74),"")</f>
        <v/>
      </c>
      <c r="AM30" s="42" t="str">
        <f>IF(AND('Mapa final'!$AH$75="Alta",'Mapa final'!$AJ$75="Catastrófico"),CONCATENATE("R2C",'Mapa final'!$R$75),"")</f>
        <v/>
      </c>
      <c r="AN30" s="43" t="str">
        <f>IF(AND('Mapa final'!$AH$76="Alta",'Mapa final'!$AJ$76="Catastrófico"),CONCATENATE("R2C",'Mapa final'!$R$76),"")</f>
        <v/>
      </c>
      <c r="AO30" s="68"/>
      <c r="AP30" s="481"/>
      <c r="AQ30" s="482"/>
      <c r="AR30" s="482"/>
      <c r="AS30" s="482"/>
      <c r="AT30" s="482"/>
      <c r="AU30" s="483"/>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380"/>
      <c r="D31" s="380"/>
      <c r="E31" s="381"/>
      <c r="F31" s="475"/>
      <c r="G31" s="476"/>
      <c r="H31" s="476"/>
      <c r="I31" s="476"/>
      <c r="J31" s="476"/>
      <c r="K31" s="56" t="str">
        <f>IF(AND('Mapa final'!$AH$77="Alta",'Mapa final'!$AJ$77="Leve"),CONCATENATE("R2C",'Mapa final'!$R$77),"")</f>
        <v/>
      </c>
      <c r="L31" s="57" t="str">
        <f>IF(AND('Mapa final'!$AH$78="Alta",'Mapa final'!$AJ$78="Leve"),CONCATENATE("R2C",'Mapa final'!$R$78),"")</f>
        <v/>
      </c>
      <c r="M31" s="57" t="str">
        <f>IF(AND('Mapa final'!$AH$79="Alta",'Mapa final'!$AJ$79="Leve"),CONCATENATE("R2C",'Mapa final'!$R$79),"")</f>
        <v/>
      </c>
      <c r="N31" s="57" t="str">
        <f>IF(AND('Mapa final'!$AH$80="Alta",'Mapa final'!$AJ$80="Leve"),CONCATENATE("R2C",'Mapa final'!$R$80),"")</f>
        <v/>
      </c>
      <c r="O31" s="57" t="str">
        <f>IF(AND('Mapa final'!$AH$82="Alta",'Mapa final'!$AJ$82="Leve"),CONCATENATE("R2C",'Mapa final'!$R$82),"")</f>
        <v/>
      </c>
      <c r="P31" s="58" t="str">
        <f>IF(AND('Mapa final'!$AH$83="Alta",'Mapa final'!$AJ$83="Leve"),CONCATENATE("R2C",'Mapa final'!$R$83),"")</f>
        <v/>
      </c>
      <c r="Q31" s="56" t="str">
        <f>IF(AND('Mapa final'!$AH$77="Alta",'Mapa final'!$AJ$77="Menor"),CONCATENATE("R2C",'Mapa final'!$R$77),"")</f>
        <v/>
      </c>
      <c r="R31" s="57" t="str">
        <f>IF(AND('Mapa final'!$AH$78="Alta",'Mapa final'!$AJ$78="Menor"),CONCATENATE("R2C",'Mapa final'!$R$78),"")</f>
        <v/>
      </c>
      <c r="S31" s="57" t="str">
        <f>IF(AND('Mapa final'!$AH$79="Alta",'Mapa final'!$AJ$79="Menor"),CONCATENATE("R2C",'Mapa final'!$R$79),"")</f>
        <v/>
      </c>
      <c r="T31" s="57" t="str">
        <f>IF(AND('Mapa final'!$AH$80="Alta",'Mapa final'!$AJ$80="Menor"),CONCATENATE("R2C",'Mapa final'!$R$80),"")</f>
        <v/>
      </c>
      <c r="U31" s="57" t="str">
        <f>IF(AND('Mapa final'!$AH$82="Alta",'Mapa final'!$AJ$82="Menor"),CONCATENATE("R2C",'Mapa final'!$R$82),"")</f>
        <v/>
      </c>
      <c r="V31" s="58" t="str">
        <f>IF(AND('Mapa final'!$AH$83="Alta",'Mapa final'!$AJ$83="Menor"),CONCATENATE("R2C",'Mapa final'!$R$83),"")</f>
        <v/>
      </c>
      <c r="W31" s="44" t="str">
        <f>IF(AND('Mapa final'!$AH$77="Alta",'Mapa final'!$AJ$77="Moderado"),CONCATENATE("R2C",'Mapa final'!$R$77),"")</f>
        <v/>
      </c>
      <c r="X31" s="45" t="str">
        <f>IF(AND('Mapa final'!$AH$78="Alta",'Mapa final'!$AJ$78="Moderado"),CONCATENATE("R2C",'Mapa final'!$R$78),"")</f>
        <v/>
      </c>
      <c r="Y31" s="45" t="str">
        <f>IF(AND('Mapa final'!$AH$79="Alta",'Mapa final'!$AJ$79="Moderado"),CONCATENATE("R2C",'Mapa final'!$R$79),"")</f>
        <v/>
      </c>
      <c r="Z31" s="45" t="str">
        <f>IF(AND('Mapa final'!$AH$80="Alta",'Mapa final'!$AJ$80="Moderado"),CONCATENATE("R2C",'Mapa final'!$R$80),"")</f>
        <v/>
      </c>
      <c r="AA31" s="45" t="str">
        <f>IF(AND('Mapa final'!$AH$82="Alta",'Mapa final'!$AJ$82="Moderado"),CONCATENATE("R2C",'Mapa final'!$R$82),"")</f>
        <v/>
      </c>
      <c r="AB31" s="46" t="str">
        <f>IF(AND('Mapa final'!$AH$83="Alta",'Mapa final'!$AJ$83="Moderado"),CONCATENATE("R2C",'Mapa final'!$R$83),"")</f>
        <v/>
      </c>
      <c r="AC31" s="44" t="str">
        <f>IF(AND('Mapa final'!$AH$77="Alta",'Mapa final'!$AJ$77="Mayor"),CONCATENATE("R2C",'Mapa final'!$R$77),"")</f>
        <v/>
      </c>
      <c r="AD31" s="45" t="str">
        <f>IF(AND('Mapa final'!$AH$78="Alta",'Mapa final'!$AJ$78="Mayor"),CONCATENATE("R2C",'Mapa final'!$R$78),"")</f>
        <v/>
      </c>
      <c r="AE31" s="45" t="str">
        <f>IF(AND('Mapa final'!$AH$79="Alta",'Mapa final'!$AJ$79="Mayor"),CONCATENATE("R2C",'Mapa final'!$R$79),"")</f>
        <v/>
      </c>
      <c r="AF31" s="45" t="str">
        <f>IF(AND('Mapa final'!$AH$80="Alta",'Mapa final'!$AJ$80="Mayor"),CONCATENATE("R2C",'Mapa final'!$R$80),"")</f>
        <v/>
      </c>
      <c r="AG31" s="45" t="str">
        <f>IF(AND('Mapa final'!$AH$82="Alta",'Mapa final'!$AJ$82="Mayor"),CONCATENATE("R2C",'Mapa final'!$R$82),"")</f>
        <v/>
      </c>
      <c r="AH31" s="46" t="str">
        <f>IF(AND('Mapa final'!$AH$83="Alta",'Mapa final'!$AJ$83="Mayor"),CONCATENATE("R2C",'Mapa final'!$R$83),"")</f>
        <v/>
      </c>
      <c r="AI31" s="47" t="str">
        <f>IF(AND('Mapa final'!$AH$77="Alta",'Mapa final'!$AJ$77="Catastrófico"),CONCATENATE("R2C",'Mapa final'!$R$77),"")</f>
        <v/>
      </c>
      <c r="AJ31" s="48" t="str">
        <f>IF(AND('Mapa final'!$AH$78="Alta",'Mapa final'!$AJ$78="Catastrófico"),CONCATENATE("R2C",'Mapa final'!$R$78),"")</f>
        <v/>
      </c>
      <c r="AK31" s="48" t="str">
        <f>IF(AND('Mapa final'!$AH$79="Alta",'Mapa final'!$AJ$79="Catastrófico"),CONCATENATE("R2C",'Mapa final'!$R$79),"")</f>
        <v/>
      </c>
      <c r="AL31" s="48" t="str">
        <f>IF(AND('Mapa final'!$AH$80="Alta",'Mapa final'!$AJ$80="Catastrófico"),CONCATENATE("R2C",'Mapa final'!$R$80),"")</f>
        <v/>
      </c>
      <c r="AM31" s="48" t="str">
        <f>IF(AND('Mapa final'!$AH$82="Alta",'Mapa final'!$AJ$82="Catastrófico"),CONCATENATE("R2C",'Mapa final'!$R$82),"")</f>
        <v/>
      </c>
      <c r="AN31" s="49" t="str">
        <f>IF(AND('Mapa final'!$AH$83="Muy Alta",'Mapa final'!$AJ$83="Catastrófico"),CONCATENATE("R2C",'Mapa final'!$R$83),"")</f>
        <v/>
      </c>
      <c r="AO31" s="68"/>
      <c r="AP31" s="484"/>
      <c r="AQ31" s="485"/>
      <c r="AR31" s="485"/>
      <c r="AS31" s="485"/>
      <c r="AT31" s="485"/>
      <c r="AU31" s="486"/>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380"/>
      <c r="D32" s="380"/>
      <c r="E32" s="381"/>
      <c r="F32" s="469" t="s">
        <v>297</v>
      </c>
      <c r="G32" s="470"/>
      <c r="H32" s="470"/>
      <c r="I32" s="470"/>
      <c r="J32" s="471"/>
      <c r="K32" s="50"/>
      <c r="L32" s="51" t="str">
        <f>IF(AND('Mapa final'!$AH$16="Media",'Mapa final'!$AJ$16="Leve"),CONCATENATE("R2C",'Mapa final'!$R$15),"")</f>
        <v/>
      </c>
      <c r="M32" s="51" t="str">
        <f>IF(AND('Mapa final'!$AH$17="Media",'Mapa final'!$AJ$17="Leve"),CONCATENATE("R2C",'Mapa final'!$R$17),"")</f>
        <v/>
      </c>
      <c r="N32" s="51" t="e">
        <f>IF(AND('Mapa final'!#REF!="Media",'Mapa final'!#REF!="Leve"),CONCATENATE("R2C",'Mapa final'!#REF!),"")</f>
        <v>#REF!</v>
      </c>
      <c r="O32" s="51" t="str">
        <f>IF(AND('Mapa final'!$AH$19="Media",'Mapa final'!$AJ$19="Leve"),CONCATENATE("R2C",'Mapa final'!$R$19),"")</f>
        <v/>
      </c>
      <c r="P32" s="52" t="str">
        <f>IF(AND('Mapa final'!$AH$20="Media",'Mapa final'!$AJ$20="Leve"),CONCATENATE("R2C",'Mapa final'!$R$20),"")</f>
        <v/>
      </c>
      <c r="Q32" s="50"/>
      <c r="R32" s="51" t="str">
        <f>IF(AND('Mapa final'!$AH$16="Media",'Mapa final'!$AJ$16="Menore"),CONCATENATE("R2C",'Mapa final'!$R$15),"")</f>
        <v/>
      </c>
      <c r="S32" s="51" t="str">
        <f>IF(AND('Mapa final'!$AH$17="Media",'Mapa final'!$AJ$17="Menor"),CONCATENATE("R2C",'Mapa final'!$R$17),"")</f>
        <v/>
      </c>
      <c r="T32" s="51" t="e">
        <f>IF(AND('Mapa final'!#REF!="Media",'Mapa final'!#REF!="Menor"),CONCATENATE("R2C",'Mapa final'!#REF!),"")</f>
        <v>#REF!</v>
      </c>
      <c r="U32" s="51" t="str">
        <f>IF(AND('Mapa final'!$AH$19="Media",'Mapa final'!$AJ$19="Menor"),CONCATENATE("R2C",'Mapa final'!$R$19),"")</f>
        <v/>
      </c>
      <c r="V32" s="52" t="str">
        <f>IF(AND('Mapa final'!$AH$20="Media",'Mapa final'!$AJ$20="Menor"),CONCATENATE("R2C",'Mapa final'!$R$20),"")</f>
        <v/>
      </c>
      <c r="W32" s="50"/>
      <c r="X32" s="51" t="str">
        <f>IF(AND('Mapa final'!$AH$16="Media",'Mapa final'!$AJ$16="Moderado"),CONCATENATE("R2C",'Mapa final'!$R$15),"")</f>
        <v/>
      </c>
      <c r="Y32" s="51"/>
      <c r="Z32" s="51" t="e">
        <f>IF(AND('Mapa final'!#REF!="Media",'Mapa final'!#REF!="Moderado"),CONCATENATE("R2C",'Mapa final'!#REF!),"")</f>
        <v>#REF!</v>
      </c>
      <c r="AA32" s="51" t="str">
        <f>IF(AND('Mapa final'!$AH$19="Media",'Mapa final'!$AJ$19="Moderado"),CONCATENATE("R2C",'Mapa final'!$R$19),"")</f>
        <v/>
      </c>
      <c r="AB32" s="52" t="str">
        <f>IF(AND('Mapa final'!$AH$20="Media",'Mapa final'!$AJ$20="Moderado"),CONCATENATE("R2C",'Mapa final'!$R$20),"")</f>
        <v/>
      </c>
      <c r="AC32" s="32"/>
      <c r="AD32" s="33" t="str">
        <f>IF(AND('Mapa final'!$AH$16="Media",'Mapa final'!$AJ$16="Mayor"),CONCATENATE("R2C",'Mapa final'!$R$15),"")</f>
        <v/>
      </c>
      <c r="AE32" s="33" t="str">
        <f>IF(AND('Mapa final'!$AH$17="Media",'Mapa final'!$AJ$17="Mayor"),CONCATENATE("R2C",'Mapa final'!$R$17),"")</f>
        <v/>
      </c>
      <c r="AF32" s="33" t="e">
        <f>IF(AND('Mapa final'!#REF!="Media",'Mapa final'!#REF!="Mayor"),CONCATENATE("R2C",'Mapa final'!#REF!),"")</f>
        <v>#REF!</v>
      </c>
      <c r="AG32" s="33" t="str">
        <f>IF(AND('Mapa final'!$AH$19="Media",'Mapa final'!$AJ$19="Mayor"),CONCATENATE("R2C",'Mapa final'!$R$19),"")</f>
        <v/>
      </c>
      <c r="AH32" s="34" t="str">
        <f>IF(AND('Mapa final'!$AH$20="Media",'Mapa final'!$AJ$20="Mayor"),CONCATENATE("R2C",'Mapa final'!$R$20),"")</f>
        <v/>
      </c>
      <c r="AI32" s="35"/>
      <c r="AJ32" s="36" t="str">
        <f>IF(AND('Mapa final'!$AH$16="Media",'Mapa final'!$AJ$16="Catastrófico"),CONCATENATE("R2C",'Mapa final'!$R$15),"")</f>
        <v/>
      </c>
      <c r="AK32" s="36" t="str">
        <f>IF(AND('Mapa final'!$AH$17="Media",'Mapa final'!$AJ$17="Catastrófico"),CONCATENATE("R2C",'Mapa final'!$R$17),"")</f>
        <v/>
      </c>
      <c r="AL32" s="36" t="e">
        <f>IF(AND('Mapa final'!#REF!="Media",'Mapa final'!#REF!="Catastrófico"),CONCATENATE("R2C",'Mapa final'!#REF!),"")</f>
        <v>#REF!</v>
      </c>
      <c r="AM32" s="36" t="str">
        <f>IF(AND('Mapa final'!$AH$19="Media",'Mapa final'!$AJ$19="Catastrófico"),CONCATENATE("R2C",'Mapa final'!$R$19),"")</f>
        <v/>
      </c>
      <c r="AN32" s="37" t="str">
        <f>IF(AND('Mapa final'!$AH$20="Media",'Mapa final'!$AJ$20="Catastrófico"),CONCATENATE("R2C",'Mapa final'!$R$20),"")</f>
        <v/>
      </c>
      <c r="AO32" s="68"/>
      <c r="AP32" s="509" t="s">
        <v>177</v>
      </c>
      <c r="AQ32" s="510"/>
      <c r="AR32" s="510"/>
      <c r="AS32" s="510"/>
      <c r="AT32" s="510"/>
      <c r="AU32" s="511"/>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380"/>
      <c r="D33" s="380"/>
      <c r="E33" s="381"/>
      <c r="F33" s="487"/>
      <c r="G33" s="473"/>
      <c r="H33" s="473"/>
      <c r="I33" s="473"/>
      <c r="J33" s="474"/>
      <c r="K33" s="53" t="str">
        <f>IF(AND('Mapa final'!$AH$21="Media",'Mapa final'!$AJ$21="Leve"),CONCATENATE("R2C",'Mapa final'!$R$21),"")</f>
        <v/>
      </c>
      <c r="L33" s="54" t="str">
        <f>IF(AND('Mapa final'!$AH$22="Media",'Mapa final'!$AJ$22="Leve"),CONCATENATE("R2C",'Mapa final'!$R$22),"")</f>
        <v/>
      </c>
      <c r="M33" s="54" t="str">
        <f>IF(AND('Mapa final'!$AH$31="Media",'Mapa final'!$AJ$31="Leve"),CONCATENATE("R2C",'Mapa final'!$R$31),"")</f>
        <v/>
      </c>
      <c r="N33" s="54" t="str">
        <f>IF(AND('Mapa final'!$AH$32="Media",'Mapa final'!$AJ$32="Leve"),CONCATENATE("R2C",'Mapa final'!$R$32),"")</f>
        <v/>
      </c>
      <c r="O33" s="54" t="str">
        <f>IF(AND('Mapa final'!$AH$33="Media",'Mapa final'!$AJ$33="Leve"),CONCATENATE("R2C",'Mapa final'!$R$33),"")</f>
        <v/>
      </c>
      <c r="P33" s="55" t="str">
        <f>IF(AND('Mapa final'!$AH$34="Media",'Mapa final'!$AJ$34="Leve"),CONCATENATE("R2C",'Mapa final'!$R$34),"")</f>
        <v/>
      </c>
      <c r="Q33" s="53" t="str">
        <f>IF(AND('Mapa final'!$AH$21="Media",'Mapa final'!$AJ$21="Menor"),CONCATENATE("R2C",'Mapa final'!$R$21),"")</f>
        <v/>
      </c>
      <c r="R33" s="54" t="str">
        <f>IF(AND('Mapa final'!$AH$22="Media",'Mapa final'!$AJ$22="Menor"),CONCATENATE("R2C",'Mapa final'!$R$22),"")</f>
        <v/>
      </c>
      <c r="S33" s="54" t="str">
        <f>IF(AND('Mapa final'!$AH$31="Media",'Mapa final'!$AJ$31="Menor"),CONCATENATE("R2C",'Mapa final'!$R$31),"")</f>
        <v/>
      </c>
      <c r="T33" s="54" t="str">
        <f>IF(AND('Mapa final'!$AH$32="Media",'Mapa final'!$AJ$32="Menor"),CONCATENATE("R2C",'Mapa final'!$R$32),"")</f>
        <v/>
      </c>
      <c r="U33" s="54" t="str">
        <f>IF(AND('Mapa final'!$AH$33="Media",'Mapa final'!$AJ$33="Menor"),CONCATENATE("R2C",'Mapa final'!$R$33),"")</f>
        <v/>
      </c>
      <c r="V33" s="55" t="str">
        <f>IF(AND('Mapa final'!$AH$34="Media",'Mapa final'!$AJ$34="Menor"),CONCATENATE("R2C",'Mapa final'!$R$34),"")</f>
        <v/>
      </c>
      <c r="W33" s="53" t="str">
        <f>IF(AND('Mapa final'!$AH$21="Media",'Mapa final'!$AJ$21="Moderado"),CONCATENATE("R2C",'Mapa final'!$R$21),"")</f>
        <v/>
      </c>
      <c r="X33" s="54" t="str">
        <f>IF(AND('Mapa final'!$AH$22="Media",'Mapa final'!$AJ$22="Moderado"),CONCATENATE("R2C",'Mapa final'!$R$22),"")</f>
        <v/>
      </c>
      <c r="Y33" s="54" t="str">
        <f>IF(AND('Mapa final'!$AH$31="Media",'Mapa final'!$AJ$31="Moderado"),CONCATENATE("R2C",'Mapa final'!$R$31),"")</f>
        <v/>
      </c>
      <c r="Z33" s="54" t="str">
        <f>IF(AND('Mapa final'!$AH$32="Media",'Mapa final'!$AJ$32="Moderado"),CONCATENATE("R2C",'Mapa final'!$R$32),"")</f>
        <v/>
      </c>
      <c r="AA33" s="54" t="str">
        <f>IF(AND('Mapa final'!$AH$33="Media",'Mapa final'!$AJ$33="Moderado"),CONCATENATE("R2C",'Mapa final'!$R$33),"")</f>
        <v/>
      </c>
      <c r="AB33" s="55" t="str">
        <f>IF(AND('Mapa final'!$AH$34="Media",'Mapa final'!$AJ$34="Moderado"),CONCATENATE("R2C",'Mapa final'!$R$34),"")</f>
        <v/>
      </c>
      <c r="AC33" s="38" t="str">
        <f>IF(AND('Mapa final'!$AH$21="Media",'Mapa final'!$AJ$21="Mayor"),CONCATENATE("R2C",'Mapa final'!$R$21),"")</f>
        <v/>
      </c>
      <c r="AD33" s="39" t="str">
        <f>IF(AND('Mapa final'!$AH$22="Muy Alta",'Mapa final'!$AJ$22="Mayor"),CONCATENATE("R2C",'Mapa final'!$R$22),"")</f>
        <v/>
      </c>
      <c r="AE33" s="39" t="str">
        <f>IF(AND('Mapa final'!$AH$31="Media",'Mapa final'!$AJ$31="Mayor"),CONCATENATE("R2C",'Mapa final'!$R$31),"")</f>
        <v/>
      </c>
      <c r="AF33" s="39" t="str">
        <f>IF(AND('Mapa final'!$AH$32="Media",'Mapa final'!$AJ$32="Mayor"),CONCATENATE("R2C",'Mapa final'!$R$32),"")</f>
        <v/>
      </c>
      <c r="AG33" s="39" t="str">
        <f>IF(AND('Mapa final'!$AH$33="Media",'Mapa final'!$AJ$33="Mayor"),CONCATENATE("R2C",'Mapa final'!$R$33),"")</f>
        <v/>
      </c>
      <c r="AH33" s="40" t="str">
        <f>IF(AND('Mapa final'!$AH$34="Media",'Mapa final'!$AJ$34="Mayor"),CONCATENATE("R2C",'Mapa final'!$R$34),"")</f>
        <v/>
      </c>
      <c r="AI33" s="41" t="str">
        <f>IF(AND('Mapa final'!$AH$21="Media",'Mapa final'!$AJ$21="Catastrófico"),CONCATENATE("R2C",'Mapa final'!$R$21),"")</f>
        <v/>
      </c>
      <c r="AJ33" s="42" t="str">
        <f>IF(AND('Mapa final'!$AH$22="Media",'Mapa final'!$AJ$22="Catastrófico"),CONCATENATE("R2C",'Mapa final'!$R$22),"")</f>
        <v/>
      </c>
      <c r="AK33" s="42" t="str">
        <f>IF(AND('Mapa final'!$AH$31="Media",'Mapa final'!$AJ$31="Catastrófico"),CONCATENATE("R2C",'Mapa final'!$R$31),"")</f>
        <v/>
      </c>
      <c r="AL33" s="42" t="str">
        <f>IF(AND('Mapa final'!$AH$32="Media",'Mapa final'!$AJ$32="Catastrófico"),CONCATENATE("R2C",'Mapa final'!$R$32),"")</f>
        <v/>
      </c>
      <c r="AM33" s="42" t="str">
        <f>IF(AND('Mapa final'!$AH$33="Media",'Mapa final'!$AJ$33="Catastrófico"),CONCATENATE("R2C",'Mapa final'!$R$33),"")</f>
        <v/>
      </c>
      <c r="AN33" s="43" t="str">
        <f>IF(AND('Mapa final'!$AH$34="Media",'Mapa final'!$AJ$34="Catastrófico"),CONCATENATE("R2C",'Mapa final'!$R$34),"")</f>
        <v/>
      </c>
      <c r="AO33" s="68"/>
      <c r="AP33" s="512"/>
      <c r="AQ33" s="513"/>
      <c r="AR33" s="513"/>
      <c r="AS33" s="513"/>
      <c r="AT33" s="513"/>
      <c r="AU33" s="514"/>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380"/>
      <c r="D34" s="380"/>
      <c r="E34" s="381"/>
      <c r="F34" s="472"/>
      <c r="G34" s="473"/>
      <c r="H34" s="473"/>
      <c r="I34" s="473"/>
      <c r="J34" s="474"/>
      <c r="K34" s="53" t="str">
        <f>IF(AND('Mapa final'!$AH$35="Media",'Mapa final'!$AJ$35="Leve"),CONCATENATE("R2C",'Mapa final'!$R$35),"")</f>
        <v/>
      </c>
      <c r="L34" s="54" t="str">
        <f>IF(AND('Mapa final'!$AH$36="Media",'Mapa final'!$AJ$36="Leve"),CONCATENATE("R2C",'Mapa final'!$R$36),"")</f>
        <v/>
      </c>
      <c r="M34" s="54" t="str">
        <f>IF(AND('Mapa final'!$AH$37="Media",'Mapa final'!$AJ$37="Leve"),CONCATENATE("R2C",'Mapa final'!$R$37),"")</f>
        <v/>
      </c>
      <c r="N34" s="54" t="str">
        <f>IF(AND('Mapa final'!$AH$38="Media",'Mapa final'!$AJ$38="Leve"),CONCATENATE("R2C",'Mapa final'!$R$38),"")</f>
        <v/>
      </c>
      <c r="O34" s="54" t="str">
        <f>IF(AND('Mapa final'!$AH$39="Media",'Mapa final'!$AJ$39="Leve"),CONCATENATE("R2C",'Mapa final'!$R$39),"")</f>
        <v/>
      </c>
      <c r="P34" s="55" t="str">
        <f>IF(AND('Mapa final'!$AH$40="Media",'Mapa final'!$AJ$40="Leve"),CONCATENATE("R2C",'Mapa final'!$R$40),"")</f>
        <v/>
      </c>
      <c r="Q34" s="53" t="str">
        <f>IF(AND('Mapa final'!$AH$35="Media",'Mapa final'!$AJ$35="Menor"),CONCATENATE("R2C",'Mapa final'!$R$35),"")</f>
        <v/>
      </c>
      <c r="R34" s="54" t="str">
        <f>IF(AND('Mapa final'!$AH$36="Media",'Mapa final'!$AJ$36="Menor"),CONCATENATE("R2C",'Mapa final'!$R$36),"")</f>
        <v/>
      </c>
      <c r="S34" s="54" t="str">
        <f>IF(AND('Mapa final'!$AH$37="Media",'Mapa final'!$AJ$37="Menor"),CONCATENATE("R2C",'Mapa final'!$R$37),"")</f>
        <v/>
      </c>
      <c r="T34" s="54" t="str">
        <f>IF(AND('Mapa final'!$AH$38="Media",'Mapa final'!$AJ$38="Menor"),CONCATENATE("R2C",'Mapa final'!$R$38),"")</f>
        <v/>
      </c>
      <c r="U34" s="54" t="str">
        <f>IF(AND('Mapa final'!$AH$39="Media",'Mapa final'!$AJ$39="Menor"),CONCATENATE("R2C",'Mapa final'!$R$39),"")</f>
        <v/>
      </c>
      <c r="V34" s="55" t="str">
        <f>IF(AND('Mapa final'!$AH$40="Media",'Mapa final'!$AJ$40="Menor"),CONCATENATE("R2C",'Mapa final'!$R$40),"")</f>
        <v/>
      </c>
      <c r="W34" s="53" t="str">
        <f>IF(AND('Mapa final'!$AH$35="Media",'Mapa final'!$AJ$35="Moderado"),CONCATENATE("R2C",'Mapa final'!$R$35),"")</f>
        <v/>
      </c>
      <c r="X34" s="54" t="str">
        <f>IF(AND('Mapa final'!$AH$36="Media",'Mapa final'!$AJ$36="Moderado"),CONCATENATE("R2C",'Mapa final'!$R$36),"")</f>
        <v/>
      </c>
      <c r="Y34" s="54" t="str">
        <f>IF(AND('Mapa final'!$AH$37="Media",'Mapa final'!$AJ$37="Moderado"),CONCATENATE("R2C",'Mapa final'!$R$37),"")</f>
        <v/>
      </c>
      <c r="Z34" s="54" t="str">
        <f>IF(AND('Mapa final'!$AH$38="Media",'Mapa final'!$AJ$38="Moderado"),CONCATENATE("R2C",'Mapa final'!$R$38),"")</f>
        <v/>
      </c>
      <c r="AA34" s="54" t="str">
        <f>IF(AND('Mapa final'!$AH$39="Media",'Mapa final'!$AJ$39="Moderado"),CONCATENATE("R2C",'Mapa final'!$R$39),"")</f>
        <v/>
      </c>
      <c r="AB34" s="55" t="str">
        <f>IF(AND('Mapa final'!$AH$40="Media",'Mapa final'!$AJ$40="Moderado"),CONCATENATE("R2C",'Mapa final'!$R$40),"")</f>
        <v/>
      </c>
      <c r="AC34" s="38" t="str">
        <f>IF(AND('Mapa final'!$AH$35="Media",'Mapa final'!$AJ$35="Mayor"),CONCATENATE("R2C",'Mapa final'!$R$35),"")</f>
        <v/>
      </c>
      <c r="AD34" s="39" t="str">
        <f>IF(AND('Mapa final'!$AH$36="Media",'Mapa final'!$AJ$36="Mayor"),CONCATENATE("R2C",'Mapa final'!$R$36),"")</f>
        <v/>
      </c>
      <c r="AE34" s="39" t="str">
        <f>IF(AND('Mapa final'!$AH$37="Media",'Mapa final'!$AJ$37="Mayor"),CONCATENATE("R2C",'Mapa final'!$R$37),"")</f>
        <v/>
      </c>
      <c r="AF34" s="39" t="str">
        <f>IF(AND('Mapa final'!$AH$38="Media",'Mapa final'!$AJ$38="Mayor"),CONCATENATE("R2C",'Mapa final'!$R$38),"")</f>
        <v/>
      </c>
      <c r="AG34" s="39" t="str">
        <f>IF(AND('Mapa final'!$AH$39="Media",'Mapa final'!$AJ$39="Mayor"),CONCATENATE("R2C",'Mapa final'!$R$39),"")</f>
        <v/>
      </c>
      <c r="AH34" s="40" t="str">
        <f>IF(AND('Mapa final'!$AH$40="Media",'Mapa final'!$AJ$40="Mayor"),CONCATENATE("R2C",'Mapa final'!$R$40),"")</f>
        <v/>
      </c>
      <c r="AI34" s="41" t="str">
        <f>IF(AND('Mapa final'!$AH$35="Media",'Mapa final'!$AJ$35="Catastrófico"),CONCATENATE("R2C",'Mapa final'!$R$35),"")</f>
        <v/>
      </c>
      <c r="AJ34" s="42" t="str">
        <f>IF(AND('Mapa final'!$AH$36="Media",'Mapa final'!$AJ$36="Catastrófico"),CONCATENATE("R2C",'Mapa final'!$R$36),"")</f>
        <v/>
      </c>
      <c r="AK34" s="42" t="str">
        <f>IF(AND('Mapa final'!$AH$37="Media",'Mapa final'!$AJ$37="Catastrófico"),CONCATENATE("R2C",'Mapa final'!$R$37),"")</f>
        <v/>
      </c>
      <c r="AL34" s="42" t="str">
        <f>IF(AND('Mapa final'!$AH$38="Media",'Mapa final'!$AJ$38="Catastrófico"),CONCATENATE("R2C",'Mapa final'!$R$38),"")</f>
        <v/>
      </c>
      <c r="AM34" s="42" t="str">
        <f>IF(AND('Mapa final'!$AH$39="Media",'Mapa final'!$AJ$39="Catastrófico"),CONCATENATE("R2C",'Mapa final'!$R$39),"")</f>
        <v/>
      </c>
      <c r="AN34" s="43" t="str">
        <f>IF(AND('Mapa final'!$AH$40="Media",'Mapa final'!$AJ$40="Catastrófico"),CONCATENATE("R2C",'Mapa final'!$R$40),"")</f>
        <v/>
      </c>
      <c r="AO34" s="68"/>
      <c r="AP34" s="512"/>
      <c r="AQ34" s="513"/>
      <c r="AR34" s="513"/>
      <c r="AS34" s="513"/>
      <c r="AT34" s="513"/>
      <c r="AU34" s="514"/>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380"/>
      <c r="D35" s="380"/>
      <c r="E35" s="381"/>
      <c r="F35" s="472"/>
      <c r="G35" s="473"/>
      <c r="H35" s="473"/>
      <c r="I35" s="473"/>
      <c r="J35" s="474"/>
      <c r="K35" s="53" t="str">
        <f>IF(AND('Mapa final'!$AH$41="Media",'Mapa final'!$AJ$41="Leve"),CONCATENATE("R2C",'Mapa final'!$R$41),"")</f>
        <v/>
      </c>
      <c r="L35" s="54" t="str">
        <f>IF(AND('Mapa final'!$AH$42="Media",'Mapa final'!$AJ$42="Leve"),CONCATENATE("R2C",'Mapa final'!$R$42),"")</f>
        <v/>
      </c>
      <c r="M35" s="54" t="str">
        <f>IF(AND('Mapa final'!$AH$43="Media",'Mapa final'!$AJ$43="Leve"),CONCATENATE("R2C",'Mapa final'!$R$43),"")</f>
        <v/>
      </c>
      <c r="N35" s="54" t="str">
        <f>IF(AND('Mapa final'!$AH$44="Media",'Mapa final'!$AJ$44="Leve"),CONCATENATE("R2C",'Mapa final'!$R$44),"")</f>
        <v/>
      </c>
      <c r="O35" s="54" t="str">
        <f>IF(AND('Mapa final'!$AH$45="Media",'Mapa final'!$AJ$45="Leve"),CONCATENATE("R2C",'Mapa final'!$R$45),"")</f>
        <v/>
      </c>
      <c r="P35" s="55" t="str">
        <f>IF(AND('Mapa final'!$AH$46="Media",'Mapa final'!$AJ$46="Leve"),CONCATENATE("R2C",'Mapa final'!$R$46),"")</f>
        <v/>
      </c>
      <c r="Q35" s="53" t="str">
        <f>IF(AND('Mapa final'!$AH$41="Media",'Mapa final'!$AJ$41="Menor"),CONCATENATE("R2C",'Mapa final'!$R$41),"")</f>
        <v/>
      </c>
      <c r="R35" s="54" t="str">
        <f>IF(AND('Mapa final'!$AH$42="Media",'Mapa final'!$AJ$42="Menor"),CONCATENATE("R2C",'Mapa final'!$R$42),"")</f>
        <v/>
      </c>
      <c r="S35" s="54" t="str">
        <f>IF(AND('Mapa final'!$AH$43="Media",'Mapa final'!$AJ$43="Menor"),CONCATENATE("R2C",'Mapa final'!$R$43),"")</f>
        <v/>
      </c>
      <c r="T35" s="54" t="str">
        <f>IF(AND('Mapa final'!$AH$44="Media",'Mapa final'!$AJ$44="Menor"),CONCATENATE("R2C",'Mapa final'!$R$44),"")</f>
        <v/>
      </c>
      <c r="U35" s="54" t="str">
        <f>IF(AND('Mapa final'!$AH$45="Media",'Mapa final'!$AJ$45="LMenor"),CONCATENATE("R2C",'Mapa final'!$R$45),"")</f>
        <v/>
      </c>
      <c r="V35" s="55" t="str">
        <f>IF(AND('Mapa final'!$AH$46="Media",'Mapa final'!$AJ$46="Menor"),CONCATENATE("R2C",'Mapa final'!$R$46),"")</f>
        <v/>
      </c>
      <c r="W35" s="53" t="str">
        <f>IF(AND('Mapa final'!$AH$41="Media",'Mapa final'!$AJ$41="Moderado"),CONCATENATE("R2C",'Mapa final'!$R$41),"")</f>
        <v/>
      </c>
      <c r="X35" s="54" t="str">
        <f>IF(AND('Mapa final'!$AH$42="Media",'Mapa final'!$AJ$42="Moderado"),CONCATENATE("R2C",'Mapa final'!$R$42),"")</f>
        <v/>
      </c>
      <c r="Y35" s="54" t="str">
        <f>IF(AND('Mapa final'!$AH$43="Media",'Mapa final'!$AJ$43="Moderado"),CONCATENATE("R2C",'Mapa final'!$R$43),"")</f>
        <v/>
      </c>
      <c r="Z35" s="54" t="str">
        <f>IF(AND('Mapa final'!$AH$44="Media",'Mapa final'!$AJ$44="Moderado"),CONCATENATE("R2C",'Mapa final'!$R$44),"")</f>
        <v/>
      </c>
      <c r="AA35" s="54" t="str">
        <f>IF(AND('Mapa final'!$AH$45="Media",'Mapa final'!$AJ$45="Moderado"),CONCATENATE("R2C",'Mapa final'!$R$45),"")</f>
        <v/>
      </c>
      <c r="AB35" s="55" t="str">
        <f>IF(AND('Mapa final'!$AH$46="Media",'Mapa final'!$AJ$46="Moderado"),CONCATENATE("R2C",'Mapa final'!$R$46),"")</f>
        <v/>
      </c>
      <c r="AC35" s="38" t="str">
        <f>IF(AND('Mapa final'!$AH$41="Media",'Mapa final'!$AJ$41="Mayor"),CONCATENATE("R2C",'Mapa final'!$R$41),"")</f>
        <v/>
      </c>
      <c r="AD35" s="39" t="str">
        <f>IF(AND('Mapa final'!$AH$42="Media",'Mapa final'!$AJ$42="Mayor"),CONCATENATE("R2C",'Mapa final'!$R$42),"")</f>
        <v/>
      </c>
      <c r="AE35" s="39" t="str">
        <f>IF(AND('Mapa final'!$AH$43="Media",'Mapa final'!$AJ$43="Mayor"),CONCATENATE("R2C",'Mapa final'!$R$43),"")</f>
        <v/>
      </c>
      <c r="AF35" s="39" t="str">
        <f>IF(AND('Mapa final'!$AH$44="Media",'Mapa final'!$AJ$44="Mayor"),CONCATENATE("R2C",'Mapa final'!$R$44),"")</f>
        <v/>
      </c>
      <c r="AG35" s="39" t="str">
        <f>IF(AND('Mapa final'!$AH$45="Media",'Mapa final'!$AJ$45="Mayor"),CONCATENATE("R2C",'Mapa final'!$R$45),"")</f>
        <v/>
      </c>
      <c r="AH35" s="40" t="str">
        <f>IF(AND('Mapa final'!$AH$46="Media",'Mapa final'!$AJ$46="Mayor"),CONCATENATE("R2C",'Mapa final'!$R$46),"")</f>
        <v/>
      </c>
      <c r="AI35" s="41" t="str">
        <f>IF(AND('Mapa final'!$AH$41="Media",'Mapa final'!$AJ$41="Catastrófico"),CONCATENATE("R2C",'Mapa final'!$R$41),"")</f>
        <v/>
      </c>
      <c r="AJ35" s="42" t="str">
        <f>IF(AND('Mapa final'!$AH$42="Media",'Mapa final'!$AJ$42="Catastrófico"),CONCATENATE("R2C",'Mapa final'!$R$42),"")</f>
        <v/>
      </c>
      <c r="AK35" s="42" t="str">
        <f>IF(AND('Mapa final'!$AH$43="Media",'Mapa final'!$AJ$43="Catastrófico"),CONCATENATE("R2C",'Mapa final'!$R$43),"")</f>
        <v/>
      </c>
      <c r="AL35" s="42" t="str">
        <f>IF(AND('Mapa final'!$AH$44="Media",'Mapa final'!$AJ$44="Catastrófico"),CONCATENATE("R2C",'Mapa final'!$R$44),"")</f>
        <v/>
      </c>
      <c r="AM35" s="42" t="str">
        <f>IF(AND('Mapa final'!$AH$45="Media",'Mapa final'!$AJ$45="LCatastrófico"),CONCATENATE("R2C",'Mapa final'!$R$45),"")</f>
        <v/>
      </c>
      <c r="AN35" s="43" t="str">
        <f>IF(AND('Mapa final'!$AH$46="Media",'Mapa final'!$AJ$46="Catastrófico"),CONCATENATE("R2C",'Mapa final'!$R$46),"")</f>
        <v/>
      </c>
      <c r="AO35" s="68"/>
      <c r="AP35" s="512"/>
      <c r="AQ35" s="513"/>
      <c r="AR35" s="513"/>
      <c r="AS35" s="513"/>
      <c r="AT35" s="513"/>
      <c r="AU35" s="514"/>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380"/>
      <c r="D36" s="380"/>
      <c r="E36" s="381"/>
      <c r="F36" s="472"/>
      <c r="G36" s="473"/>
      <c r="H36" s="473"/>
      <c r="I36" s="473"/>
      <c r="J36" s="474"/>
      <c r="K36" s="53" t="str">
        <f>IF(AND('Mapa final'!$AH$47="Media",'Mapa final'!$AJ$47="Leve"),CONCATENATE("R2C",'Mapa final'!$R$47),"")</f>
        <v/>
      </c>
      <c r="L36" s="54" t="str">
        <f>IF(AND('Mapa final'!$AH$48="Media",'Mapa final'!$AJ$48="Leve"),CONCATENATE("R2C",'Mapa final'!$R$48),"")</f>
        <v/>
      </c>
      <c r="M36" s="54" t="str">
        <f>IF(AND('Mapa final'!$AH$49="Media",'Mapa final'!$AJ$49="Leve"),CONCATENATE("R2C",'Mapa final'!$R$49),"")</f>
        <v/>
      </c>
      <c r="N36" s="54" t="str">
        <f>IF(AND('Mapa final'!$AH$50="Media",'Mapa final'!$AJ$50="Leve"),CONCATENATE("R2C",'Mapa final'!$R$50),"")</f>
        <v/>
      </c>
      <c r="O36" s="54" t="str">
        <f>IF(AND('Mapa final'!$AH$51="Media",'Mapa final'!$AJ$51="Leve"),CONCATENATE("R2C",'Mapa final'!$R$51),"")</f>
        <v/>
      </c>
      <c r="P36" s="55" t="str">
        <f>IF(AND('Mapa final'!$AH$52="Media",'Mapa final'!$AJ$52="Leve"),CONCATENATE("R2C",'Mapa final'!$R$52),"")</f>
        <v/>
      </c>
      <c r="Q36" s="53" t="str">
        <f>IF(AND('Mapa final'!$AH$47="Media",'Mapa final'!$AJ$47="Menor"),CONCATENATE("R2C",'Mapa final'!$R$47),"")</f>
        <v/>
      </c>
      <c r="R36" s="54" t="str">
        <f>IF(AND('Mapa final'!$AH$48="Media",'Mapa final'!$AJ$48="Menor"),CONCATENATE("R2C",'Mapa final'!$R$48),"")</f>
        <v/>
      </c>
      <c r="S36" s="54" t="str">
        <f>IF(AND('Mapa final'!$AH$49="Media",'Mapa final'!$AJ$49="Menor"),CONCATENATE("R2C",'Mapa final'!$R$49),"")</f>
        <v/>
      </c>
      <c r="T36" s="54" t="str">
        <f>IF(AND('Mapa final'!$AH$50="Media",'Mapa final'!$AJ$50="Menor"),CONCATENATE("R2C",'Mapa final'!$R$50),"")</f>
        <v/>
      </c>
      <c r="U36" s="54" t="str">
        <f>IF(AND('Mapa final'!$AH$51="Media",'Mapa final'!$AJ$51="Menor"),CONCATENATE("R2C",'Mapa final'!$R$51),"")</f>
        <v/>
      </c>
      <c r="V36" s="55" t="str">
        <f>IF(AND('Mapa final'!$AH$52="Media",'Mapa final'!$AJ$52="Menor"),CONCATENATE("R2C",'Mapa final'!$R$52),"")</f>
        <v/>
      </c>
      <c r="W36" s="53" t="str">
        <f>IF(AND('Mapa final'!$AH$47="Media",'Mapa final'!$AJ$47="Moderado"),CONCATENATE("R2C",'Mapa final'!$R$47),"")</f>
        <v/>
      </c>
      <c r="X36" s="54" t="str">
        <f>IF(AND('Mapa final'!$AH$48="Media",'Mapa final'!$AJ$48="Moderado"),CONCATENATE("R2C",'Mapa final'!$R$48),"")</f>
        <v/>
      </c>
      <c r="Y36" s="54" t="str">
        <f>IF(AND('Mapa final'!$AH$49="Media",'Mapa final'!$AJ$49="Moderado"),CONCATENATE("R2C",'Mapa final'!$R$49),"")</f>
        <v/>
      </c>
      <c r="Z36" s="54" t="str">
        <f>IF(AND('Mapa final'!$AH$50="Media",'Mapa final'!$AJ$50="Moderado"),CONCATENATE("R2C",'Mapa final'!$R$50),"")</f>
        <v/>
      </c>
      <c r="AA36" s="54" t="str">
        <f>IF(AND('Mapa final'!$AH$51="Media",'Mapa final'!$AJ$51="Moderado"),CONCATENATE("R2C",'Mapa final'!$R$51),"")</f>
        <v/>
      </c>
      <c r="AB36" s="55" t="str">
        <f>IF(AND('Mapa final'!$AH$52="Media",'Mapa final'!$AJ$52="Moderado"),CONCATENATE("R2C",'Mapa final'!$R$52),"")</f>
        <v/>
      </c>
      <c r="AC36" s="38" t="str">
        <f>IF(AND('Mapa final'!$AH$47="Media",'Mapa final'!$AJ$47="Mayor"),CONCATENATE("R2C",'Mapa final'!$R$47),"")</f>
        <v/>
      </c>
      <c r="AD36" s="39" t="str">
        <f>IF(AND('Mapa final'!$AH$48="Media",'Mapa final'!$AJ$48="Mayor"),CONCATENATE("R2C",'Mapa final'!$R$48),"")</f>
        <v/>
      </c>
      <c r="AE36" s="39" t="str">
        <f>IF(AND('Mapa final'!$AH$49="Media",'Mapa final'!$AJ$49="Mayor"),CONCATENATE("R2C",'Mapa final'!$R$49),"")</f>
        <v/>
      </c>
      <c r="AF36" s="39" t="str">
        <f>IF(AND('Mapa final'!$AH$50="Media",'Mapa final'!$AJ$50="Mayor"),CONCATENATE("R2C",'Mapa final'!$R$50),"")</f>
        <v/>
      </c>
      <c r="AG36" s="39" t="str">
        <f>IF(AND('Mapa final'!$AH$51="Media",'Mapa final'!$AJ$51="Mayor"),CONCATENATE("R2C",'Mapa final'!$R$51),"")</f>
        <v/>
      </c>
      <c r="AH36" s="40" t="str">
        <f>IF(AND('Mapa final'!$AH$52="Media",'Mapa final'!$AJ$52="Mayor"),CONCATENATE("R2C",'Mapa final'!$R$52),"")</f>
        <v/>
      </c>
      <c r="AI36" s="41" t="str">
        <f>IF(AND('Mapa final'!$AH$47="Media",'Mapa final'!$AJ$47="Catastrófico"),CONCATENATE("R2C",'Mapa final'!$R$47),"")</f>
        <v/>
      </c>
      <c r="AJ36" s="42" t="str">
        <f>IF(AND('Mapa final'!$AH$48="Media",'Mapa final'!$AJ$48="Catastrófico"),CONCATENATE("R2C",'Mapa final'!$R$48),"")</f>
        <v/>
      </c>
      <c r="AK36" s="42" t="str">
        <f>IF(AND('Mapa final'!$AH$49="Media",'Mapa final'!$AJ$49="Catastrófico"),CONCATENATE("R2C",'Mapa final'!$R$49),"")</f>
        <v/>
      </c>
      <c r="AL36" s="42" t="str">
        <f>IF(AND('Mapa final'!$AH$50="Media",'Mapa final'!$AJ$50="Catastrófico"),CONCATENATE("R2C",'Mapa final'!$R$50),"")</f>
        <v/>
      </c>
      <c r="AM36" s="42" t="str">
        <f>IF(AND('Mapa final'!$AH$51="Media",'Mapa final'!$AJ$51="Catastrófico"),CONCATENATE("R2C",'Mapa final'!$R$51),"")</f>
        <v/>
      </c>
      <c r="AN36" s="43" t="str">
        <f>IF(AND('Mapa final'!$AH$52="Media",'Mapa final'!$AJ$52="Catastrófico"),CONCATENATE("R2C",'Mapa final'!$R$52),"")</f>
        <v/>
      </c>
      <c r="AO36" s="68"/>
      <c r="AP36" s="512"/>
      <c r="AQ36" s="513"/>
      <c r="AR36" s="513"/>
      <c r="AS36" s="513"/>
      <c r="AT36" s="513"/>
      <c r="AU36" s="514"/>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380"/>
      <c r="D37" s="380"/>
      <c r="E37" s="381"/>
      <c r="F37" s="472"/>
      <c r="G37" s="473"/>
      <c r="H37" s="473"/>
      <c r="I37" s="473"/>
      <c r="J37" s="474"/>
      <c r="K37" s="53" t="str">
        <f>IF(AND('Mapa final'!$AH$53="Media",'Mapa final'!$AJ$53="Leve"),CONCATENATE("R2C",'Mapa final'!$R$53),"")</f>
        <v/>
      </c>
      <c r="L37" s="54" t="str">
        <f>IF(AND('Mapa final'!$AH$54="Media",'Mapa final'!$AJ$54="Leve"),CONCATENATE("R2C",'Mapa final'!$R$54),"")</f>
        <v/>
      </c>
      <c r="M37" s="54" t="str">
        <f>IF(AND('Mapa final'!$AH$55="Media",'Mapa final'!$AJ$55="Leve"),CONCATENATE("R2C",'Mapa final'!$R$55),"")</f>
        <v/>
      </c>
      <c r="N37" s="54" t="str">
        <f>IF(AND('Mapa final'!$AH$56="Media",'Mapa final'!$AJ$56="Leve"),CONCATENATE("R2C",'Mapa final'!$R$56),"")</f>
        <v/>
      </c>
      <c r="O37" s="54" t="str">
        <f>IF(AND('Mapa final'!$AH$57="Media",'Mapa final'!$AJ$57="Leve"),CONCATENATE("R2C",'Mapa final'!$R$57),"")</f>
        <v/>
      </c>
      <c r="P37" s="55" t="str">
        <f>IF(AND('Mapa final'!$AH$68="Media",'Mapa final'!$AJ$58="Leve"),CONCATENATE("R2C",'Mapa final'!$R$58),"")</f>
        <v/>
      </c>
      <c r="Q37" s="53" t="str">
        <f>IF(AND('Mapa final'!$AH$53="Media",'Mapa final'!$AJ$53="Menor"),CONCATENATE("R2C",'Mapa final'!$R$53),"")</f>
        <v/>
      </c>
      <c r="R37" s="54" t="str">
        <f>IF(AND('Mapa final'!$AH$54="Media",'Mapa final'!$AJ$54="Menor"),CONCATENATE("R2C",'Mapa final'!$R$54),"")</f>
        <v/>
      </c>
      <c r="S37" s="54" t="str">
        <f>IF(AND('Mapa final'!$AH$55="Media",'Mapa final'!$AJ$55="Menor"),CONCATENATE("R2C",'Mapa final'!$R$55),"")</f>
        <v/>
      </c>
      <c r="T37" s="54" t="str">
        <f>IF(AND('Mapa final'!$AH$56="Media",'Mapa final'!$AJ$56="Menor"),CONCATENATE("R2C",'Mapa final'!$R$56),"")</f>
        <v/>
      </c>
      <c r="U37" s="54" t="str">
        <f>IF(AND('Mapa final'!$AH$57="Media",'Mapa final'!$AJ$57="Menor"),CONCATENATE("R2C",'Mapa final'!$R$57),"")</f>
        <v/>
      </c>
      <c r="V37" s="55" t="str">
        <f>IF(AND('Mapa final'!$AH$68="Media",'Mapa final'!$AJ$58="Menor"),CONCATENATE("R2C",'Mapa final'!$R$58),"")</f>
        <v/>
      </c>
      <c r="W37" s="53" t="str">
        <f>IF(AND('Mapa final'!$AH$53="Media",'Mapa final'!$AJ$53="Moderado"),CONCATENATE("R2C",'Mapa final'!$R$53),"")</f>
        <v/>
      </c>
      <c r="X37" s="54" t="str">
        <f>IF(AND('Mapa final'!$AH$54="Media",'Mapa final'!$AJ$54="Moderado"),CONCATENATE("R2C",'Mapa final'!$R$54),"")</f>
        <v/>
      </c>
      <c r="Y37" s="54" t="str">
        <f>IF(AND('Mapa final'!$AH$55="Media",'Mapa final'!$AJ$55="Moderado"),CONCATENATE("R2C",'Mapa final'!$R$55),"")</f>
        <v/>
      </c>
      <c r="Z37" s="54" t="str">
        <f>IF(AND('Mapa final'!$AH$56="Media",'Mapa final'!$AJ$56="Moderado"),CONCATENATE("R2C",'Mapa final'!$R$56),"")</f>
        <v/>
      </c>
      <c r="AA37" s="54" t="str">
        <f>IF(AND('Mapa final'!$AH$57="Media",'Mapa final'!$AJ$57="Moderado"),CONCATENATE("R2C",'Mapa final'!$R$57),"")</f>
        <v/>
      </c>
      <c r="AB37" s="55" t="str">
        <f>IF(AND('Mapa final'!$AH$68="Media",'Mapa final'!$AJ$58="Moderado"),CONCATENATE("R2C",'Mapa final'!$R$58),"")</f>
        <v/>
      </c>
      <c r="AC37" s="38" t="str">
        <f>IF(AND('Mapa final'!$AH$53="Media",'Mapa final'!$AJ$53="Mayor"),CONCATENATE("R2C",'Mapa final'!$R$53),"")</f>
        <v/>
      </c>
      <c r="AD37" s="39" t="str">
        <f>IF(AND('Mapa final'!$AH$54="Media",'Mapa final'!$AJ$54="Mayor"),CONCATENATE("R2C",'Mapa final'!$R$54),"")</f>
        <v/>
      </c>
      <c r="AE37" s="39" t="str">
        <f>IF(AND('Mapa final'!$AH$55="Media",'Mapa final'!$AJ$55="Mayor"),CONCATENATE("R2C",'Mapa final'!$R$55),"")</f>
        <v/>
      </c>
      <c r="AF37" s="39" t="str">
        <f>IF(AND('Mapa final'!$AH$56="Media",'Mapa final'!$AJ$56="Mayor"),CONCATENATE("R2C",'Mapa final'!$R$56),"")</f>
        <v/>
      </c>
      <c r="AG37" s="39" t="str">
        <f>IF(AND('Mapa final'!$AH$57="Media",'Mapa final'!$AJ$57="Mayor"),CONCATENATE("R2C",'Mapa final'!$R$57),"")</f>
        <v/>
      </c>
      <c r="AH37" s="40" t="str">
        <f>IF(AND('Mapa final'!$AH$68="Media",'Mapa final'!$AJ$58="Mayor"),CONCATENATE("R2C",'Mapa final'!$R$58),"")</f>
        <v/>
      </c>
      <c r="AI37" s="41" t="str">
        <f>IF(AND('Mapa final'!$AH$53="Media",'Mapa final'!$AJ$53="Catastrófico"),CONCATENATE("R2C",'Mapa final'!$R$53),"")</f>
        <v/>
      </c>
      <c r="AJ37" s="42" t="str">
        <f>IF(AND('Mapa final'!$AH$54="Media",'Mapa final'!$AJ$54="Catastrófico"),CONCATENATE("R2C",'Mapa final'!$R$54),"")</f>
        <v/>
      </c>
      <c r="AK37" s="42" t="str">
        <f>IF(AND('Mapa final'!$AH$55="Media",'Mapa final'!$AJ$55="Catastrófico"),CONCATENATE("R2C",'Mapa final'!$R$55),"")</f>
        <v/>
      </c>
      <c r="AL37" s="42" t="str">
        <f>IF(AND('Mapa final'!$AH$56="Media",'Mapa final'!$AJ$56="Catastrófico"),CONCATENATE("R2C",'Mapa final'!$R$56),"")</f>
        <v/>
      </c>
      <c r="AM37" s="42" t="str">
        <f>IF(AND('Mapa final'!$AH$57="Media",'Mapa final'!$AJ$57="Catastrófico"),CONCATENATE("R2C",'Mapa final'!$R$57),"")</f>
        <v/>
      </c>
      <c r="AN37" s="43" t="str">
        <f>IF(AND('Mapa final'!$AH$68="Media",'Mapa final'!$AJ$58="Catastrófico"),CONCATENATE("R2C",'Mapa final'!$R$58),"")</f>
        <v/>
      </c>
      <c r="AO37" s="68"/>
      <c r="AP37" s="512"/>
      <c r="AQ37" s="513"/>
      <c r="AR37" s="513"/>
      <c r="AS37" s="513"/>
      <c r="AT37" s="513"/>
      <c r="AU37" s="514"/>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380"/>
      <c r="D38" s="380"/>
      <c r="E38" s="381"/>
      <c r="F38" s="472"/>
      <c r="G38" s="473"/>
      <c r="H38" s="473"/>
      <c r="I38" s="473"/>
      <c r="J38" s="474"/>
      <c r="K38" s="53" t="str">
        <f>IF(AND('Mapa final'!$AH$59="Media",'Mapa final'!$AJ$59="Leve"),CONCATENATE("R2C",'Mapa final'!$R$59),"")</f>
        <v/>
      </c>
      <c r="L38" s="54" t="str">
        <f>IF(AND('Mapa final'!$AH$60="Media",'Mapa final'!$AJ$60="Leve"),CONCATENATE("R2C",'Mapa final'!$R$60),"")</f>
        <v/>
      </c>
      <c r="M38" s="54" t="str">
        <f>IF(AND('Mapa final'!$AH$61="Media",'Mapa final'!$AJ$61="Leve"),CONCATENATE("R2C",'Mapa final'!$R$61),"")</f>
        <v/>
      </c>
      <c r="N38" s="54" t="str">
        <f>IF(AND('Mapa final'!$AH$62="Media",'Mapa final'!$AJ$62="Leve"),CONCATENATE("R2C",'Mapa final'!$R$62),"")</f>
        <v/>
      </c>
      <c r="O38" s="54" t="str">
        <f>IF(AND('Mapa final'!$AH$63="Media",'Mapa final'!$AJ$63="Leve"),CONCATENATE("R2C",'Mapa final'!$R$63),"")</f>
        <v/>
      </c>
      <c r="P38" s="55" t="str">
        <f>IF(AND('Mapa final'!$AH$64="Media",'Mapa final'!$AJ$64="Leve"),CONCATENATE("R2C",'Mapa final'!$R$64),"")</f>
        <v/>
      </c>
      <c r="Q38" s="53" t="str">
        <f>IF(AND('Mapa final'!$AH$59="Media",'Mapa final'!$AJ$59="Menor"),CONCATENATE("R2C",'Mapa final'!$R$59),"")</f>
        <v/>
      </c>
      <c r="R38" s="54" t="str">
        <f>IF(AND('Mapa final'!$AH$60="Media",'Mapa final'!$AJ$60="Menor"),CONCATENATE("R2C",'Mapa final'!$R$60),"")</f>
        <v/>
      </c>
      <c r="S38" s="54" t="str">
        <f>IF(AND('Mapa final'!$AH$61="Media",'Mapa final'!$AJ$61="Menor"),CONCATENATE("R2C",'Mapa final'!$R$61),"")</f>
        <v/>
      </c>
      <c r="T38" s="54" t="str">
        <f>IF(AND('Mapa final'!$AH$62="Media",'Mapa final'!$AJ$62="Menor"),CONCATENATE("R2C",'Mapa final'!$R$62),"")</f>
        <v/>
      </c>
      <c r="U38" s="54" t="str">
        <f>IF(AND('Mapa final'!$AH$63="Media",'Mapa final'!$AJ$63="Menor"),CONCATENATE("R2C",'Mapa final'!$R$63),"")</f>
        <v/>
      </c>
      <c r="V38" s="55" t="str">
        <f>IF(AND('Mapa final'!$AH$64="Media",'Mapa final'!$AJ$64="Menor"),CONCATENATE("R2C",'Mapa final'!$R$64),"")</f>
        <v/>
      </c>
      <c r="W38" s="53" t="str">
        <f>IF(AND('Mapa final'!$AH$59="Media",'Mapa final'!$AJ$59="Moderado"),CONCATENATE("R2C",'Mapa final'!$R$59),"")</f>
        <v/>
      </c>
      <c r="X38" s="54" t="str">
        <f>IF(AND('Mapa final'!$AH$60="Media",'Mapa final'!$AJ$60="Moderado"),CONCATENATE("R2C",'Mapa final'!$R$60),"")</f>
        <v/>
      </c>
      <c r="Y38" s="54" t="str">
        <f>IF(AND('Mapa final'!$AH$61="Media",'Mapa final'!$AJ$61="Moderado"),CONCATENATE("R2C",'Mapa final'!$R$61),"")</f>
        <v/>
      </c>
      <c r="Z38" s="54" t="str">
        <f>IF(AND('Mapa final'!$AH$62="Media",'Mapa final'!$AJ$62="Moderado"),CONCATENATE("R2C",'Mapa final'!$R$62),"")</f>
        <v/>
      </c>
      <c r="AA38" s="54" t="str">
        <f>IF(AND('Mapa final'!$AH$63="Media",'Mapa final'!$AJ$63="Moderado"),CONCATENATE("R2C",'Mapa final'!$R$63),"")</f>
        <v/>
      </c>
      <c r="AB38" s="55" t="str">
        <f>IF(AND('Mapa final'!$AH$64="Media",'Mapa final'!$AJ$64="Moderado"),CONCATENATE("R2C",'Mapa final'!$R$64),"")</f>
        <v/>
      </c>
      <c r="AC38" s="38" t="str">
        <f>IF(AND('Mapa final'!$AH$59="Media",'Mapa final'!$AJ$59="Mayor"),CONCATENATE("R2C",'Mapa final'!$R$59),"")</f>
        <v/>
      </c>
      <c r="AD38" s="39" t="str">
        <f>IF(AND('Mapa final'!$AH$60="Media",'Mapa final'!$AJ$60="Mayor"),CONCATENATE("R2C",'Mapa final'!$R$60),"")</f>
        <v/>
      </c>
      <c r="AE38" s="39" t="str">
        <f>IF(AND('Mapa final'!$AH$61="Media",'Mapa final'!$AJ$61="Mayor"),CONCATENATE("R2C",'Mapa final'!$R$61),"")</f>
        <v/>
      </c>
      <c r="AF38" s="39" t="str">
        <f>IF(AND('Mapa final'!$AH$62="Media",'Mapa final'!$AJ$62="Mayor"),CONCATENATE("R2C",'Mapa final'!$R$62),"")</f>
        <v/>
      </c>
      <c r="AG38" s="39" t="str">
        <f>IF(AND('Mapa final'!$AH$63="Media",'Mapa final'!$AJ$63="Mayor"),CONCATENATE("R2C",'Mapa final'!$R$63),"")</f>
        <v/>
      </c>
      <c r="AH38" s="40" t="str">
        <f>IF(AND('Mapa final'!$AH$64="Media",'Mapa final'!$AJ$64="Mayor"),CONCATENATE("R2C",'Mapa final'!$R$64),"")</f>
        <v/>
      </c>
      <c r="AI38" s="41" t="str">
        <f>IF(AND('Mapa final'!$AH$59="Media",'Mapa final'!$AJ$59="Catastrófico"),CONCATENATE("R2C",'Mapa final'!$R$59),"")</f>
        <v/>
      </c>
      <c r="AJ38" s="42" t="str">
        <f>IF(AND('Mapa final'!$AH$60="Media",'Mapa final'!$AJ$60="Catastrófico"),CONCATENATE("R2C",'Mapa final'!$R$60),"")</f>
        <v/>
      </c>
      <c r="AK38" s="42" t="str">
        <f>IF(AND('Mapa final'!$AH$61="Media",'Mapa final'!$AJ$61="Catastrófico"),CONCATENATE("R2C",'Mapa final'!$R$61),"")</f>
        <v/>
      </c>
      <c r="AL38" s="42" t="str">
        <f>IF(AND('Mapa final'!$AH$62="Media",'Mapa final'!$AJ$62="Catastrófico"),CONCATENATE("R2C",'Mapa final'!$R$62),"")</f>
        <v/>
      </c>
      <c r="AM38" s="42" t="str">
        <f>IF(AND('Mapa final'!$AH$63="Media",'Mapa final'!$AJ$63="Catastrófico"),CONCATENATE("R2C",'Mapa final'!$R$63),"")</f>
        <v/>
      </c>
      <c r="AN38" s="43" t="str">
        <f>IF(AND('Mapa final'!$AH$64="Media",'Mapa final'!$AJ$64="Catastrófico"),CONCATENATE("R2C",'Mapa final'!$R$64),"")</f>
        <v/>
      </c>
      <c r="AO38" s="68"/>
      <c r="AP38" s="512"/>
      <c r="AQ38" s="513"/>
      <c r="AR38" s="513"/>
      <c r="AS38" s="513"/>
      <c r="AT38" s="513"/>
      <c r="AU38" s="514"/>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380"/>
      <c r="D39" s="380"/>
      <c r="E39" s="381"/>
      <c r="F39" s="472"/>
      <c r="G39" s="473"/>
      <c r="H39" s="473"/>
      <c r="I39" s="473"/>
      <c r="J39" s="474"/>
      <c r="K39" s="53" t="str">
        <f>IF(AND('Mapa final'!$AH$65="Media",'Mapa final'!$AJ$65="Leve"),CONCATENATE("R2C",'Mapa final'!$R$65),"")</f>
        <v/>
      </c>
      <c r="L39" s="54" t="str">
        <f>IF(AND('Mapa final'!$AH$66="Media",'Mapa final'!$AJ$66="Leve"),CONCATENATE("R2C",'Mapa final'!$R$66),"")</f>
        <v/>
      </c>
      <c r="M39" s="54" t="str">
        <f>IF(AND('Mapa final'!$AH$67="Media",'Mapa final'!$AJ$67="Leve"),CONCATENATE("R2C",'Mapa final'!$R$67),"")</f>
        <v/>
      </c>
      <c r="N39" s="54" t="str">
        <f>IF(AND('Mapa final'!$AH$68="Media",'Mapa final'!$AJ$68="Leve"),CONCATENATE("R2C",'Mapa final'!$R$68),"")</f>
        <v/>
      </c>
      <c r="O39" s="54" t="str">
        <f>IF(AND('Mapa final'!$AH$69="Media",'Mapa final'!$AJ$69="Leve"),CONCATENATE("R2C",'Mapa final'!$R$69),"")</f>
        <v/>
      </c>
      <c r="P39" s="55" t="str">
        <f>IF(AND('Mapa final'!$AH$70="Media",'Mapa final'!$AJ$70="Leve"),CONCATENATE("R2C",'Mapa final'!$R$70),"")</f>
        <v/>
      </c>
      <c r="Q39" s="53" t="str">
        <f>IF(AND('Mapa final'!$AH$65="Media",'Mapa final'!$AJ$65="Menor"),CONCATENATE("R2C",'Mapa final'!$R$65),"")</f>
        <v/>
      </c>
      <c r="R39" s="54" t="str">
        <f>IF(AND('Mapa final'!$AH$66="Media",'Mapa final'!$AJ$66="Menor"),CONCATENATE("R2C",'Mapa final'!$R$66),"")</f>
        <v/>
      </c>
      <c r="S39" s="54" t="str">
        <f>IF(AND('Mapa final'!$AH$67="Media",'Mapa final'!$AJ$67="Menor"),CONCATENATE("R2C",'Mapa final'!$R$67),"")</f>
        <v/>
      </c>
      <c r="T39" s="54" t="str">
        <f>IF(AND('Mapa final'!$AH$68="Media",'Mapa final'!$AJ$68="Menor"),CONCATENATE("R2C",'Mapa final'!$R$68),"")</f>
        <v/>
      </c>
      <c r="U39" s="54" t="str">
        <f>IF(AND('Mapa final'!$AH$69="Media",'Mapa final'!$AJ$69="Menor"),CONCATENATE("R2C",'Mapa final'!$R$69),"")</f>
        <v/>
      </c>
      <c r="V39" s="55" t="str">
        <f>IF(AND('Mapa final'!$AH$70="Media",'Mapa final'!$AJ$70="Menor"),CONCATENATE("R2C",'Mapa final'!$R$70),"")</f>
        <v/>
      </c>
      <c r="W39" s="53" t="str">
        <f>IF(AND('Mapa final'!$AH$65="Media",'Mapa final'!$AJ$65="Moderado"),CONCATENATE("R2C",'Mapa final'!$R$65),"")</f>
        <v/>
      </c>
      <c r="X39" s="54" t="str">
        <f>IF(AND('Mapa final'!$AH$66="Media",'Mapa final'!$AJ$66="Moderado"),CONCATENATE("R2C",'Mapa final'!$R$66),"")</f>
        <v/>
      </c>
      <c r="Y39" s="54" t="str">
        <f>IF(AND('Mapa final'!$AH$67="Media",'Mapa final'!$AJ$67="Moderado"),CONCATENATE("R2C",'Mapa final'!$R$67),"")</f>
        <v/>
      </c>
      <c r="Z39" s="54" t="str">
        <f>IF(AND('Mapa final'!$AH$68="Media",'Mapa final'!$AJ$68="Moderado"),CONCATENATE("R2C",'Mapa final'!$R$68),"")</f>
        <v/>
      </c>
      <c r="AA39" s="54" t="str">
        <f>IF(AND('Mapa final'!$AH$69="Media",'Mapa final'!$AJ$69="Moderado"),CONCATENATE("R2C",'Mapa final'!$R$69),"")</f>
        <v/>
      </c>
      <c r="AB39" s="55" t="str">
        <f>IF(AND('Mapa final'!$AH$70="Media",'Mapa final'!$AJ$70="Moderado"),CONCATENATE("R2C",'Mapa final'!$R$70),"")</f>
        <v/>
      </c>
      <c r="AC39" s="38" t="str">
        <f>IF(AND('Mapa final'!$AH$65="Media",'Mapa final'!$AJ$65="Mayor"),CONCATENATE("R2C",'Mapa final'!$R$65),"")</f>
        <v/>
      </c>
      <c r="AD39" s="39" t="str">
        <f>IF(AND('Mapa final'!$AH$66="Media",'Mapa final'!$AJ$66="Mayor"),CONCATENATE("R2C",'Mapa final'!$R$66),"")</f>
        <v/>
      </c>
      <c r="AE39" s="39" t="str">
        <f>IF(AND('Mapa final'!$AH$67="Media",'Mapa final'!$AJ$67="Mayor"),CONCATENATE("R2C",'Mapa final'!$R$67),"")</f>
        <v/>
      </c>
      <c r="AF39" s="39" t="str">
        <f>IF(AND('Mapa final'!$AH$68="Media",'Mapa final'!$AJ$68="Mayor"),CONCATENATE("R2C",'Mapa final'!$R$68),"")</f>
        <v/>
      </c>
      <c r="AG39" s="39" t="str">
        <f>IF(AND('Mapa final'!$AH$69="Media",'Mapa final'!$AJ$69="Mayor"),CONCATENATE("R2C",'Mapa final'!$R$69),"")</f>
        <v/>
      </c>
      <c r="AH39" s="40" t="str">
        <f>IF(AND('Mapa final'!$AH$70="Media",'Mapa final'!$AJ$70="Mayor"),CONCATENATE("R2C",'Mapa final'!$R$70),"")</f>
        <v/>
      </c>
      <c r="AI39" s="41" t="str">
        <f>IF(AND('Mapa final'!$AH$65="Media",'Mapa final'!$AJ$65="Catastrófico"),CONCATENATE("R2C",'Mapa final'!$R$65),"")</f>
        <v/>
      </c>
      <c r="AJ39" s="42" t="str">
        <f>IF(AND('Mapa final'!$AH$66="Media",'Mapa final'!$AJ$66="Catastrófico"),CONCATENATE("R2C",'Mapa final'!$R$66),"")</f>
        <v/>
      </c>
      <c r="AK39" s="42" t="str">
        <f>IF(AND('Mapa final'!$AH$67="Media",'Mapa final'!$AJ$67="Catastrófico"),CONCATENATE("R2C",'Mapa final'!$R$67),"")</f>
        <v/>
      </c>
      <c r="AL39" s="42" t="str">
        <f>IF(AND('Mapa final'!$AH$68="Media",'Mapa final'!$AJ$68="Catastrófico"),CONCATENATE("R2C",'Mapa final'!$R$68),"")</f>
        <v/>
      </c>
      <c r="AM39" s="42" t="str">
        <f>IF(AND('Mapa final'!$AH$69="Media",'Mapa final'!$AJ$69="Catastrófico"),CONCATENATE("R2C",'Mapa final'!$R$69),"")</f>
        <v/>
      </c>
      <c r="AN39" s="43" t="str">
        <f>IF(AND('Mapa final'!$AH$70="Media",'Mapa final'!$AJ$70="Catastrófico"),CONCATENATE("R2C",'Mapa final'!$R$70),"")</f>
        <v/>
      </c>
      <c r="AO39" s="68"/>
      <c r="AP39" s="512"/>
      <c r="AQ39" s="513"/>
      <c r="AR39" s="513"/>
      <c r="AS39" s="513"/>
      <c r="AT39" s="513"/>
      <c r="AU39" s="514"/>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380"/>
      <c r="D40" s="380"/>
      <c r="E40" s="381"/>
      <c r="F40" s="472"/>
      <c r="G40" s="473"/>
      <c r="H40" s="473"/>
      <c r="I40" s="473"/>
      <c r="J40" s="474"/>
      <c r="K40" s="53" t="str">
        <f>IF(AND('Mapa final'!$AH$71="Media",'Mapa final'!$AJ$71="Leve"),CONCATENATE("R2C",'Mapa final'!$R$71),"")</f>
        <v/>
      </c>
      <c r="L40" s="54" t="str">
        <f>IF(AND('Mapa final'!$AH$72="Media",'Mapa final'!$AJ$72="Leve"),CONCATENATE("R2C",'Mapa final'!$R$72),"")</f>
        <v/>
      </c>
      <c r="M40" s="54" t="str">
        <f>IF(AND('Mapa final'!$AH$73="Media",'Mapa final'!$AJ$73="Leve"),CONCATENATE("R2C",'Mapa final'!$R$73),"")</f>
        <v/>
      </c>
      <c r="N40" s="54" t="str">
        <f>IF(AND('Mapa final'!$AH$74="Media",'Mapa final'!$AJ$74="Leve"),CONCATENATE("R2C",'Mapa final'!$R$74),"")</f>
        <v/>
      </c>
      <c r="O40" s="54" t="str">
        <f>IF(AND('Mapa final'!$AH$75="Media",'Mapa final'!$AJ$75="Leve"),CONCATENATE("R2C",'Mapa final'!$R$75),"")</f>
        <v/>
      </c>
      <c r="P40" s="55" t="str">
        <f>IF(AND('Mapa final'!$AH$76="Media",'Mapa final'!$AJ$76="Leve"),CONCATENATE("R2C",'Mapa final'!$R$76),"")</f>
        <v/>
      </c>
      <c r="Q40" s="53" t="str">
        <f>IF(AND('Mapa final'!$AH$71="Media",'Mapa final'!$AJ$71="Menor"),CONCATENATE("R2C",'Mapa final'!$R$71),"")</f>
        <v/>
      </c>
      <c r="R40" s="54" t="str">
        <f>IF(AND('Mapa final'!$AH$72="Media",'Mapa final'!$AJ$72="Menor"),CONCATENATE("R2C",'Mapa final'!$R$72),"")</f>
        <v/>
      </c>
      <c r="S40" s="54" t="str">
        <f>IF(AND('Mapa final'!$AH$73="Media",'Mapa final'!$AJ$73="Menor"),CONCATENATE("R2C",'Mapa final'!$R$73),"")</f>
        <v/>
      </c>
      <c r="T40" s="54" t="str">
        <f>IF(AND('Mapa final'!$AH$74="Media",'Mapa final'!$AJ$74="Menor"),CONCATENATE("R2C",'Mapa final'!$R$74),"")</f>
        <v/>
      </c>
      <c r="U40" s="54" t="str">
        <f>IF(AND('Mapa final'!$AH$75="Media",'Mapa final'!$AJ$75="Menor"),CONCATENATE("R2C",'Mapa final'!$R$75),"")</f>
        <v/>
      </c>
      <c r="V40" s="55" t="str">
        <f>IF(AND('Mapa final'!$AH$76="Media",'Mapa final'!$AJ$76="Menor"),CONCATENATE("R2C",'Mapa final'!$R$76),"")</f>
        <v/>
      </c>
      <c r="W40" s="53" t="str">
        <f>IF(AND('Mapa final'!$AH$71="Media",'Mapa final'!$AJ$71="Moderado"),CONCATENATE("R2C",'Mapa final'!$R$71),"")</f>
        <v/>
      </c>
      <c r="X40" s="54" t="str">
        <f>IF(AND('Mapa final'!$AH$72="Media",'Mapa final'!$AJ$72="Moderado"),CONCATENATE("R2C",'Mapa final'!$R$72),"")</f>
        <v/>
      </c>
      <c r="Y40" s="54" t="str">
        <f>IF(AND('Mapa final'!$AH$73="Media",'Mapa final'!$AJ$73="Moderado"),CONCATENATE("R2C",'Mapa final'!$R$73),"")</f>
        <v/>
      </c>
      <c r="Z40" s="54" t="str">
        <f>IF(AND('Mapa final'!$AH$74="Media",'Mapa final'!$AJ$74="Moderado"),CONCATENATE("R2C",'Mapa final'!$R$74),"")</f>
        <v/>
      </c>
      <c r="AA40" s="54" t="str">
        <f>IF(AND('Mapa final'!$AH$75="Media",'Mapa final'!$AJ$75="Moderado"),CONCATENATE("R2C",'Mapa final'!$R$75),"")</f>
        <v/>
      </c>
      <c r="AB40" s="55" t="str">
        <f>IF(AND('Mapa final'!$AH$76="Media",'Mapa final'!$AJ$76="Moderado"),CONCATENATE("R2C",'Mapa final'!$R$76),"")</f>
        <v/>
      </c>
      <c r="AC40" s="38" t="str">
        <f>IF(AND('Mapa final'!$AH$71="Media",'Mapa final'!$AJ$71="Mayor"),CONCATENATE("R2C",'Mapa final'!$R$71),"")</f>
        <v/>
      </c>
      <c r="AD40" s="39" t="str">
        <f>IF(AND('Mapa final'!$AH$72="Media",'Mapa final'!$AJ$72="Mayor"),CONCATENATE("R2C",'Mapa final'!$R$72),"")</f>
        <v/>
      </c>
      <c r="AE40" s="39" t="str">
        <f>IF(AND('Mapa final'!$AH$73="Media",'Mapa final'!$AJ$73="Mayor"),CONCATENATE("R2C",'Mapa final'!$R$73),"")</f>
        <v/>
      </c>
      <c r="AF40" s="39" t="str">
        <f>IF(AND('Mapa final'!$AH$74="Media",'Mapa final'!$AJ$74="Mayor"),CONCATENATE("R2C",'Mapa final'!$R$74),"")</f>
        <v/>
      </c>
      <c r="AG40" s="39" t="str">
        <f>IF(AND('Mapa final'!$AH$75="Media",'Mapa final'!$AJ$75="Mayor"),CONCATENATE("R2C",'Mapa final'!$R$75),"")</f>
        <v/>
      </c>
      <c r="AH40" s="40" t="str">
        <f>IF(AND('Mapa final'!$AH$76="Media",'Mapa final'!$AJ$76="Mayor"),CONCATENATE("R2C",'Mapa final'!$R$76),"")</f>
        <v/>
      </c>
      <c r="AI40" s="41" t="str">
        <f>IF(AND('Mapa final'!$AH$71="Media",'Mapa final'!$AJ$71="Catastrófico"),CONCATENATE("R2C",'Mapa final'!$R$71),"")</f>
        <v/>
      </c>
      <c r="AJ40" s="42" t="str">
        <f>IF(AND('Mapa final'!$AH$72="Media",'Mapa final'!$AJ$72="Catastrófico"),CONCATENATE("R2C",'Mapa final'!$R$72),"")</f>
        <v/>
      </c>
      <c r="AK40" s="42" t="str">
        <f>IF(AND('Mapa final'!$AH$73="Media",'Mapa final'!$AJ$73="Catastrófico"),CONCATENATE("R2C",'Mapa final'!$R$73),"")</f>
        <v/>
      </c>
      <c r="AL40" s="42" t="str">
        <f>IF(AND('Mapa final'!$AH$74="Media",'Mapa final'!$AJ$74="Catastrófico"),CONCATENATE("R2C",'Mapa final'!$R$74),"")</f>
        <v/>
      </c>
      <c r="AM40" s="42" t="str">
        <f>IF(AND('Mapa final'!$AH$75="Media",'Mapa final'!$AJ$75="Catastrófico"),CONCATENATE("R2C",'Mapa final'!$R$75),"")</f>
        <v/>
      </c>
      <c r="AN40" s="43" t="str">
        <f>IF(AND('Mapa final'!$AH$76="Media",'Mapa final'!$AJ$76="Catastrófico"),CONCATENATE("R2C",'Mapa final'!$R$76),"")</f>
        <v/>
      </c>
      <c r="AO40" s="68"/>
      <c r="AP40" s="512"/>
      <c r="AQ40" s="513"/>
      <c r="AR40" s="513"/>
      <c r="AS40" s="513"/>
      <c r="AT40" s="513"/>
      <c r="AU40" s="514"/>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380"/>
      <c r="D41" s="380"/>
      <c r="E41" s="381"/>
      <c r="F41" s="475"/>
      <c r="G41" s="476"/>
      <c r="H41" s="476"/>
      <c r="I41" s="476"/>
      <c r="J41" s="477"/>
      <c r="K41" s="53" t="str">
        <f>IF(AND('Mapa final'!$AH$77="Media",'Mapa final'!$AJ$77="Leve"),CONCATENATE("R2C",'Mapa final'!$R$77),"")</f>
        <v/>
      </c>
      <c r="L41" s="54" t="str">
        <f>IF(AND('Mapa final'!$AH$78="Media",'Mapa final'!$AJ$78="Leve"),CONCATENATE("R2C",'Mapa final'!$R$78),"")</f>
        <v/>
      </c>
      <c r="M41" s="54" t="str">
        <f>IF(AND('Mapa final'!$AH$79="Media",'Mapa final'!$AJ$79="Leve"),CONCATENATE("R2C",'Mapa final'!$R$79),"")</f>
        <v/>
      </c>
      <c r="N41" s="54" t="str">
        <f>IF(AND('Mapa final'!$AH$80="Media",'Mapa final'!$AJ$80="Leve"),CONCATENATE("R2C",'Mapa final'!$R$80),"")</f>
        <v/>
      </c>
      <c r="O41" s="54" t="str">
        <f>IF(AND('Mapa final'!$AH$82="Media",'Mapa final'!$AJ$82="Leve"),CONCATENATE("R2C",'Mapa final'!$R$82),"")</f>
        <v/>
      </c>
      <c r="P41" s="55" t="str">
        <f>IF(AND('Mapa final'!$AH$83="Media",'Mapa final'!$AJ$83="Leve"),CONCATENATE("R2C",'Mapa final'!$R$83),"")</f>
        <v/>
      </c>
      <c r="Q41" s="53" t="str">
        <f>IF(AND('Mapa final'!$AH$77="Media",'Mapa final'!$AJ$77="Menor"),CONCATENATE("R2C",'Mapa final'!$R$77),"")</f>
        <v/>
      </c>
      <c r="R41" s="54" t="str">
        <f>IF(AND('Mapa final'!$AH$78="Media",'Mapa final'!$AJ$78="Menor"),CONCATENATE("R2C",'Mapa final'!$R$78),"")</f>
        <v/>
      </c>
      <c r="S41" s="54" t="str">
        <f>IF(AND('Mapa final'!$AH$79="Media",'Mapa final'!$AJ$79="Menor"),CONCATENATE("R2C",'Mapa final'!$R$79),"")</f>
        <v/>
      </c>
      <c r="T41" s="54" t="str">
        <f>IF(AND('Mapa final'!$AH$80="Media",'Mapa final'!$AJ$80="Menor"),CONCATENATE("R2C",'Mapa final'!$R$80),"")</f>
        <v/>
      </c>
      <c r="U41" s="54" t="str">
        <f>IF(AND('Mapa final'!$AH$82="Media",'Mapa final'!$AJ$82="Menor"),CONCATENATE("R2C",'Mapa final'!$R$82),"")</f>
        <v/>
      </c>
      <c r="V41" s="55" t="str">
        <f>IF(AND('Mapa final'!$AH$83="Media",'Mapa final'!$AJ$83="Menor"),CONCATENATE("R2C",'Mapa final'!$R$83),"")</f>
        <v/>
      </c>
      <c r="W41" s="53" t="str">
        <f>IF(AND('Mapa final'!$AH$77="Media",'Mapa final'!$AJ$77="Moderado"),CONCATENATE("R2C",'Mapa final'!$R$77),"")</f>
        <v/>
      </c>
      <c r="X41" s="54" t="str">
        <f>IF(AND('Mapa final'!$AH$78="Media",'Mapa final'!$AJ$78="Moderado"),CONCATENATE("R2C",'Mapa final'!$R$78),"")</f>
        <v/>
      </c>
      <c r="Y41" s="54" t="str">
        <f>IF(AND('Mapa final'!$AH$79="Media",'Mapa final'!$AJ$79="Moderado"),CONCATENATE("R2C",'Mapa final'!$R$79),"")</f>
        <v/>
      </c>
      <c r="Z41" s="54" t="str">
        <f>IF(AND('Mapa final'!$AH$80="Media",'Mapa final'!$AJ$80="Moderado"),CONCATENATE("R2C",'Mapa final'!$R$80),"")</f>
        <v/>
      </c>
      <c r="AA41" s="54" t="str">
        <f>IF(AND('Mapa final'!$AH$82="Media",'Mapa final'!$AJ$82="Moderado"),CONCATENATE("R2C",'Mapa final'!$R$82),"")</f>
        <v/>
      </c>
      <c r="AB41" s="55" t="str">
        <f>IF(AND('Mapa final'!$AH$83="Media",'Mapa final'!$AJ$83="Moderado"),CONCATENATE("R2C",'Mapa final'!$R$83),"")</f>
        <v/>
      </c>
      <c r="AC41" s="44" t="str">
        <f>IF(AND('Mapa final'!$AH$77="Media",'Mapa final'!$AJ$77="Mayor"),CONCATENATE("R2C",'Mapa final'!$R$77),"")</f>
        <v/>
      </c>
      <c r="AD41" s="45" t="str">
        <f>IF(AND('Mapa final'!$AH$78="Media",'Mapa final'!$AJ$78="Mayor"),CONCATENATE("R2C",'Mapa final'!$R$78),"")</f>
        <v/>
      </c>
      <c r="AE41" s="45" t="str">
        <f>IF(AND('Mapa final'!$AH$79="Media",'Mapa final'!$AJ$79="Mayor"),CONCATENATE("R2C",'Mapa final'!$R$79),"")</f>
        <v/>
      </c>
      <c r="AF41" s="45" t="str">
        <f>IF(AND('Mapa final'!$AH$80="Media",'Mapa final'!$AJ$80="Mayor"),CONCATENATE("R2C",'Mapa final'!$R$80),"")</f>
        <v/>
      </c>
      <c r="AG41" s="45" t="str">
        <f>IF(AND('Mapa final'!$AH$82="Media",'Mapa final'!$AJ$82="Mayor"),CONCATENATE("R2C",'Mapa final'!$R$82),"")</f>
        <v/>
      </c>
      <c r="AH41" s="46" t="str">
        <f>IF(AND('Mapa final'!$AH$83="Media",'Mapa final'!$AJ$83="Mayor"),CONCATENATE("R2C",'Mapa final'!$R$83),"")</f>
        <v/>
      </c>
      <c r="AI41" s="47" t="str">
        <f>IF(AND('Mapa final'!$AH$77="Media",'Mapa final'!$AJ$77="Catastrófico"),CONCATENATE("R2C",'Mapa final'!$R$77),"")</f>
        <v/>
      </c>
      <c r="AJ41" s="48" t="str">
        <f>IF(AND('Mapa final'!$AH$78="Media",'Mapa final'!$AJ$78="Catastrófico"),CONCATENATE("R2C",'Mapa final'!$R$78),"")</f>
        <v/>
      </c>
      <c r="AK41" s="48" t="str">
        <f>IF(AND('Mapa final'!$AH$79="Media",'Mapa final'!$AJ$79="Catastrófico"),CONCATENATE("R2C",'Mapa final'!$R$79),"")</f>
        <v/>
      </c>
      <c r="AL41" s="48" t="str">
        <f>IF(AND('Mapa final'!$AH$80="Media",'Mapa final'!$AJ$80="Catastrófico"),CONCATENATE("R2C",'Mapa final'!$R$80),"")</f>
        <v/>
      </c>
      <c r="AM41" s="48" t="str">
        <f>IF(AND('Mapa final'!$AH$82="Media",'Mapa final'!$AJ$82="Catastrófico"),CONCATENATE("R2C",'Mapa final'!$R$82),"")</f>
        <v/>
      </c>
      <c r="AN41" s="49" t="str">
        <f>IF(AND('Mapa final'!$AH$83="Muy Alta",'Mapa final'!$AJ$83="Catastrófico"),CONCATENATE("R2C",'Mapa final'!$R$83),"")</f>
        <v/>
      </c>
      <c r="AO41" s="68"/>
      <c r="AP41" s="515"/>
      <c r="AQ41" s="516"/>
      <c r="AR41" s="516"/>
      <c r="AS41" s="516"/>
      <c r="AT41" s="516"/>
      <c r="AU41" s="517"/>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380"/>
      <c r="D42" s="380"/>
      <c r="E42" s="381"/>
      <c r="F42" s="469" t="s">
        <v>298</v>
      </c>
      <c r="G42" s="470"/>
      <c r="H42" s="470"/>
      <c r="I42" s="470"/>
      <c r="J42" s="470"/>
      <c r="K42" s="59"/>
      <c r="L42" s="60" t="str">
        <f>IF(AND('Mapa final'!$AH$16="Baja",'Mapa final'!$AJ$16="Leve"),CONCATENATE("R2C",'Mapa final'!$R$15),"")</f>
        <v/>
      </c>
      <c r="M42" s="60" t="str">
        <f>IF(AND('Mapa final'!$AH$17="Baja",'Mapa final'!$AJ$17="Leve"),CONCATENATE("R2C",'Mapa final'!$R$17),"")</f>
        <v/>
      </c>
      <c r="N42" s="60" t="e">
        <f>IF(AND('Mapa final'!#REF!="Baja",'Mapa final'!#REF!="Leve"),CONCATENATE("R2C",'Mapa final'!#REF!),"")</f>
        <v>#REF!</v>
      </c>
      <c r="O42" s="60" t="str">
        <f>IF(AND('Mapa final'!$AH$19="Baja",'Mapa final'!$AJ$19="Leve"),CONCATENATE("R2C",'Mapa final'!$R$19),"")</f>
        <v/>
      </c>
      <c r="P42" s="61" t="str">
        <f>IF(AND('Mapa final'!$AH$20="Baja",'Mapa final'!$AJ$20="Leve"),CONCATENATE("R2C",'Mapa final'!$R$20),"")</f>
        <v/>
      </c>
      <c r="Q42" s="50"/>
      <c r="R42" s="51" t="str">
        <f>IF(AND('Mapa final'!$AH$16="Baja",'Mapa final'!$AJ$16="Menore"),CONCATENATE("R2C",'Mapa final'!$R$15),"")</f>
        <v/>
      </c>
      <c r="S42" s="51" t="str">
        <f>IF(AND('Mapa final'!$AH$17="Baja",'Mapa final'!$AJ$17="Menor"),CONCATENATE("R2C",'Mapa final'!$R$17),"")</f>
        <v/>
      </c>
      <c r="T42" s="51" t="e">
        <f>IF(AND('Mapa final'!#REF!="Baja",'Mapa final'!#REF!="Menor"),CONCATENATE("R2C",'Mapa final'!#REF!),"")</f>
        <v>#REF!</v>
      </c>
      <c r="U42" s="51" t="str">
        <f>IF(AND('Mapa final'!$AH$19="Baja",'Mapa final'!$AJ$19="Menor"),CONCATENATE("R2C",'Mapa final'!$R$19),"")</f>
        <v/>
      </c>
      <c r="V42" s="52" t="str">
        <f>IF(AND('Mapa final'!$AH$20="Baja",'Mapa final'!$AJ$20="Menor"),CONCATENATE("R2C",'Mapa final'!$R$20),"")</f>
        <v/>
      </c>
      <c r="W42" s="50"/>
      <c r="X42" s="51" t="str">
        <f>IF(AND('Mapa final'!$AH$16="Baja",'Mapa final'!$AJ$16="Moderado"),CONCATENATE("R2C",'Mapa final'!$R$15),"")</f>
        <v/>
      </c>
      <c r="Y42" s="51"/>
      <c r="Z42" s="51" t="e">
        <f>IF(AND('Mapa final'!#REF!="Baja",'Mapa final'!#REF!="Moderado"),CONCATENATE("R2C",'Mapa final'!#REF!),"")</f>
        <v>#REF!</v>
      </c>
      <c r="AA42" s="51" t="str">
        <f>IF(AND('Mapa final'!$AH$19="Baja",'Mapa final'!$AJ$19="Moderado"),CONCATENATE("R2C",'Mapa final'!$R$19),"")</f>
        <v>R2C     El riesgo afecta la imagen de la entidad con algunos usuarios de relevancia frente al logro de los objetivos</v>
      </c>
      <c r="AB42" s="52" t="str">
        <f>IF(AND('Mapa final'!$AH$20="Baja",'Mapa final'!$AJ$20="Moderado"),CONCATENATE("R2C",'Mapa final'!$R$20),"")</f>
        <v/>
      </c>
      <c r="AC42" s="32"/>
      <c r="AD42" s="33" t="str">
        <f>IF(AND('Mapa final'!$AH$16="Baja",'Mapa final'!$AJ$16="Mayor"),CONCATENATE("R2C",'Mapa final'!$R$15),"")</f>
        <v/>
      </c>
      <c r="AE42" s="33" t="str">
        <f>IF(AND('Mapa final'!$AH$17="Baja",'Mapa final'!$AJ$17="Mayor"),CONCATENATE("R2C",'Mapa final'!$R$17),"")</f>
        <v/>
      </c>
      <c r="AF42" s="33" t="e">
        <f>IF(AND('Mapa final'!#REF!="Baja",'Mapa final'!#REF!="Mayor"),CONCATENATE("R2C",'Mapa final'!#REF!),"")</f>
        <v>#REF!</v>
      </c>
      <c r="AG42" s="33" t="str">
        <f>IF(AND('Mapa final'!$AH$19="Baja",'Mapa final'!$AJ$19="Mayor"),CONCATENATE("R2C",'Mapa final'!$R$19),"")</f>
        <v/>
      </c>
      <c r="AH42" s="34" t="str">
        <f>IF(AND('Mapa final'!$AH$20="Baja",'Mapa final'!$AJ$20="Mayor"),CONCATENATE("R2C",'Mapa final'!$R$20),"")</f>
        <v/>
      </c>
      <c r="AI42" s="35"/>
      <c r="AJ42" s="36" t="str">
        <f>IF(AND('Mapa final'!$AH$16="Baja",'Mapa final'!$AJ$16="Catastrófico"),CONCATENATE("R2C",'Mapa final'!$R$15),"")</f>
        <v/>
      </c>
      <c r="AK42" s="36" t="str">
        <f>IF(AND('Mapa final'!$AH$17="Baja",'Mapa final'!$AJ$17="Catastrófico"),CONCATENATE("R2C",'Mapa final'!$R$17),"")</f>
        <v/>
      </c>
      <c r="AL42" s="36" t="e">
        <f>IF(AND('Mapa final'!#REF!="Baja",'Mapa final'!#REF!="Catastrófico"),CONCATENATE("R2C",'Mapa final'!#REF!),"")</f>
        <v>#REF!</v>
      </c>
      <c r="AM42" s="36" t="str">
        <f>IF(AND('Mapa final'!$AH$19="Baja",'Mapa final'!$AJ$19="Catastrófico"),CONCATENATE("R2C",'Mapa final'!$R$19),"")</f>
        <v/>
      </c>
      <c r="AN42" s="37" t="str">
        <f>IF(AND('Mapa final'!$AH$20="Baja",'Mapa final'!$AJ$20="Catastrófico"),CONCATENATE("R2C",'Mapa final'!$R$20),"")</f>
        <v/>
      </c>
      <c r="AO42" s="68"/>
      <c r="AP42" s="500" t="s">
        <v>299</v>
      </c>
      <c r="AQ42" s="501"/>
      <c r="AR42" s="501"/>
      <c r="AS42" s="501"/>
      <c r="AT42" s="501"/>
      <c r="AU42" s="502"/>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380"/>
      <c r="D43" s="380"/>
      <c r="E43" s="381"/>
      <c r="F43" s="487"/>
      <c r="G43" s="473"/>
      <c r="H43" s="473"/>
      <c r="I43" s="473"/>
      <c r="J43" s="473"/>
      <c r="K43" s="62" t="str">
        <f>IF(AND('Mapa final'!$AH$21="Baja",'Mapa final'!$AJ$21="Leve"),CONCATENATE("R2C",'Mapa final'!$R$21),"")</f>
        <v/>
      </c>
      <c r="L43" s="63" t="str">
        <f>IF(AND('Mapa final'!$AH$22="Baja",'Mapa final'!$AJ$22="Leve"),CONCATENATE("R2C",'Mapa final'!$R$22),"")</f>
        <v/>
      </c>
      <c r="M43" s="63" t="str">
        <f>IF(AND('Mapa final'!$AH$31="Baja",'Mapa final'!$AJ$31="Leve"),CONCATENATE("R2C",'Mapa final'!$R$31),"")</f>
        <v/>
      </c>
      <c r="N43" s="63" t="str">
        <f>IF(AND('Mapa final'!$AH$32="Baja",'Mapa final'!$AJ$32="Leve"),CONCATENATE("R2C",'Mapa final'!$R$32),"")</f>
        <v/>
      </c>
      <c r="O43" s="63" t="str">
        <f>IF(AND('Mapa final'!$AH$33="Baja",'Mapa final'!$AJ$33="Leve"),CONCATENATE("R2C",'Mapa final'!$R$33),"")</f>
        <v/>
      </c>
      <c r="P43" s="64" t="str">
        <f>IF(AND('Mapa final'!$AH$34="Baja",'Mapa final'!$AJ$34="Leve"),CONCATENATE("R2C",'Mapa final'!$R$34),"")</f>
        <v/>
      </c>
      <c r="Q43" s="53" t="str">
        <f>IF(AND('Mapa final'!$AH$21="Baja",'Mapa final'!$AJ$21="Menor"),CONCATENATE("R2C",'Mapa final'!$R$21),"")</f>
        <v/>
      </c>
      <c r="R43" s="54" t="str">
        <f>IF(AND('Mapa final'!$AH$22="Baja",'Mapa final'!$AJ$22="Menor"),CONCATENATE("R2C",'Mapa final'!$R$22),"")</f>
        <v/>
      </c>
      <c r="S43" s="54" t="str">
        <f>IF(AND('Mapa final'!$AH$31="Baja",'Mapa final'!$AJ$31="Menor"),CONCATENATE("R2C",'Mapa final'!$R$31),"")</f>
        <v/>
      </c>
      <c r="T43" s="54" t="str">
        <f>IF(AND('Mapa final'!$AH$32="Baja",'Mapa final'!$AJ$32="Menor"),CONCATENATE("R2C",'Mapa final'!$R$32),"")</f>
        <v/>
      </c>
      <c r="U43" s="54" t="str">
        <f>IF(AND('Mapa final'!$AH$33="Baja",'Mapa final'!$AJ$33="Menor"),CONCATENATE("R2C",'Mapa final'!$R$33),"")</f>
        <v/>
      </c>
      <c r="V43" s="55" t="str">
        <f>IF(AND('Mapa final'!$AH$34="Baja",'Mapa final'!$AJ$34="Menor"),CONCATENATE("R2C",'Mapa final'!$R$34),"")</f>
        <v/>
      </c>
      <c r="W43" s="53" t="str">
        <f>IF(AND('Mapa final'!$AH$21="Baja",'Mapa final'!$AJ$21="Moderado"),CONCATENATE("R2C",'Mapa final'!$R$21),"")</f>
        <v/>
      </c>
      <c r="X43" s="54" t="str">
        <f>IF(AND('Mapa final'!$AH$22="Baja",'Mapa final'!$AJ$22="Moderado"),CONCATENATE("R2C",'Mapa final'!$R$22),"")</f>
        <v/>
      </c>
      <c r="Y43" s="54" t="str">
        <f>IF(AND('Mapa final'!$AH$31="Baja",'Mapa final'!$AJ$31="Moderado"),CONCATENATE("R2C",'Mapa final'!$R$31),"")</f>
        <v/>
      </c>
      <c r="Z43" s="54" t="str">
        <f>IF(AND('Mapa final'!$AH$32="Baja",'Mapa final'!$AJ$32="Moderado"),CONCATENATE("R2C",'Mapa final'!$R$32),"")</f>
        <v/>
      </c>
      <c r="AA43" s="54" t="str">
        <f>IF(AND('Mapa final'!$AH$33="Baja",'Mapa final'!$AJ$33="Moderado"),CONCATENATE("R2C",'Mapa final'!$R$33),"")</f>
        <v/>
      </c>
      <c r="AB43" s="55" t="str">
        <f>IF(AND('Mapa final'!$AH$34="Baja",'Mapa final'!$AJ$34="Moderado"),CONCATENATE("R2C",'Mapa final'!$R$34),"")</f>
        <v/>
      </c>
      <c r="AC43" s="38" t="str">
        <f>IF(AND('Mapa final'!$AH$21="Baja",'Mapa final'!$AJ$21="Mayor"),CONCATENATE("R2C",'Mapa final'!$R$21),"")</f>
        <v/>
      </c>
      <c r="AD43" s="39" t="str">
        <f>IF(AND('Mapa final'!$AH$22="Baja",'Mapa final'!$AJ$22="Mayor"),CONCATENATE("R2C",'Mapa final'!$R$22),"")</f>
        <v/>
      </c>
      <c r="AE43" s="39" t="str">
        <f>IF(AND('Mapa final'!$AH$31="Baja",'Mapa final'!$AJ$31="Mayor"),CONCATENATE("R2C",'Mapa final'!$R$31),"")</f>
        <v/>
      </c>
      <c r="AF43" s="39" t="str">
        <f>IF(AND('Mapa final'!$AH$32="Baja",'Mapa final'!$AJ$32="Mayor"),CONCATENATE("R2C",'Mapa final'!$R$32),"")</f>
        <v/>
      </c>
      <c r="AG43" s="39" t="str">
        <f>IF(AND('Mapa final'!$AH$33="Baja",'Mapa final'!$AJ$33="Mayor"),CONCATENATE("R2C",'Mapa final'!$R$33),"")</f>
        <v/>
      </c>
      <c r="AH43" s="40" t="str">
        <f>IF(AND('Mapa final'!$AH$34="Baja",'Mapa final'!$AJ$34="Mayor"),CONCATENATE("R2C",'Mapa final'!$R$34),"")</f>
        <v/>
      </c>
      <c r="AI43" s="41" t="str">
        <f>IF(AND('Mapa final'!$AH$21="Baja",'Mapa final'!$AJ$21="Catastrófico"),CONCATENATE("R2C",'Mapa final'!$R$21),"")</f>
        <v/>
      </c>
      <c r="AJ43" s="42" t="str">
        <f>IF(AND('Mapa final'!$AH$22="Baja",'Mapa final'!$AJ$22="Catastrófico"),CONCATENATE("R2C",'Mapa final'!$R$22),"")</f>
        <v/>
      </c>
      <c r="AK43" s="42" t="str">
        <f>IF(AND('Mapa final'!$AH$31="Baja",'Mapa final'!$AJ$31="Catastrófico"),CONCATENATE("R2C",'Mapa final'!$R$31),"")</f>
        <v/>
      </c>
      <c r="AL43" s="42" t="str">
        <f>IF(AND('Mapa final'!$AH$32="Baja",'Mapa final'!$AJ$32="Catastrófico"),CONCATENATE("R2C",'Mapa final'!$R$32),"")</f>
        <v/>
      </c>
      <c r="AM43" s="42" t="str">
        <f>IF(AND('Mapa final'!$AH$33="Baja",'Mapa final'!$AJ$33="Catastrófico"),CONCATENATE("R2C",'Mapa final'!$R$33),"")</f>
        <v/>
      </c>
      <c r="AN43" s="43" t="str">
        <f>IF(AND('Mapa final'!$AH$34="Baja",'Mapa final'!$AJ$34="Catastrófico"),CONCATENATE("R2C",'Mapa final'!$R$34),"")</f>
        <v/>
      </c>
      <c r="AO43" s="68"/>
      <c r="AP43" s="503"/>
      <c r="AQ43" s="504"/>
      <c r="AR43" s="504"/>
      <c r="AS43" s="504"/>
      <c r="AT43" s="504"/>
      <c r="AU43" s="505"/>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380"/>
      <c r="D44" s="380"/>
      <c r="E44" s="381"/>
      <c r="F44" s="472"/>
      <c r="G44" s="473"/>
      <c r="H44" s="473"/>
      <c r="I44" s="473"/>
      <c r="J44" s="473"/>
      <c r="K44" s="62" t="str">
        <f>IF(AND('Mapa final'!$AH$35="Baja",'Mapa final'!$AJ$35="Leve"),CONCATENATE("R2C",'Mapa final'!$R$35),"")</f>
        <v/>
      </c>
      <c r="L44" s="63" t="str">
        <f>IF(AND('Mapa final'!$AH$36="Baja",'Mapa final'!$AJ$36="Leve"),CONCATENATE("R2C",'Mapa final'!$R$36),"")</f>
        <v/>
      </c>
      <c r="M44" s="63" t="str">
        <f>IF(AND('Mapa final'!$AH$37="Baja",'Mapa final'!$AJ$37="Leve"),CONCATENATE("R2C",'Mapa final'!$R$37),"")</f>
        <v/>
      </c>
      <c r="N44" s="63" t="str">
        <f>IF(AND('Mapa final'!$AH$38="Baja",'Mapa final'!$AJ$38="Leve"),CONCATENATE("R2C",'Mapa final'!$R$38),"")</f>
        <v/>
      </c>
      <c r="O44" s="63" t="str">
        <f>IF(AND('Mapa final'!$AH$39="Baja",'Mapa final'!$AJ$39="Leve"),CONCATENATE("R2C",'Mapa final'!$R$39),"")</f>
        <v/>
      </c>
      <c r="P44" s="64" t="str">
        <f>IF(AND('Mapa final'!$AH$40="Baja",'Mapa final'!$AJ$40="Leve"),CONCATENATE("R2C",'Mapa final'!$R$40),"")</f>
        <v/>
      </c>
      <c r="Q44" s="53" t="str">
        <f>IF(AND('Mapa final'!$AH$35="Baja",'Mapa final'!$AJ$35="Menor"),CONCATENATE("R2C",'Mapa final'!$R$35),"")</f>
        <v/>
      </c>
      <c r="R44" s="54" t="str">
        <f>IF(AND('Mapa final'!$AH$36="Baja",'Mapa final'!$AJ$36="Menor"),CONCATENATE("R2C",'Mapa final'!$R$36),"")</f>
        <v/>
      </c>
      <c r="S44" s="54" t="str">
        <f>IF(AND('Mapa final'!$AH$37="Baja",'Mapa final'!$AJ$37="Menor"),CONCATENATE("R2C",'Mapa final'!$R$37),"")</f>
        <v/>
      </c>
      <c r="T44" s="54" t="str">
        <f>IF(AND('Mapa final'!$AH$38="Baja",'Mapa final'!$AJ$38="Menor"),CONCATENATE("R2C",'Mapa final'!$R$38),"")</f>
        <v/>
      </c>
      <c r="U44" s="54" t="str">
        <f>IF(AND('Mapa final'!$AH$39="Baja",'Mapa final'!$AJ$39="Menor"),CONCATENATE("R2C",'Mapa final'!$R$39),"")</f>
        <v/>
      </c>
      <c r="V44" s="55" t="str">
        <f>IF(AND('Mapa final'!$AH$40="Baja",'Mapa final'!$AJ$40="Menor"),CONCATENATE("R2C",'Mapa final'!$R$40),"")</f>
        <v/>
      </c>
      <c r="W44" s="53" t="str">
        <f>IF(AND('Mapa final'!$AH$35="Baja",'Mapa final'!$AJ$35="Moderado"),CONCATENATE("R2C",'Mapa final'!$R$35),"")</f>
        <v/>
      </c>
      <c r="X44" s="54" t="str">
        <f>IF(AND('Mapa final'!$AH$36="Baja",'Mapa final'!$AJ$36="Moderado"),CONCATENATE("R2C",'Mapa final'!$R$36),"")</f>
        <v/>
      </c>
      <c r="Y44" s="54" t="str">
        <f>IF(AND('Mapa final'!$AH$37="Baja",'Mapa final'!$AJ$37="Moderado"),CONCATENATE("R2C",'Mapa final'!$R$37),"")</f>
        <v/>
      </c>
      <c r="Z44" s="54" t="str">
        <f>IF(AND('Mapa final'!$AH$38="Baja",'Mapa final'!$AJ$38="Moderado"),CONCATENATE("R2C",'Mapa final'!$R$38),"")</f>
        <v/>
      </c>
      <c r="AA44" s="54" t="str">
        <f>IF(AND('Mapa final'!$AH$39="Baja",'Mapa final'!$AJ$39="Moderado"),CONCATENATE("R2C",'Mapa final'!$R$39),"")</f>
        <v/>
      </c>
      <c r="AB44" s="55" t="str">
        <f>IF(AND('Mapa final'!$AH$40="Baja",'Mapa final'!$AJ$40="Moderado"),CONCATENATE("R2C",'Mapa final'!$R$40),"")</f>
        <v/>
      </c>
      <c r="AC44" s="38" t="str">
        <f>IF(AND('Mapa final'!$AH$35="Baja",'Mapa final'!$AJ$35="Mayor"),CONCATENATE("R2C",'Mapa final'!$R$35),"")</f>
        <v/>
      </c>
      <c r="AD44" s="39" t="str">
        <f>IF(AND('Mapa final'!$AH$36="Baja",'Mapa final'!$AJ$36="Mayor"),CONCATENATE("R2C",'Mapa final'!$R$36),"")</f>
        <v/>
      </c>
      <c r="AE44" s="39" t="str">
        <f>IF(AND('Mapa final'!$AH$37="Baja",'Mapa final'!$AJ$37="Mayor"),CONCATENATE("R2C",'Mapa final'!$R$37),"")</f>
        <v/>
      </c>
      <c r="AF44" s="39" t="str">
        <f>IF(AND('Mapa final'!$AH$38="Baja",'Mapa final'!$AJ$38="Mayor"),CONCATENATE("R2C",'Mapa final'!$R$38),"")</f>
        <v/>
      </c>
      <c r="AG44" s="39" t="str">
        <f>IF(AND('Mapa final'!$AH$39="Baja",'Mapa final'!$AJ$39="Mayor"),CONCATENATE("R2C",'Mapa final'!$R$39),"")</f>
        <v/>
      </c>
      <c r="AH44" s="40" t="str">
        <f>IF(AND('Mapa final'!$AH$40="Baja",'Mapa final'!$AJ$40="Mayor"),CONCATENATE("R2C",'Mapa final'!$R$40),"")</f>
        <v/>
      </c>
      <c r="AI44" s="41" t="str">
        <f>IF(AND('Mapa final'!$AH$35="Baja",'Mapa final'!$AJ$35="Catastrófico"),CONCATENATE("R2C",'Mapa final'!$R$35),"")</f>
        <v/>
      </c>
      <c r="AJ44" s="42" t="str">
        <f>IF(AND('Mapa final'!$AH$36="Baja",'Mapa final'!$AJ$36="Catastrófico"),CONCATENATE("R2C",'Mapa final'!$R$36),"")</f>
        <v/>
      </c>
      <c r="AK44" s="42" t="str">
        <f>IF(AND('Mapa final'!$AH$37="Baja",'Mapa final'!$AJ$37="Catastrófico"),CONCATENATE("R2C",'Mapa final'!$R$37),"")</f>
        <v/>
      </c>
      <c r="AL44" s="42" t="str">
        <f>IF(AND('Mapa final'!$AH$38="Baja",'Mapa final'!$AJ$38="Catastrófico"),CONCATENATE("R2C",'Mapa final'!$R$38),"")</f>
        <v/>
      </c>
      <c r="AM44" s="42" t="str">
        <f>IF(AND('Mapa final'!$AH$39="Baja",'Mapa final'!$AJ$39="Catastrófico"),CONCATENATE("R2C",'Mapa final'!$R$39),"")</f>
        <v/>
      </c>
      <c r="AN44" s="43" t="str">
        <f>IF(AND('Mapa final'!$AH$40="Baja",'Mapa final'!$AJ$40="Catastrófico"),CONCATENATE("R2C",'Mapa final'!$R$40),"")</f>
        <v/>
      </c>
      <c r="AO44" s="68"/>
      <c r="AP44" s="503"/>
      <c r="AQ44" s="504"/>
      <c r="AR44" s="504"/>
      <c r="AS44" s="504"/>
      <c r="AT44" s="504"/>
      <c r="AU44" s="505"/>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380"/>
      <c r="D45" s="380"/>
      <c r="E45" s="381"/>
      <c r="F45" s="472"/>
      <c r="G45" s="473"/>
      <c r="H45" s="473"/>
      <c r="I45" s="473"/>
      <c r="J45" s="473"/>
      <c r="K45" s="62" t="str">
        <f>IF(AND('Mapa final'!$AH$41="Baja",'Mapa final'!$AJ$41="Leve"),CONCATENATE("R2C",'Mapa final'!$R$41),"")</f>
        <v/>
      </c>
      <c r="L45" s="63" t="str">
        <f>IF(AND('Mapa final'!$AH$42="Baja",'Mapa final'!$AJ$42="Leve"),CONCATENATE("R2C",'Mapa final'!$R$42),"")</f>
        <v/>
      </c>
      <c r="M45" s="63" t="str">
        <f>IF(AND('Mapa final'!$AH$43="Baja",'Mapa final'!$AJ$43="Leve"),CONCATENATE("R2C",'Mapa final'!$R$43),"")</f>
        <v/>
      </c>
      <c r="N45" s="63" t="str">
        <f>IF(AND('Mapa final'!$AH$44="Baja",'Mapa final'!$AJ$44="Leve"),CONCATENATE("R2C",'Mapa final'!$R$44),"")</f>
        <v/>
      </c>
      <c r="O45" s="63" t="str">
        <f>IF(AND('Mapa final'!$AH$45="Baja",'Mapa final'!$AJ$45="Leve"),CONCATENATE("R2C",'Mapa final'!$R$45),"")</f>
        <v/>
      </c>
      <c r="P45" s="64" t="str">
        <f>IF(AND('Mapa final'!$AH$46="Baja",'Mapa final'!$AJ$46="Leve"),CONCATENATE("R2C",'Mapa final'!$R$46),"")</f>
        <v/>
      </c>
      <c r="Q45" s="53" t="str">
        <f>IF(AND('Mapa final'!$AH$41="Baja",'Mapa final'!$AJ$41="Menor"),CONCATENATE("R2C",'Mapa final'!$R$41),"")</f>
        <v/>
      </c>
      <c r="R45" s="54" t="str">
        <f>IF(AND('Mapa final'!$AH$42="Baja",'Mapa final'!$AJ$42="Menor"),CONCATENATE("R2C",'Mapa final'!$R$42),"")</f>
        <v/>
      </c>
      <c r="S45" s="54" t="str">
        <f>IF(AND('Mapa final'!$AH$43="Baja",'Mapa final'!$AJ$43="Menor"),CONCATENATE("R2C",'Mapa final'!$R$43),"")</f>
        <v/>
      </c>
      <c r="T45" s="54" t="str">
        <f>IF(AND('Mapa final'!$AH$44="Baja",'Mapa final'!$AJ$44="Menor"),CONCATENATE("R2C",'Mapa final'!$R$44),"")</f>
        <v/>
      </c>
      <c r="U45" s="54" t="str">
        <f>IF(AND('Mapa final'!$AH$45="Baja",'Mapa final'!$AJ$45="LMenor"),CONCATENATE("R2C",'Mapa final'!$R$45),"")</f>
        <v/>
      </c>
      <c r="V45" s="55" t="str">
        <f>IF(AND('Mapa final'!$AH$46="Baja",'Mapa final'!$AJ$46="Menor"),CONCATENATE("R2C",'Mapa final'!$R$46),"")</f>
        <v/>
      </c>
      <c r="W45" s="53" t="str">
        <f>IF(AND('Mapa final'!$AH$41="Baja",'Mapa final'!$AJ$41="Moderado"),CONCATENATE("R2C",'Mapa final'!$R$41),"")</f>
        <v/>
      </c>
      <c r="X45" s="54" t="str">
        <f>IF(AND('Mapa final'!$AH$42="Baja",'Mapa final'!$AJ$42="Moderado"),CONCATENATE("R2C",'Mapa final'!$R$42),"")</f>
        <v/>
      </c>
      <c r="Y45" s="54" t="str">
        <f>IF(AND('Mapa final'!$AH$43="Baja",'Mapa final'!$AJ$43="Moderado"),CONCATENATE("R2C",'Mapa final'!$R$43),"")</f>
        <v/>
      </c>
      <c r="Z45" s="54" t="str">
        <f>IF(AND('Mapa final'!$AH$44="Baja",'Mapa final'!$AJ$44="Moderado"),CONCATENATE("R2C",'Mapa final'!$R$44),"")</f>
        <v/>
      </c>
      <c r="AA45" s="54" t="str">
        <f>IF(AND('Mapa final'!$AH$45="Baja",'Mapa final'!$AJ$45="Moderado"),CONCATENATE("R2C",'Mapa final'!$R$45),"")</f>
        <v/>
      </c>
      <c r="AB45" s="55" t="str">
        <f>IF(AND('Mapa final'!$AH$46="Baja",'Mapa final'!$AJ$46="Moderado"),CONCATENATE("R2C",'Mapa final'!$R$46),"")</f>
        <v/>
      </c>
      <c r="AC45" s="38" t="str">
        <f>IF(AND('Mapa final'!$AH$41="Baja",'Mapa final'!$AJ$41="Mayor"),CONCATENATE("R2C",'Mapa final'!$R$41),"")</f>
        <v/>
      </c>
      <c r="AD45" s="39" t="str">
        <f>IF(AND('Mapa final'!$AH$42="Baja",'Mapa final'!$AJ$42="Mayor"),CONCATENATE("R2C",'Mapa final'!$R$42),"")</f>
        <v/>
      </c>
      <c r="AE45" s="39" t="str">
        <f>IF(AND('Mapa final'!$AH$43="Baja",'Mapa final'!$AJ$43="Mayor"),CONCATENATE("R2C",'Mapa final'!$R$43),"")</f>
        <v/>
      </c>
      <c r="AF45" s="39" t="str">
        <f>IF(AND('Mapa final'!$AH$44="Baja",'Mapa final'!$AJ$44="Mayor"),CONCATENATE("R2C",'Mapa final'!$R$44),"")</f>
        <v/>
      </c>
      <c r="AG45" s="39" t="str">
        <f>IF(AND('Mapa final'!$AH$45="Baja",'Mapa final'!$AJ$45="Mayor"),CONCATENATE("R2C",'Mapa final'!$R$45),"")</f>
        <v/>
      </c>
      <c r="AH45" s="40" t="str">
        <f>IF(AND('Mapa final'!$AH$46="Baja",'Mapa final'!$AJ$46="Mayor"),CONCATENATE("R2C",'Mapa final'!$R$46),"")</f>
        <v/>
      </c>
      <c r="AI45" s="41" t="str">
        <f>IF(AND('Mapa final'!$AH$41="Baja",'Mapa final'!$AJ$41="Catastrófico"),CONCATENATE("R2C",'Mapa final'!$R$41),"")</f>
        <v/>
      </c>
      <c r="AJ45" s="42" t="str">
        <f>IF(AND('Mapa final'!$AH$42="Baja",'Mapa final'!$AJ$42="Catastrófico"),CONCATENATE("R2C",'Mapa final'!$R$42),"")</f>
        <v/>
      </c>
      <c r="AK45" s="42" t="str">
        <f>IF(AND('Mapa final'!$AH$43="Baja",'Mapa final'!$AJ$43="Catastrófico"),CONCATENATE("R2C",'Mapa final'!$R$43),"")</f>
        <v/>
      </c>
      <c r="AL45" s="42" t="str">
        <f>IF(AND('Mapa final'!$AH$44="Baja",'Mapa final'!$AJ$44="Catastrófico"),CONCATENATE("R2C",'Mapa final'!$R$44),"")</f>
        <v/>
      </c>
      <c r="AM45" s="42" t="str">
        <f>IF(AND('Mapa final'!$AH$45="Baja",'Mapa final'!$AJ$45="LCatastrófico"),CONCATENATE("R2C",'Mapa final'!$R$45),"")</f>
        <v/>
      </c>
      <c r="AN45" s="43" t="str">
        <f>IF(AND('Mapa final'!$AH$46="Baja",'Mapa final'!$AJ$46="Catastrófico"),CONCATENATE("R2C",'Mapa final'!$R$46),"")</f>
        <v/>
      </c>
      <c r="AO45" s="68"/>
      <c r="AP45" s="503"/>
      <c r="AQ45" s="504"/>
      <c r="AR45" s="504"/>
      <c r="AS45" s="504"/>
      <c r="AT45" s="504"/>
      <c r="AU45" s="505"/>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380"/>
      <c r="D46" s="380"/>
      <c r="E46" s="381"/>
      <c r="F46" s="472"/>
      <c r="G46" s="473"/>
      <c r="H46" s="473"/>
      <c r="I46" s="473"/>
      <c r="J46" s="473"/>
      <c r="K46" s="62" t="str">
        <f>IF(AND('Mapa final'!$AH$47="Baja",'Mapa final'!$AJ$47="Leve"),CONCATENATE("R2C",'Mapa final'!$R$47),"")</f>
        <v/>
      </c>
      <c r="L46" s="63" t="str">
        <f>IF(AND('Mapa final'!$AH$48="Baja",'Mapa final'!$AJ$48="Leve"),CONCATENATE("R2C",'Mapa final'!$R$48),"")</f>
        <v/>
      </c>
      <c r="M46" s="63" t="str">
        <f>IF(AND('Mapa final'!$AH$49="Baja",'Mapa final'!$AJ$49="Leve"),CONCATENATE("R2C",'Mapa final'!$R$49),"")</f>
        <v/>
      </c>
      <c r="N46" s="63" t="str">
        <f>IF(AND('Mapa final'!$AH$50="Baja",'Mapa final'!$AJ$50="Leve"),CONCATENATE("R2C",'Mapa final'!$R$50),"")</f>
        <v/>
      </c>
      <c r="O46" s="63" t="str">
        <f>IF(AND('Mapa final'!$AH$51="Baja",'Mapa final'!$AJ$51="Leve"),CONCATENATE("R2C",'Mapa final'!$R$51),"")</f>
        <v/>
      </c>
      <c r="P46" s="64" t="str">
        <f>IF(AND('Mapa final'!$AH$52="Baja",'Mapa final'!$AJ$52="Leve"),CONCATENATE("R2C",'Mapa final'!$R$52),"")</f>
        <v/>
      </c>
      <c r="Q46" s="53" t="str">
        <f>IF(AND('Mapa final'!$AH$47="Baja",'Mapa final'!$AJ$47="Menor"),CONCATENATE("R2C",'Mapa final'!$R$47),"")</f>
        <v/>
      </c>
      <c r="R46" s="54" t="str">
        <f>IF(AND('Mapa final'!$AH$48="Baja",'Mapa final'!$AJ$48="Menor"),CONCATENATE("R2C",'Mapa final'!$R$48),"")</f>
        <v/>
      </c>
      <c r="S46" s="54" t="str">
        <f>IF(AND('Mapa final'!$AH$49="Baja",'Mapa final'!$AJ$49="Menor"),CONCATENATE("R2C",'Mapa final'!$R$49),"")</f>
        <v/>
      </c>
      <c r="T46" s="54" t="str">
        <f>IF(AND('Mapa final'!$AH$50="Baja",'Mapa final'!$AJ$50="Menor"),CONCATENATE("R2C",'Mapa final'!$R$50),"")</f>
        <v/>
      </c>
      <c r="U46" s="54" t="str">
        <f>IF(AND('Mapa final'!$AH$51="Baja",'Mapa final'!$AJ$51="Menor"),CONCATENATE("R2C",'Mapa final'!$R$51),"")</f>
        <v/>
      </c>
      <c r="V46" s="55" t="str">
        <f>IF(AND('Mapa final'!$AH$52="Baja",'Mapa final'!$AJ$52="Menor"),CONCATENATE("R2C",'Mapa final'!$R$52),"")</f>
        <v/>
      </c>
      <c r="W46" s="53" t="str">
        <f>IF(AND('Mapa final'!$AH$47="Baja",'Mapa final'!$AJ$47="Moderado"),CONCATENATE("R2C",'Mapa final'!$R$47),"")</f>
        <v/>
      </c>
      <c r="X46" s="54" t="str">
        <f>IF(AND('Mapa final'!$AH$48="Baja",'Mapa final'!$AJ$48="Moderado"),CONCATENATE("R2C",'Mapa final'!$R$48),"")</f>
        <v/>
      </c>
      <c r="Y46" s="54" t="str">
        <f>IF(AND('Mapa final'!$AH$49="Baja",'Mapa final'!$AJ$49="Moderado"),CONCATENATE("R2C",'Mapa final'!$R$49),"")</f>
        <v/>
      </c>
      <c r="Z46" s="54" t="str">
        <f>IF(AND('Mapa final'!$AH$50="Baja",'Mapa final'!$AJ$50="Moderado"),CONCATENATE("R2C",'Mapa final'!$R$50),"")</f>
        <v/>
      </c>
      <c r="AA46" s="54" t="str">
        <f>IF(AND('Mapa final'!$AH$51="Baja",'Mapa final'!$AJ$51="Moderado"),CONCATENATE("R2C",'Mapa final'!$R$51),"")</f>
        <v/>
      </c>
      <c r="AB46" s="55" t="str">
        <f>IF(AND('Mapa final'!$AH$52="Baja",'Mapa final'!$AJ$52="Moderado"),CONCATENATE("R2C",'Mapa final'!$R$52),"")</f>
        <v/>
      </c>
      <c r="AC46" s="38" t="str">
        <f>IF(AND('Mapa final'!$AH$47="Baja",'Mapa final'!$AJ$47="Mayor"),CONCATENATE("R2C",'Mapa final'!$R$47),"")</f>
        <v/>
      </c>
      <c r="AD46" s="39" t="str">
        <f>IF(AND('Mapa final'!$AH$48="Baja",'Mapa final'!$AJ$48="Mayor"),CONCATENATE("R2C",'Mapa final'!$R$48),"")</f>
        <v/>
      </c>
      <c r="AE46" s="39" t="str">
        <f>IF(AND('Mapa final'!$AH$49="Baja",'Mapa final'!$AJ$49="Mayor"),CONCATENATE("R2C",'Mapa final'!$R$49),"")</f>
        <v/>
      </c>
      <c r="AF46" s="39" t="str">
        <f>IF(AND('Mapa final'!$AH$50="Baja",'Mapa final'!$AJ$50="Mayor"),CONCATENATE("R2C",'Mapa final'!$R$50),"")</f>
        <v/>
      </c>
      <c r="AG46" s="39" t="str">
        <f>IF(AND('Mapa final'!$AH$51="Baja",'Mapa final'!$AJ$51="Mayor"),CONCATENATE("R2C",'Mapa final'!$R$51),"")</f>
        <v/>
      </c>
      <c r="AH46" s="40" t="str">
        <f>IF(AND('Mapa final'!$AH$52="Baja",'Mapa final'!$AJ$52="Mayor"),CONCATENATE("R2C",'Mapa final'!$R$52),"")</f>
        <v/>
      </c>
      <c r="AI46" s="41" t="str">
        <f>IF(AND('Mapa final'!$AH$47="Baja",'Mapa final'!$AJ$47="Catastrófico"),CONCATENATE("R2C",'Mapa final'!$R$47),"")</f>
        <v/>
      </c>
      <c r="AJ46" s="42" t="str">
        <f>IF(AND('Mapa final'!$AH$48="Baja",'Mapa final'!$AJ$48="Catastrófico"),CONCATENATE("R2C",'Mapa final'!$R$48),"")</f>
        <v/>
      </c>
      <c r="AK46" s="42" t="str">
        <f>IF(AND('Mapa final'!$AH$49="Baja",'Mapa final'!$AJ$49="Catastrófico"),CONCATENATE("R2C",'Mapa final'!$R$49),"")</f>
        <v/>
      </c>
      <c r="AL46" s="42" t="str">
        <f>IF(AND('Mapa final'!$AH$50="Baja",'Mapa final'!$AJ$50="Catastrófico"),CONCATENATE("R2C",'Mapa final'!$R$50),"")</f>
        <v/>
      </c>
      <c r="AM46" s="42" t="str">
        <f>IF(AND('Mapa final'!$AH$51="Baja",'Mapa final'!$AJ$51="Catastrófico"),CONCATENATE("R2C",'Mapa final'!$R$51),"")</f>
        <v/>
      </c>
      <c r="AN46" s="43" t="str">
        <f>IF(AND('Mapa final'!$AH$52="Baja",'Mapa final'!$AJ$52="Catastrófico"),CONCATENATE("R2C",'Mapa final'!$R$52),"")</f>
        <v/>
      </c>
      <c r="AO46" s="68"/>
      <c r="AP46" s="503"/>
      <c r="AQ46" s="504"/>
      <c r="AR46" s="504"/>
      <c r="AS46" s="504"/>
      <c r="AT46" s="504"/>
      <c r="AU46" s="505"/>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380"/>
      <c r="D47" s="380"/>
      <c r="E47" s="381"/>
      <c r="F47" s="472"/>
      <c r="G47" s="473"/>
      <c r="H47" s="473"/>
      <c r="I47" s="473"/>
      <c r="J47" s="473"/>
      <c r="K47" s="62" t="str">
        <f>IF(AND('Mapa final'!$AH$53="Baja",'Mapa final'!$AJ$53="Leve"),CONCATENATE("R2C",'Mapa final'!$R$53),"")</f>
        <v/>
      </c>
      <c r="L47" s="63" t="str">
        <f>IF(AND('Mapa final'!$AH$54="Baja",'Mapa final'!$AJ$54="Leve"),CONCATENATE("R2C",'Mapa final'!$R$54),"")</f>
        <v/>
      </c>
      <c r="M47" s="63" t="str">
        <f>IF(AND('Mapa final'!$AH$55="Baja",'Mapa final'!$AJ$55="Leve"),CONCATENATE("R2C",'Mapa final'!$R$55),"")</f>
        <v/>
      </c>
      <c r="N47" s="63" t="str">
        <f>IF(AND('Mapa final'!$AH$56="Baja",'Mapa final'!$AJ$56="Leve"),CONCATENATE("R2C",'Mapa final'!$R$56),"")</f>
        <v/>
      </c>
      <c r="O47" s="63" t="str">
        <f>IF(AND('Mapa final'!$AH$57="Baja",'Mapa final'!$AJ$57="Leve"),CONCATENATE("R2C",'Mapa final'!$R$57),"")</f>
        <v/>
      </c>
      <c r="P47" s="64" t="str">
        <f>IF(AND('Mapa final'!$AH$68="Baja",'Mapa final'!$AJ$58="Leve"),CONCATENATE("R2C",'Mapa final'!$R$58),"")</f>
        <v/>
      </c>
      <c r="Q47" s="53" t="str">
        <f>IF(AND('Mapa final'!$AH$53="Baja",'Mapa final'!$AJ$53="Menor"),CONCATENATE("R2C",'Mapa final'!$R$53),"")</f>
        <v/>
      </c>
      <c r="R47" s="54" t="str">
        <f>IF(AND('Mapa final'!$AH$54="Baja",'Mapa final'!$AJ$54="Menor"),CONCATENATE("R2C",'Mapa final'!$R$54),"")</f>
        <v/>
      </c>
      <c r="S47" s="54" t="str">
        <f>IF(AND('Mapa final'!$AH$55="Baja",'Mapa final'!$AJ$55="Menor"),CONCATENATE("R2C",'Mapa final'!$R$55),"")</f>
        <v/>
      </c>
      <c r="T47" s="54" t="str">
        <f>IF(AND('Mapa final'!$AH$56="Baja",'Mapa final'!$AJ$56="Menor"),CONCATENATE("R2C",'Mapa final'!$R$56),"")</f>
        <v/>
      </c>
      <c r="U47" s="54" t="str">
        <f>IF(AND('Mapa final'!$AH$57="Baja",'Mapa final'!$AJ$57="Menor"),CONCATENATE("R2C",'Mapa final'!$R$57),"")</f>
        <v/>
      </c>
      <c r="V47" s="55" t="str">
        <f>IF(AND('Mapa final'!$AH$68="Baja",'Mapa final'!$AJ$58="Menor"),CONCATENATE("R2C",'Mapa final'!$R$58),"")</f>
        <v/>
      </c>
      <c r="W47" s="53" t="str">
        <f>IF(AND('Mapa final'!$AH$53="Baja",'Mapa final'!$AJ$53="Moderado"),CONCATENATE("R2C",'Mapa final'!$R$53),"")</f>
        <v/>
      </c>
      <c r="X47" s="54" t="str">
        <f>IF(AND('Mapa final'!$AH$54="Baja",'Mapa final'!$AJ$54="Moderado"),CONCATENATE("R2C",'Mapa final'!$R$54),"")</f>
        <v/>
      </c>
      <c r="Y47" s="54" t="str">
        <f>IF(AND('Mapa final'!$AH$55="Baja",'Mapa final'!$AJ$55="Moderado"),CONCATENATE("R2C",'Mapa final'!$R$55),"")</f>
        <v/>
      </c>
      <c r="Z47" s="54" t="str">
        <f>IF(AND('Mapa final'!$AH$56="Baja",'Mapa final'!$AJ$56="Moderado"),CONCATENATE("R2C",'Mapa final'!$R$56),"")</f>
        <v/>
      </c>
      <c r="AA47" s="54" t="str">
        <f>IF(AND('Mapa final'!$AH$57="Baja",'Mapa final'!$AJ$57="Moderado"),CONCATENATE("R2C",'Mapa final'!$R$57),"")</f>
        <v/>
      </c>
      <c r="AB47" s="55" t="str">
        <f>IF(AND('Mapa final'!$AH$68="Baja",'Mapa final'!$AJ$58="Moderado"),CONCATENATE("R2C",'Mapa final'!$R$58),"")</f>
        <v/>
      </c>
      <c r="AC47" s="38" t="str">
        <f>IF(AND('Mapa final'!$AH$53="Baja",'Mapa final'!$AJ$53="Mayor"),CONCATENATE("R2C",'Mapa final'!$R$53),"")</f>
        <v/>
      </c>
      <c r="AD47" s="39" t="str">
        <f>IF(AND('Mapa final'!$AH$54="Baja",'Mapa final'!$AJ$54="Mayor"),CONCATENATE("R2C",'Mapa final'!$R$54),"")</f>
        <v/>
      </c>
      <c r="AE47" s="39" t="str">
        <f>IF(AND('Mapa final'!$AH$55="Baja",'Mapa final'!$AJ$55="Mayor"),CONCATENATE("R2C",'Mapa final'!$R$55),"")</f>
        <v/>
      </c>
      <c r="AF47" s="39" t="str">
        <f>IF(AND('Mapa final'!$AH$56="Baja",'Mapa final'!$AJ$56="Mayor"),CONCATENATE("R2C",'Mapa final'!$R$56),"")</f>
        <v/>
      </c>
      <c r="AG47" s="39" t="str">
        <f>IF(AND('Mapa final'!$AH$57="Baja",'Mapa final'!$AJ$57="Mayor"),CONCATENATE("R2C",'Mapa final'!$R$57),"")</f>
        <v/>
      </c>
      <c r="AH47" s="40" t="str">
        <f>IF(AND('Mapa final'!$AH$68="Baja",'Mapa final'!$AJ$58="Mayor"),CONCATENATE("R2C",'Mapa final'!$R$58),"")</f>
        <v/>
      </c>
      <c r="AI47" s="41" t="str">
        <f>IF(AND('Mapa final'!$AH$53="Baja",'Mapa final'!$AJ$53="Catastrófico"),CONCATENATE("R2C",'Mapa final'!$R$53),"")</f>
        <v/>
      </c>
      <c r="AJ47" s="42" t="str">
        <f>IF(AND('Mapa final'!$AH$54="Baja",'Mapa final'!$AJ$54="Catastrófico"),CONCATENATE("R2C",'Mapa final'!$R$54),"")</f>
        <v/>
      </c>
      <c r="AK47" s="42" t="str">
        <f>IF(AND('Mapa final'!$AH$55="Baja",'Mapa final'!$AJ$55="Catastrófico"),CONCATENATE("R2C",'Mapa final'!$R$55),"")</f>
        <v/>
      </c>
      <c r="AL47" s="42" t="str">
        <f>IF(AND('Mapa final'!$AH$56="Baja",'Mapa final'!$AJ$56="Catastrófico"),CONCATENATE("R2C",'Mapa final'!$R$56),"")</f>
        <v/>
      </c>
      <c r="AM47" s="42" t="str">
        <f>IF(AND('Mapa final'!$AH$57="Baja",'Mapa final'!$AJ$57="Catastrófico"),CONCATENATE("R2C",'Mapa final'!$R$57),"")</f>
        <v/>
      </c>
      <c r="AN47" s="43" t="str">
        <f>IF(AND('Mapa final'!$AH$68="Baja",'Mapa final'!$AJ$58="Catastrófico"),CONCATENATE("R2C",'Mapa final'!$R$58),"")</f>
        <v/>
      </c>
      <c r="AO47" s="68"/>
      <c r="AP47" s="503"/>
      <c r="AQ47" s="504"/>
      <c r="AR47" s="504"/>
      <c r="AS47" s="504"/>
      <c r="AT47" s="504"/>
      <c r="AU47" s="505"/>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380"/>
      <c r="D48" s="380"/>
      <c r="E48" s="381"/>
      <c r="F48" s="472"/>
      <c r="G48" s="473"/>
      <c r="H48" s="473"/>
      <c r="I48" s="473"/>
      <c r="J48" s="473"/>
      <c r="K48" s="62" t="str">
        <f>IF(AND('Mapa final'!$AH$59="Baja",'Mapa final'!$AJ$59="Leve"),CONCATENATE("R2C",'Mapa final'!$R$59),"")</f>
        <v/>
      </c>
      <c r="L48" s="63" t="str">
        <f>IF(AND('Mapa final'!$AH$60="Baja",'Mapa final'!$AJ$60="Leve"),CONCATENATE("R2C",'Mapa final'!$R$60),"")</f>
        <v/>
      </c>
      <c r="M48" s="63" t="str">
        <f>IF(AND('Mapa final'!$AH$61="Baja",'Mapa final'!$AJ$61="Leve"),CONCATENATE("R2C",'Mapa final'!$R$61),"")</f>
        <v/>
      </c>
      <c r="N48" s="63" t="str">
        <f>IF(AND('Mapa final'!$AH$62="Baja",'Mapa final'!$AJ$62="Leve"),CONCATENATE("R2C",'Mapa final'!$R$62),"")</f>
        <v/>
      </c>
      <c r="O48" s="63" t="str">
        <f>IF(AND('Mapa final'!$AH$63="Baja",'Mapa final'!$AJ$63="Leve"),CONCATENATE("R2C",'Mapa final'!$R$63),"")</f>
        <v/>
      </c>
      <c r="P48" s="64" t="str">
        <f>IF(AND('Mapa final'!$AH$64="Baja",'Mapa final'!$AJ$64="Leve"),CONCATENATE("R2C",'Mapa final'!$R$64),"")</f>
        <v/>
      </c>
      <c r="Q48" s="53" t="str">
        <f>IF(AND('Mapa final'!$AH$59="Baja",'Mapa final'!$AJ$59="Menor"),CONCATENATE("R2C",'Mapa final'!$R$59),"")</f>
        <v/>
      </c>
      <c r="R48" s="54" t="str">
        <f>IF(AND('Mapa final'!$AH$60="Baja",'Mapa final'!$AJ$60="Menor"),CONCATENATE("R2C",'Mapa final'!$R$60),"")</f>
        <v/>
      </c>
      <c r="S48" s="54" t="str">
        <f>IF(AND('Mapa final'!$AH$61="Baja",'Mapa final'!$AJ$61="Menor"),CONCATENATE("R2C",'Mapa final'!$R$61),"")</f>
        <v/>
      </c>
      <c r="T48" s="54" t="str">
        <f>IF(AND('Mapa final'!$AH$62="Baja",'Mapa final'!$AJ$62="Menor"),CONCATENATE("R2C",'Mapa final'!$R$62),"")</f>
        <v/>
      </c>
      <c r="U48" s="54" t="str">
        <f>IF(AND('Mapa final'!$AH$63="Baja",'Mapa final'!$AJ$63="Menor"),CONCATENATE("R2C",'Mapa final'!$R$63),"")</f>
        <v/>
      </c>
      <c r="V48" s="55" t="str">
        <f>IF(AND('Mapa final'!$AH$64="Baja",'Mapa final'!$AJ$64="Menor"),CONCATENATE("R2C",'Mapa final'!$R$64),"")</f>
        <v/>
      </c>
      <c r="W48" s="53" t="str">
        <f>IF(AND('Mapa final'!$AH$59="Baja",'Mapa final'!$AJ$59="Moderado"),CONCATENATE("R2C",'Mapa final'!$R$59),"")</f>
        <v/>
      </c>
      <c r="X48" s="54" t="str">
        <f>IF(AND('Mapa final'!$AH$60="Baja",'Mapa final'!$AJ$60="Moderado"),CONCATENATE("R2C",'Mapa final'!$R$60),"")</f>
        <v/>
      </c>
      <c r="Y48" s="54" t="str">
        <f>IF(AND('Mapa final'!$AH$61="Baja",'Mapa final'!$AJ$61="Moderado"),CONCATENATE("R2C",'Mapa final'!$R$61),"")</f>
        <v/>
      </c>
      <c r="Z48" s="54" t="str">
        <f>IF(AND('Mapa final'!$AH$62="Baja",'Mapa final'!$AJ$62="Moderado"),CONCATENATE("R2C",'Mapa final'!$R$62),"")</f>
        <v/>
      </c>
      <c r="AA48" s="54" t="str">
        <f>IF(AND('Mapa final'!$AH$63="Baja",'Mapa final'!$AJ$63="Moderado"),CONCATENATE("R2C",'Mapa final'!$R$63),"")</f>
        <v/>
      </c>
      <c r="AB48" s="55" t="str">
        <f>IF(AND('Mapa final'!$AH$64="Baja",'Mapa final'!$AJ$64="Moderado"),CONCATENATE("R2C",'Mapa final'!$R$64),"")</f>
        <v/>
      </c>
      <c r="AC48" s="38" t="str">
        <f>IF(AND('Mapa final'!$AH$59="Baja",'Mapa final'!$AJ$59="Mayor"),CONCATENATE("R2C",'Mapa final'!$R$59),"")</f>
        <v/>
      </c>
      <c r="AD48" s="39" t="str">
        <f>IF(AND('Mapa final'!$AH$60="Baja",'Mapa final'!$AJ$60="Mayor"),CONCATENATE("R2C",'Mapa final'!$R$60),"")</f>
        <v/>
      </c>
      <c r="AE48" s="39" t="str">
        <f>IF(AND('Mapa final'!$AH$61="Baja",'Mapa final'!$AJ$61="Mayor"),CONCATENATE("R2C",'Mapa final'!$R$61),"")</f>
        <v/>
      </c>
      <c r="AF48" s="39" t="str">
        <f>IF(AND('Mapa final'!$AH$62="Baja",'Mapa final'!$AJ$62="Mayor"),CONCATENATE("R2C",'Mapa final'!$R$62),"")</f>
        <v/>
      </c>
      <c r="AG48" s="39" t="str">
        <f>IF(AND('Mapa final'!$AH$63="Baja",'Mapa final'!$AJ$63="Mayor"),CONCATENATE("R2C",'Mapa final'!$R$63),"")</f>
        <v/>
      </c>
      <c r="AH48" s="40" t="str">
        <f>IF(AND('Mapa final'!$AH$64="Baja",'Mapa final'!$AJ$64="Mayor"),CONCATENATE("R2C",'Mapa final'!$R$64),"")</f>
        <v/>
      </c>
      <c r="AI48" s="41" t="str">
        <f>IF(AND('Mapa final'!$AH$59="Baja",'Mapa final'!$AJ$59="Catastrófico"),CONCATENATE("R2C",'Mapa final'!$R$59),"")</f>
        <v/>
      </c>
      <c r="AJ48" s="42" t="str">
        <f>IF(AND('Mapa final'!$AH$60="Baja",'Mapa final'!$AJ$60="Catastrófico"),CONCATENATE("R2C",'Mapa final'!$R$60),"")</f>
        <v/>
      </c>
      <c r="AK48" s="42" t="str">
        <f>IF(AND('Mapa final'!$AH$61="Baja",'Mapa final'!$AJ$61="Catastrófico"),CONCATENATE("R2C",'Mapa final'!$R$61),"")</f>
        <v/>
      </c>
      <c r="AL48" s="42" t="str">
        <f>IF(AND('Mapa final'!$AH$62="Baja",'Mapa final'!$AJ$62="Catastrófico"),CONCATENATE("R2C",'Mapa final'!$R$62),"")</f>
        <v/>
      </c>
      <c r="AM48" s="42" t="str">
        <f>IF(AND('Mapa final'!$AH$63="Baja",'Mapa final'!$AJ$63="Catastrófico"),CONCATENATE("R2C",'Mapa final'!$R$63),"")</f>
        <v/>
      </c>
      <c r="AN48" s="43" t="str">
        <f>IF(AND('Mapa final'!$AH$64="Baja",'Mapa final'!$AJ$64="Catastrófico"),CONCATENATE("R2C",'Mapa final'!$R$64),"")</f>
        <v/>
      </c>
      <c r="AO48" s="68"/>
      <c r="AP48" s="503"/>
      <c r="AQ48" s="504"/>
      <c r="AR48" s="504"/>
      <c r="AS48" s="504"/>
      <c r="AT48" s="504"/>
      <c r="AU48" s="505"/>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380"/>
      <c r="D49" s="380"/>
      <c r="E49" s="381"/>
      <c r="F49" s="472"/>
      <c r="G49" s="473"/>
      <c r="H49" s="473"/>
      <c r="I49" s="473"/>
      <c r="J49" s="473"/>
      <c r="K49" s="62" t="str">
        <f>IF(AND('Mapa final'!$AH$65="Baja",'Mapa final'!$AJ$65="Leve"),CONCATENATE("R2C",'Mapa final'!$R$65),"")</f>
        <v/>
      </c>
      <c r="L49" s="63" t="str">
        <f>IF(AND('Mapa final'!$AH$66="Baja",'Mapa final'!$AJ$66="Leve"),CONCATENATE("R2C",'Mapa final'!$R$66),"")</f>
        <v/>
      </c>
      <c r="M49" s="63" t="str">
        <f>IF(AND('Mapa final'!$AH$67="Baja",'Mapa final'!$AJ$67="Leve"),CONCATENATE("R2C",'Mapa final'!$R$67),"")</f>
        <v/>
      </c>
      <c r="N49" s="63" t="str">
        <f>IF(AND('Mapa final'!$AH$68="Baja",'Mapa final'!$AJ$68="Leve"),CONCATENATE("R2C",'Mapa final'!$R$68),"")</f>
        <v/>
      </c>
      <c r="O49" s="63" t="str">
        <f>IF(AND('Mapa final'!$AH$69="Baja",'Mapa final'!$AJ$69="Leve"),CONCATENATE("R2C",'Mapa final'!$R$69),"")</f>
        <v/>
      </c>
      <c r="P49" s="64" t="str">
        <f>IF(AND('Mapa final'!$AH$70="Baja",'Mapa final'!$AJ$70="Leve"),CONCATENATE("R2C",'Mapa final'!$R$70),"")</f>
        <v/>
      </c>
      <c r="Q49" s="53" t="str">
        <f>IF(AND('Mapa final'!$AH$65="Baja",'Mapa final'!$AJ$65="Menor"),CONCATENATE("R2C",'Mapa final'!$R$65),"")</f>
        <v/>
      </c>
      <c r="R49" s="54" t="str">
        <f>IF(AND('Mapa final'!$AH$66="Baja",'Mapa final'!$AJ$66="Menor"),CONCATENATE("R2C",'Mapa final'!$R$66),"")</f>
        <v/>
      </c>
      <c r="S49" s="54" t="str">
        <f>IF(AND('Mapa final'!$AH$67="Baja",'Mapa final'!$AJ$67="Menor"),CONCATENATE("R2C",'Mapa final'!$R$67),"")</f>
        <v/>
      </c>
      <c r="T49" s="54" t="str">
        <f>IF(AND('Mapa final'!$AH$68="Baja",'Mapa final'!$AJ$68="Menor"),CONCATENATE("R2C",'Mapa final'!$R$68),"")</f>
        <v/>
      </c>
      <c r="U49" s="54" t="str">
        <f>IF(AND('Mapa final'!$AH$69="Baja",'Mapa final'!$AJ$69="Menor"),CONCATENATE("R2C",'Mapa final'!$R$69),"")</f>
        <v/>
      </c>
      <c r="V49" s="55" t="str">
        <f>IF(AND('Mapa final'!$AH$70="Baja",'Mapa final'!$AJ$70="Menor"),CONCATENATE("R2C",'Mapa final'!$R$70),"")</f>
        <v/>
      </c>
      <c r="W49" s="53" t="str">
        <f>IF(AND('Mapa final'!$AH$65="Baja",'Mapa final'!$AJ$65="Moderado"),CONCATENATE("R2C",'Mapa final'!$R$65),"")</f>
        <v/>
      </c>
      <c r="X49" s="54" t="str">
        <f>IF(AND('Mapa final'!$AH$66="Baja",'Mapa final'!$AJ$66="Moderado"),CONCATENATE("R2C",'Mapa final'!$R$66),"")</f>
        <v/>
      </c>
      <c r="Y49" s="54" t="str">
        <f>IF(AND('Mapa final'!$AH$67="Baja",'Mapa final'!$AJ$67="Moderado"),CONCATENATE("R2C",'Mapa final'!$R$67),"")</f>
        <v/>
      </c>
      <c r="Z49" s="54" t="str">
        <f>IF(AND('Mapa final'!$AH$68="Baja",'Mapa final'!$AJ$68="Moderado"),CONCATENATE("R2C",'Mapa final'!$R$68),"")</f>
        <v/>
      </c>
      <c r="AA49" s="54" t="str">
        <f>IF(AND('Mapa final'!$AH$69="Baja",'Mapa final'!$AJ$69="Moderado"),CONCATENATE("R2C",'Mapa final'!$R$69),"")</f>
        <v/>
      </c>
      <c r="AB49" s="55" t="str">
        <f>IF(AND('Mapa final'!$AH$70="Baja",'Mapa final'!$AJ$70="Moderado"),CONCATENATE("R2C",'Mapa final'!$R$70),"")</f>
        <v/>
      </c>
      <c r="AC49" s="38" t="str">
        <f>IF(AND('Mapa final'!$AH$65="Baja",'Mapa final'!$AJ$65="Mayor"),CONCATENATE("R2C",'Mapa final'!$R$65),"")</f>
        <v/>
      </c>
      <c r="AD49" s="39" t="str">
        <f>IF(AND('Mapa final'!$AH$66="Baja",'Mapa final'!$AJ$66="Mayor"),CONCATENATE("R2C",'Mapa final'!$R$66),"")</f>
        <v/>
      </c>
      <c r="AE49" s="39" t="str">
        <f>IF(AND('Mapa final'!$AH$67="Baja",'Mapa final'!$AJ$67="Mayor"),CONCATENATE("R2C",'Mapa final'!$R$67),"")</f>
        <v/>
      </c>
      <c r="AF49" s="39" t="str">
        <f>IF(AND('Mapa final'!$AH$68="Baja",'Mapa final'!$AJ$68="Mayor"),CONCATENATE("R2C",'Mapa final'!$R$68),"")</f>
        <v/>
      </c>
      <c r="AG49" s="39" t="str">
        <f>IF(AND('Mapa final'!$AH$69="Baja",'Mapa final'!$AJ$69="Mayor"),CONCATENATE("R2C",'Mapa final'!$R$69),"")</f>
        <v/>
      </c>
      <c r="AH49" s="40" t="str">
        <f>IF(AND('Mapa final'!$AH$70="Baja",'Mapa final'!$AJ$70="Mayor"),CONCATENATE("R2C",'Mapa final'!$R$70),"")</f>
        <v/>
      </c>
      <c r="AI49" s="41" t="str">
        <f>IF(AND('Mapa final'!$AH$65="Baja",'Mapa final'!$AJ$65="Catastrófico"),CONCATENATE("R2C",'Mapa final'!$R$65),"")</f>
        <v/>
      </c>
      <c r="AJ49" s="42" t="str">
        <f>IF(AND('Mapa final'!$AH$66="Baja",'Mapa final'!$AJ$66="Catastrófico"),CONCATENATE("R2C",'Mapa final'!$R$66),"")</f>
        <v/>
      </c>
      <c r="AK49" s="42" t="str">
        <f>IF(AND('Mapa final'!$AH$67="Baja",'Mapa final'!$AJ$67="Catastrófico"),CONCATENATE("R2C",'Mapa final'!$R$67),"")</f>
        <v/>
      </c>
      <c r="AL49" s="42" t="str">
        <f>IF(AND('Mapa final'!$AH$68="Baja",'Mapa final'!$AJ$68="Catastrófico"),CONCATENATE("R2C",'Mapa final'!$R$68),"")</f>
        <v/>
      </c>
      <c r="AM49" s="42" t="str">
        <f>IF(AND('Mapa final'!$AH$69="Baja",'Mapa final'!$AJ$69="Catastrófico"),CONCATENATE("R2C",'Mapa final'!$R$69),"")</f>
        <v/>
      </c>
      <c r="AN49" s="43" t="str">
        <f>IF(AND('Mapa final'!$AH$70="Baja",'Mapa final'!$AJ$70="Catastrófico"),CONCATENATE("R2C",'Mapa final'!$R$70),"")</f>
        <v/>
      </c>
      <c r="AO49" s="68"/>
      <c r="AP49" s="503"/>
      <c r="AQ49" s="504"/>
      <c r="AR49" s="504"/>
      <c r="AS49" s="504"/>
      <c r="AT49" s="504"/>
      <c r="AU49" s="505"/>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380"/>
      <c r="D50" s="380"/>
      <c r="E50" s="381"/>
      <c r="F50" s="472"/>
      <c r="G50" s="473"/>
      <c r="H50" s="473"/>
      <c r="I50" s="473"/>
      <c r="J50" s="473"/>
      <c r="K50" s="62" t="str">
        <f>IF(AND('Mapa final'!$AH$71="Baja",'Mapa final'!$AJ$71="Leve"),CONCATENATE("R2C",'Mapa final'!$R$71),"")</f>
        <v/>
      </c>
      <c r="L50" s="63" t="str">
        <f>IF(AND('Mapa final'!$AH$72="Baja",'Mapa final'!$AJ$72="Leve"),CONCATENATE("R2C",'Mapa final'!$R$72),"")</f>
        <v/>
      </c>
      <c r="M50" s="63" t="str">
        <f>IF(AND('Mapa final'!$AH$73="Baja",'Mapa final'!$AJ$73="Leve"),CONCATENATE("R2C",'Mapa final'!$R$73),"")</f>
        <v/>
      </c>
      <c r="N50" s="63" t="str">
        <f>IF(AND('Mapa final'!$AH$74="Baja",'Mapa final'!$AJ$74="Leve"),CONCATENATE("R2C",'Mapa final'!$R$74),"")</f>
        <v/>
      </c>
      <c r="O50" s="63" t="str">
        <f>IF(AND('Mapa final'!$AH$75="Baja",'Mapa final'!$AJ$75="Leve"),CONCATENATE("R2C",'Mapa final'!$R$75),"")</f>
        <v/>
      </c>
      <c r="P50" s="64" t="str">
        <f>IF(AND('Mapa final'!$AH$76="Baja",'Mapa final'!$AJ$76="Leve"),CONCATENATE("R2C",'Mapa final'!$R$76),"")</f>
        <v/>
      </c>
      <c r="Q50" s="53" t="str">
        <f>IF(AND('Mapa final'!$AH$71="Baja",'Mapa final'!$AJ$71="Menor"),CONCATENATE("R2C",'Mapa final'!$R$71),"")</f>
        <v/>
      </c>
      <c r="R50" s="54" t="str">
        <f>IF(AND('Mapa final'!$AH$72="Baja",'Mapa final'!$AJ$72="Menor"),CONCATENATE("R2C",'Mapa final'!$R$72),"")</f>
        <v/>
      </c>
      <c r="S50" s="54" t="str">
        <f>IF(AND('Mapa final'!$AH$73="Baja",'Mapa final'!$AJ$73="Menor"),CONCATENATE("R2C",'Mapa final'!$R$73),"")</f>
        <v/>
      </c>
      <c r="T50" s="54" t="str">
        <f>IF(AND('Mapa final'!$AH$74="Baja",'Mapa final'!$AJ$74="Menor"),CONCATENATE("R2C",'Mapa final'!$R$74),"")</f>
        <v/>
      </c>
      <c r="U50" s="54" t="str">
        <f>IF(AND('Mapa final'!$AH$75="Baja",'Mapa final'!$AJ$75="Menor"),CONCATENATE("R2C",'Mapa final'!$R$75),"")</f>
        <v/>
      </c>
      <c r="V50" s="55" t="str">
        <f>IF(AND('Mapa final'!$AH$76="Baja",'Mapa final'!$AJ$76="Menor"),CONCATENATE("R2C",'Mapa final'!$R$76),"")</f>
        <v/>
      </c>
      <c r="W50" s="53" t="str">
        <f>IF(AND('Mapa final'!$AH$71="Baja",'Mapa final'!$AJ$71="Moderado"),CONCATENATE("R2C",'Mapa final'!$R$71),"")</f>
        <v/>
      </c>
      <c r="X50" s="54" t="str">
        <f>IF(AND('Mapa final'!$AH$72="Baja",'Mapa final'!$AJ$72="Moderado"),CONCATENATE("R2C",'Mapa final'!$R$72),"")</f>
        <v/>
      </c>
      <c r="Y50" s="54" t="str">
        <f>IF(AND('Mapa final'!$AH$73="Baja",'Mapa final'!$AJ$73="Moderado"),CONCATENATE("R2C",'Mapa final'!$R$73),"")</f>
        <v/>
      </c>
      <c r="Z50" s="54" t="str">
        <f>IF(AND('Mapa final'!$AH$74="Baja",'Mapa final'!$AJ$74="Moderado"),CONCATENATE("R2C",'Mapa final'!$R$74),"")</f>
        <v/>
      </c>
      <c r="AA50" s="54" t="str">
        <f>IF(AND('Mapa final'!$AH$75="Baja",'Mapa final'!$AJ$75="Moderado"),CONCATENATE("R2C",'Mapa final'!$R$75),"")</f>
        <v/>
      </c>
      <c r="AB50" s="55" t="str">
        <f>IF(AND('Mapa final'!$AH$76="Baja",'Mapa final'!$AJ$76="Moderado"),CONCATENATE("R2C",'Mapa final'!$R$76),"")</f>
        <v/>
      </c>
      <c r="AC50" s="38" t="str">
        <f>IF(AND('Mapa final'!$AH$71="Baja",'Mapa final'!$AJ$71="Mayor"),CONCATENATE("R2C",'Mapa final'!$R$71),"")</f>
        <v/>
      </c>
      <c r="AD50" s="39" t="str">
        <f>IF(AND('Mapa final'!$AH$72="Baja",'Mapa final'!$AJ$72="Mayor"),CONCATENATE("R2C",'Mapa final'!$R$72),"")</f>
        <v/>
      </c>
      <c r="AE50" s="39" t="str">
        <f>IF(AND('Mapa final'!$AH$73="Baja",'Mapa final'!$AJ$73="Mayor"),CONCATENATE("R2C",'Mapa final'!$R$73),"")</f>
        <v/>
      </c>
      <c r="AF50" s="39" t="str">
        <f>IF(AND('Mapa final'!$AH$74="Baja",'Mapa final'!$AJ$74="Mayor"),CONCATENATE("R2C",'Mapa final'!$R$74),"")</f>
        <v/>
      </c>
      <c r="AG50" s="39" t="str">
        <f>IF(AND('Mapa final'!$AH$75="Baja",'Mapa final'!$AJ$75="Mayor"),CONCATENATE("R2C",'Mapa final'!$R$75),"")</f>
        <v/>
      </c>
      <c r="AH50" s="40" t="str">
        <f>IF(AND('Mapa final'!$AH$76="Baja",'Mapa final'!$AJ$76="Mayor"),CONCATENATE("R2C",'Mapa final'!$R$76),"")</f>
        <v/>
      </c>
      <c r="AI50" s="41" t="str">
        <f>IF(AND('Mapa final'!$AH$71="Baja",'Mapa final'!$AJ$71="Catastrófico"),CONCATENATE("R2C",'Mapa final'!$R$71),"")</f>
        <v/>
      </c>
      <c r="AJ50" s="42" t="str">
        <f>IF(AND('Mapa final'!$AH$72="Baja",'Mapa final'!$AJ$72="Catastrófico"),CONCATENATE("R2C",'Mapa final'!$R$72),"")</f>
        <v/>
      </c>
      <c r="AK50" s="42" t="str">
        <f>IF(AND('Mapa final'!$AH$73="Baja",'Mapa final'!$AJ$73="Catastrófico"),CONCATENATE("R2C",'Mapa final'!$R$73),"")</f>
        <v/>
      </c>
      <c r="AL50" s="42" t="str">
        <f>IF(AND('Mapa final'!$AH$74="Baja",'Mapa final'!$AJ$74="Catastrófico"),CONCATENATE("R2C",'Mapa final'!$R$74),"")</f>
        <v/>
      </c>
      <c r="AM50" s="42" t="str">
        <f>IF(AND('Mapa final'!$AH$75="Baja",'Mapa final'!$AJ$75="Catastrófico"),CONCATENATE("R2C",'Mapa final'!$R$75),"")</f>
        <v/>
      </c>
      <c r="AN50" s="43" t="str">
        <f>IF(AND('Mapa final'!$AH$76="Baja",'Mapa final'!$AJ$76="Catastrófico"),CONCATENATE("R2C",'Mapa final'!$R$76),"")</f>
        <v/>
      </c>
      <c r="AO50" s="68"/>
      <c r="AP50" s="503"/>
      <c r="AQ50" s="504"/>
      <c r="AR50" s="504"/>
      <c r="AS50" s="504"/>
      <c r="AT50" s="504"/>
      <c r="AU50" s="505"/>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380"/>
      <c r="D51" s="380"/>
      <c r="E51" s="381"/>
      <c r="F51" s="475"/>
      <c r="G51" s="476"/>
      <c r="H51" s="476"/>
      <c r="I51" s="476"/>
      <c r="J51" s="476"/>
      <c r="K51" s="65" t="str">
        <f>IF(AND('Mapa final'!$AH$77="Baja",'Mapa final'!$AJ$77="Leve"),CONCATENATE("R2C",'Mapa final'!$R$77),"")</f>
        <v/>
      </c>
      <c r="L51" s="66" t="str">
        <f>IF(AND('Mapa final'!$AH$78="Baja",'Mapa final'!$AJ$78="Leve"),CONCATENATE("R2C",'Mapa final'!$R$78),"")</f>
        <v/>
      </c>
      <c r="M51" s="66" t="str">
        <f>IF(AND('Mapa final'!$AH$79="Baja",'Mapa final'!$AJ$79="Leve"),CONCATENATE("R2C",'Mapa final'!$R$79),"")</f>
        <v/>
      </c>
      <c r="N51" s="66" t="str">
        <f>IF(AND('Mapa final'!$AH$80="Baja",'Mapa final'!$AJ$80="Leve"),CONCATENATE("R2C",'Mapa final'!$R$80),"")</f>
        <v/>
      </c>
      <c r="O51" s="66" t="str">
        <f>IF(AND('Mapa final'!$AH$82="Baja",'Mapa final'!$AJ$82="Leve"),CONCATENATE("R2C",'Mapa final'!$R$82),"")</f>
        <v/>
      </c>
      <c r="P51" s="67" t="str">
        <f>IF(AND('Mapa final'!$AH$83="Baja",'Mapa final'!$AJ$83="Leve"),CONCATENATE("R2C",'Mapa final'!$R$83),"")</f>
        <v/>
      </c>
      <c r="Q51" s="53" t="str">
        <f>IF(AND('Mapa final'!$AH$77="Baja",'Mapa final'!$AJ$77="Menor"),CONCATENATE("R2C",'Mapa final'!$R$77),"")</f>
        <v/>
      </c>
      <c r="R51" s="54" t="str">
        <f>IF(AND('Mapa final'!$AH$78="Baja",'Mapa final'!$AJ$78="Menor"),CONCATENATE("R2C",'Mapa final'!$R$78),"")</f>
        <v/>
      </c>
      <c r="S51" s="54" t="str">
        <f>IF(AND('Mapa final'!$AH$79="Baja",'Mapa final'!$AJ$79="Menor"),CONCATENATE("R2C",'Mapa final'!$R$79),"")</f>
        <v/>
      </c>
      <c r="T51" s="54" t="str">
        <f>IF(AND('Mapa final'!$AH$80="Baja",'Mapa final'!$AJ$80="Menor"),CONCATENATE("R2C",'Mapa final'!$R$80),"")</f>
        <v/>
      </c>
      <c r="U51" s="54" t="str">
        <f>IF(AND('Mapa final'!$AH$82="Baja",'Mapa final'!$AJ$82="Menor"),CONCATENATE("R2C",'Mapa final'!$R$82),"")</f>
        <v/>
      </c>
      <c r="V51" s="55" t="str">
        <f>IF(AND('Mapa final'!$AH$83="Baja",'Mapa final'!$AJ$83="Menor"),CONCATENATE("R2C",'Mapa final'!$R$83),"")</f>
        <v/>
      </c>
      <c r="W51" s="56" t="str">
        <f>IF(AND('Mapa final'!$AH$77="Baja",'Mapa final'!$AJ$77="Moderado"),CONCATENATE("R2C",'Mapa final'!$R$77),"")</f>
        <v/>
      </c>
      <c r="X51" s="57" t="str">
        <f>IF(AND('Mapa final'!$AH$78="Baja",'Mapa final'!$AJ$78="Moderado"),CONCATENATE("R2C",'Mapa final'!$R$78),"")</f>
        <v/>
      </c>
      <c r="Y51" s="57" t="str">
        <f>IF(AND('Mapa final'!$AH$79="Baja",'Mapa final'!$AJ$79="Moderado"),CONCATENATE("R2C",'Mapa final'!$R$79),"")</f>
        <v/>
      </c>
      <c r="Z51" s="57" t="str">
        <f>IF(AND('Mapa final'!$AH$80="Baja",'Mapa final'!$AJ$80="Moderado"),CONCATENATE("R2C",'Mapa final'!$R$80),"")</f>
        <v/>
      </c>
      <c r="AA51" s="57" t="str">
        <f>IF(AND('Mapa final'!$AH$82="Baja",'Mapa final'!$AJ$82="Moderado"),CONCATENATE("R2C",'Mapa final'!$R$82),"")</f>
        <v/>
      </c>
      <c r="AB51" s="58" t="str">
        <f>IF(AND('Mapa final'!$AH$83="Baja",'Mapa final'!$AJ$83="Moderado"),CONCATENATE("R2C",'Mapa final'!$R$83),"")</f>
        <v/>
      </c>
      <c r="AC51" s="44" t="str">
        <f>IF(AND('Mapa final'!$AH$77="Baja",'Mapa final'!$AJ$77="Mayor"),CONCATENATE("R2C",'Mapa final'!$R$77),"")</f>
        <v/>
      </c>
      <c r="AD51" s="45" t="str">
        <f>IF(AND('Mapa final'!$AH$78="Baja",'Mapa final'!$AJ$78="Mayor"),CONCATENATE("R2C",'Mapa final'!$R$78),"")</f>
        <v/>
      </c>
      <c r="AE51" s="45" t="str">
        <f>IF(AND('Mapa final'!$AH$79="Baja",'Mapa final'!$AJ$79="Mayor"),CONCATENATE("R2C",'Mapa final'!$R$79),"")</f>
        <v/>
      </c>
      <c r="AF51" s="45" t="str">
        <f>IF(AND('Mapa final'!$AH$80="Baja",'Mapa final'!$AJ$80="Mayor"),CONCATENATE("R2C",'Mapa final'!$R$80),"")</f>
        <v/>
      </c>
      <c r="AG51" s="45" t="str">
        <f>IF(AND('Mapa final'!$AH$82="Baja",'Mapa final'!$AJ$82="Mayor"),CONCATENATE("R2C",'Mapa final'!$R$82),"")</f>
        <v/>
      </c>
      <c r="AH51" s="46" t="str">
        <f>IF(AND('Mapa final'!$AH$83="Baja",'Mapa final'!$AJ$83="Mayor"),CONCATENATE("R2C",'Mapa final'!$R$83),"")</f>
        <v/>
      </c>
      <c r="AI51" s="47" t="str">
        <f>IF(AND('Mapa final'!$AH$77="Baja",'Mapa final'!$AJ$77="Catastrófico"),CONCATENATE("R2C",'Mapa final'!$R$77),"")</f>
        <v/>
      </c>
      <c r="AJ51" s="48" t="str">
        <f>IF(AND('Mapa final'!$AH$78="Baja",'Mapa final'!$AJ$78="Catastrófico"),CONCATENATE("R2C",'Mapa final'!$R$78),"")</f>
        <v/>
      </c>
      <c r="AK51" s="48" t="str">
        <f>IF(AND('Mapa final'!$AH$79="Baja",'Mapa final'!$AJ$79="Catastrófico"),CONCATENATE("R2C",'Mapa final'!$R$79),"")</f>
        <v/>
      </c>
      <c r="AL51" s="48" t="str">
        <f>IF(AND('Mapa final'!$AH$80="Baja",'Mapa final'!$AJ$80="Catastrófico"),CONCATENATE("R2C",'Mapa final'!$R$80),"")</f>
        <v/>
      </c>
      <c r="AM51" s="48" t="str">
        <f>IF(AND('Mapa final'!$AH$82="Baja",'Mapa final'!$AJ$82="Catastrófico"),CONCATENATE("R2C",'Mapa final'!$R$82),"")</f>
        <v/>
      </c>
      <c r="AN51" s="49" t="str">
        <f>IF(AND('Mapa final'!$AH$83="Baja",'Mapa final'!$AJ$83="Catastrófico"),CONCATENATE("R2C",'Mapa final'!$R$83),"")</f>
        <v/>
      </c>
      <c r="AO51" s="68"/>
      <c r="AP51" s="506"/>
      <c r="AQ51" s="507"/>
      <c r="AR51" s="507"/>
      <c r="AS51" s="507"/>
      <c r="AT51" s="507"/>
      <c r="AU51" s="508"/>
    </row>
    <row r="52" spans="2:81" ht="41.25" customHeight="1">
      <c r="B52" s="68"/>
      <c r="C52" s="380"/>
      <c r="D52" s="380"/>
      <c r="E52" s="381"/>
      <c r="F52" s="469" t="s">
        <v>300</v>
      </c>
      <c r="G52" s="470"/>
      <c r="H52" s="470"/>
      <c r="I52" s="470"/>
      <c r="J52" s="471"/>
      <c r="K52" s="59"/>
      <c r="L52" s="60" t="str">
        <f>IF(AND('Mapa final'!$AH$16="Muy Baja",'Mapa final'!$AJ$16="Leve"),CONCATENATE("R2C",'Mapa final'!$R$15),"")</f>
        <v/>
      </c>
      <c r="M52" s="60" t="str">
        <f>IF(AND('Mapa final'!$AH$17="Muy Baja",'Mapa final'!$AJ$17="Leve"),CONCATENATE("R2C",'Mapa final'!$R$17),"")</f>
        <v/>
      </c>
      <c r="N52" s="60" t="e">
        <f>IF(AND('Mapa final'!#REF!="Muy Baja",'Mapa final'!#REF!="Leve"),CONCATENATE("R2C",'Mapa final'!#REF!),"")</f>
        <v>#REF!</v>
      </c>
      <c r="O52" s="60" t="str">
        <f>IF(AND('Mapa final'!$AH$19="Muy Baja",'Mapa final'!$AJ$19="Leve"),CONCATENATE("R2C",'Mapa final'!$R$19),"")</f>
        <v/>
      </c>
      <c r="P52" s="61" t="str">
        <f>IF(AND('Mapa final'!$AH$20="Muy Baja",'Mapa final'!$AJ$20="Leve"),CONCATENATE("R2C",'Mapa final'!$R$20),"")</f>
        <v/>
      </c>
      <c r="Q52" s="59"/>
      <c r="R52" s="60" t="str">
        <f>IF(AND('Mapa final'!$AH$16="Muy Baja",'Mapa final'!$AJ$16="Menore"),CONCATENATE("R2C",'Mapa final'!$R$15),"")</f>
        <v/>
      </c>
      <c r="S52" s="60" t="str">
        <f>IF(AND('Mapa final'!$AH$17="Muy Baja",'Mapa final'!$AJ$17="Menor"),CONCATENATE("R2C",'Mapa final'!$R$17),"")</f>
        <v/>
      </c>
      <c r="T52" s="60" t="e">
        <f>IF(AND('Mapa final'!#REF!="Muy Baja",'Mapa final'!#REF!="Menor"),CONCATENATE("R2C",'Mapa final'!#REF!),"")</f>
        <v>#REF!</v>
      </c>
      <c r="U52" s="60" t="str">
        <f>IF(AND('Mapa final'!$AH$19="Muy Baja",'Mapa final'!$AJ$19="Menor"),CONCATENATE("R2C",'Mapa final'!$R$19),"")</f>
        <v/>
      </c>
      <c r="V52" s="61" t="str">
        <f>IF(AND('Mapa final'!$AH$20="Muy Baja",'Mapa final'!$AJ$20="Menor"),CONCATENATE("R2C",'Mapa final'!$R$20),"")</f>
        <v/>
      </c>
      <c r="W52" s="50"/>
      <c r="X52" s="165" t="str">
        <f>IF(AND('Mapa final'!$AH$16="Muy Baja",'Mapa final'!$AJ$16="Moderado"),CONCATENATE("R2C",'Mapa final'!$D$15),"")</f>
        <v/>
      </c>
      <c r="Y52" s="51"/>
      <c r="Z52" s="51" t="e">
        <f>IF(AND('Mapa final'!#REF!="Muy Baja",'Mapa final'!#REF!="Moderado"),CONCATENATE("R2C",'Mapa final'!#REF!),"")</f>
        <v>#REF!</v>
      </c>
      <c r="AA52" s="51" t="str">
        <f>IF(AND('Mapa final'!$AH$19="Muy Baja",'Mapa final'!$AJ$19="Moderado"),CONCATENATE("R2C",'Mapa final'!$R$19),"")</f>
        <v/>
      </c>
      <c r="AB52" s="52" t="str">
        <f>IF(AND('Mapa final'!$AH$20="Muy Baja",'Mapa final'!$AJ$20="Moderado"),CONCATENATE("R2C",'Mapa final'!$R$20),"")</f>
        <v/>
      </c>
      <c r="AC52" s="32"/>
      <c r="AD52" s="33" t="str">
        <f>IF(AND('Mapa final'!$AH$16="Muy Baja",'Mapa final'!$AJ$16="Mayor"),CONCATENATE("R2C",'Mapa final'!$R$15),"")</f>
        <v/>
      </c>
      <c r="AE52" s="164" t="str">
        <f>IF(AND('Mapa final'!$AH$17="Muy Baja",'Mapa final'!$AJ$17="Mayor"),CONCATENATE("R2C",'Mapa final'!$D$17),"")</f>
        <v/>
      </c>
      <c r="AF52" s="33" t="e">
        <f>IF(AND('Mapa final'!#REF!="Muy Baja",'Mapa final'!#REF!="Mayor"),CONCATENATE("R2C",'Mapa final'!#REF!),"")</f>
        <v>#REF!</v>
      </c>
      <c r="AG52" s="33" t="str">
        <f>IF(AND('Mapa final'!$AH$19="Muy Baja",'Mapa final'!$AJ$19="Mayor"),CONCATENATE("R2C",'Mapa final'!$R$19),"")</f>
        <v/>
      </c>
      <c r="AH52" s="34" t="str">
        <f>IF(AND('Mapa final'!$AH$20="Muy Baja",'Mapa final'!$AJ$20="Mayor"),CONCATENATE("R2C",'Mapa final'!$R$20),"")</f>
        <v/>
      </c>
      <c r="AI52" s="35"/>
      <c r="AJ52" s="36" t="str">
        <f>IF(AND('Mapa final'!$AH$16="Muy Baja",'Mapa final'!$AJ$16="Catastrófico"),CONCATENATE("R2C",'Mapa final'!$D$15),"")</f>
        <v/>
      </c>
      <c r="AK52" s="36" t="str">
        <f>IF(AND('Mapa final'!$AH$17="Muy Baja",'Mapa final'!$AJ$17="Catastrófico"),CONCATENATE("R2C",'Mapa final'!$R$17),"")</f>
        <v/>
      </c>
      <c r="AL52" s="36" t="e">
        <f>IF(AND('Mapa final'!#REF!="Muy Baja",'Mapa final'!#REF!="Catastrófico"),CONCATENATE("R2C",'Mapa final'!#REF!),"")</f>
        <v>#REF!</v>
      </c>
      <c r="AM52" s="36" t="str">
        <f>IF(AND('Mapa final'!$AH$19="Muy Baja",'Mapa final'!$AJ$19="Catastrófico"),CONCATENATE("R2C",'Mapa final'!$R$19),"")</f>
        <v/>
      </c>
      <c r="AN52" s="37" t="str">
        <f>IF(AND('Mapa final'!$AH$20="Muy Baja",'Mapa final'!$AJ$20="Catastrófico"),CONCATENATE("R2C",'Mapa final'!$R$20),"")</f>
        <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c r="B53" s="68"/>
      <c r="C53" s="380"/>
      <c r="D53" s="380"/>
      <c r="E53" s="381"/>
      <c r="F53" s="487"/>
      <c r="G53" s="473"/>
      <c r="H53" s="473"/>
      <c r="I53" s="473"/>
      <c r="J53" s="474"/>
      <c r="K53" s="62" t="str">
        <f>IF(AND('Mapa final'!$AH$21="Muy Baja",'Mapa final'!$AJ$21="Leve"),CONCATENATE("R2C",'Mapa final'!$R$21),"")</f>
        <v/>
      </c>
      <c r="L53" s="63" t="str">
        <f>IF(AND('Mapa final'!$AH$22="Muy Baja",'Mapa final'!$AJ$22="Leve"),CONCATENATE("R2C",'Mapa final'!$R$22),"")</f>
        <v/>
      </c>
      <c r="M53" s="63" t="str">
        <f>IF(AND('Mapa final'!$AH$31="Muy Baja",'Mapa final'!$AJ$31="Leve"),CONCATENATE("R2C",'Mapa final'!$R$31),"")</f>
        <v/>
      </c>
      <c r="N53" s="63" t="str">
        <f>IF(AND('Mapa final'!$AH$32="Muy Baja",'Mapa final'!$AJ$32="Leve"),CONCATENATE("R2C",'Mapa final'!$R$32),"")</f>
        <v/>
      </c>
      <c r="O53" s="63" t="str">
        <f>IF(AND('Mapa final'!$AH$33="Muy Baja",'Mapa final'!$AJ$33="Leve"),CONCATENATE("R2C",'Mapa final'!$R$33),"")</f>
        <v/>
      </c>
      <c r="P53" s="64" t="str">
        <f>IF(AND('Mapa final'!$AH$34="Muy Baja",'Mapa final'!$AJ$34="Leve"),CONCATENATE("R2C",'Mapa final'!$R$34),"")</f>
        <v/>
      </c>
      <c r="Q53" s="62" t="str">
        <f>IF(AND('Mapa final'!$AH$21="Muy Baja",'Mapa final'!$AJ$21="Menor"),CONCATENATE("R2C",'Mapa final'!$R$21),"")</f>
        <v/>
      </c>
      <c r="R53" s="63" t="str">
        <f>IF(AND('Mapa final'!$AH$22="Muy Baja",'Mapa final'!$AJ$22="Menor"),CONCATENATE("R2C",'Mapa final'!$R$22),"")</f>
        <v/>
      </c>
      <c r="S53" s="63" t="str">
        <f>IF(AND('Mapa final'!$AH$31="Muy Baja",'Mapa final'!$AJ$31="Menor"),CONCATENATE("R2C",'Mapa final'!$R$31),"")</f>
        <v/>
      </c>
      <c r="T53" s="63" t="str">
        <f>IF(AND('Mapa final'!$AH$32="Muy Baja",'Mapa final'!$AJ$32="Menor"),CONCATENATE("R2C",'Mapa final'!$R$32),"")</f>
        <v/>
      </c>
      <c r="U53" s="63" t="str">
        <f>IF(AND('Mapa final'!$AH$33="Muy Baja",'Mapa final'!$AJ$33="Menor"),CONCATENATE("R2C",'Mapa final'!$R$33),"")</f>
        <v/>
      </c>
      <c r="V53" s="64" t="str">
        <f>IF(AND('Mapa final'!$AH$34="Muy Baja",'Mapa final'!$AJ$34="Menor"),CONCATENATE("R2C",'Mapa final'!$R$34),"")</f>
        <v/>
      </c>
      <c r="W53" s="53" t="str">
        <f>IF(AND('Mapa final'!$AH$21="Muy Baja",'Mapa final'!$AJ$21="Moderado"),CONCATENATE("R2C",'Mapa final'!$R$21),"")</f>
        <v/>
      </c>
      <c r="X53" s="54" t="str">
        <f>IF(AND('Mapa final'!$AH$22="Muy Baja",'Mapa final'!$AJ$22="Moderado"),CONCATENATE("R2C",'Mapa final'!$R$22),"")</f>
        <v/>
      </c>
      <c r="Y53" s="54" t="str">
        <f>IF(AND('Mapa final'!$AH$31="Muy Baja",'Mapa final'!$AJ$31="Moderado"),CONCATENATE("R2C",'Mapa final'!$R$31),"")</f>
        <v/>
      </c>
      <c r="Z53" s="54" t="str">
        <f>IF(AND('Mapa final'!$AH$32="Muy Baja",'Mapa final'!$AJ$32="Moderado"),CONCATENATE("R2C",'Mapa final'!$R$32),"")</f>
        <v/>
      </c>
      <c r="AA53" s="54" t="str">
        <f>IF(AND('Mapa final'!$AH$33="Muy Baja",'Mapa final'!$AJ$33="Moderado"),CONCATENATE("R2C",'Mapa final'!$R$33),"")</f>
        <v/>
      </c>
      <c r="AB53" s="55" t="str">
        <f>IF(AND('Mapa final'!$AH$34="Muy Baja",'Mapa final'!$AJ$34="Moderado"),CONCATENATE("R2C",'Mapa final'!$R$34),"")</f>
        <v/>
      </c>
      <c r="AC53" s="38" t="str">
        <f>IF(AND('Mapa final'!$AH$21="Muy Baja",'Mapa final'!$AJ$21="Mayor"),CONCATENATE("R2C",'Mapa final'!$R$21),"")</f>
        <v/>
      </c>
      <c r="AD53" s="39" t="str">
        <f>IF(AND('Mapa final'!$AH$22="Muy Baja",'Mapa final'!$AJ$22="Mayor"),CONCATENATE("R2C",'Mapa final'!$R$22),"")</f>
        <v/>
      </c>
      <c r="AE53" s="39" t="str">
        <f>IF(AND('Mapa final'!$AH$31="Muy Baja",'Mapa final'!$AJ$31="Mayor"),CONCATENATE("R2C",'Mapa final'!$R$31),"")</f>
        <v/>
      </c>
      <c r="AF53" s="39" t="str">
        <f>IF(AND('Mapa final'!$AH$32="Muy Baja",'Mapa final'!$AJ$32="Mayor"),CONCATENATE("R2C",'Mapa final'!$R$32),"")</f>
        <v/>
      </c>
      <c r="AG53" s="39" t="str">
        <f>IF(AND('Mapa final'!$AH$33="Muy Baja",'Mapa final'!$AJ$33="Mayor"),CONCATENATE("R2C",'Mapa final'!$R$33),"")</f>
        <v/>
      </c>
      <c r="AH53" s="40" t="str">
        <f>IF(AND('Mapa final'!$AH$34="Muy Baja",'Mapa final'!$AJ$34="Mayor"),CONCATENATE("R2C",'Mapa final'!$R$34),"")</f>
        <v/>
      </c>
      <c r="AI53" s="41" t="str">
        <f>IF(AND('Mapa final'!$AH$21="Muy Baja",'Mapa final'!$AJ$21="Catastrófico"),CONCATENATE("R2C",'Mapa final'!$A$21),"")</f>
        <v/>
      </c>
      <c r="AJ53" s="42" t="str">
        <f>IF(AND('Mapa final'!$AH$22="Muy Baja",'Mapa final'!$AJ$22="Catastrófico"),CONCATENATE("R2C",'Mapa final'!$R$22),"")</f>
        <v/>
      </c>
      <c r="AK53" s="42" t="str">
        <f>IF(AND('Mapa final'!$AH$31="Muy Baja",'Mapa final'!$AJ$31="Catastrófico"),CONCATENATE("R2C",'Mapa final'!$R$31),"")</f>
        <v/>
      </c>
      <c r="AL53" s="42" t="str">
        <f>IF(AND('Mapa final'!$AH$32="Muy Baja",'Mapa final'!$AJ$32="Catastrófico"),CONCATENATE("R2C",'Mapa final'!$R$32),"")</f>
        <v/>
      </c>
      <c r="AM53" s="42" t="str">
        <f>IF(AND('Mapa final'!$AH$33="Muy Baja",'Mapa final'!$AJ$33="Catastrófico"),CONCATENATE("R2C",'Mapa final'!$R$33),"")</f>
        <v/>
      </c>
      <c r="AN53" s="43" t="str">
        <f>IF(AND('Mapa final'!$AH$34="Muy Baja",'Mapa final'!$AJ$34="Catastrófico"),CONCATENATE("R2C",'Mapa final'!$R$34),"")</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c r="B54" s="68"/>
      <c r="C54" s="380"/>
      <c r="D54" s="380"/>
      <c r="E54" s="381"/>
      <c r="F54" s="487"/>
      <c r="G54" s="473"/>
      <c r="H54" s="473"/>
      <c r="I54" s="473"/>
      <c r="J54" s="474"/>
      <c r="K54" s="62" t="str">
        <f>IF(AND('Mapa final'!$AH$35="Muy Baja",'Mapa final'!$AJ$35="Leve"),CONCATENATE("R2C",'Mapa final'!$R$35),"")</f>
        <v/>
      </c>
      <c r="L54" s="63" t="str">
        <f>IF(AND('Mapa final'!$AH$36="Muy Baja",'Mapa final'!$AJ$36="Leve"),CONCATENATE("R2C",'Mapa final'!$R$36),"")</f>
        <v/>
      </c>
      <c r="M54" s="63" t="str">
        <f>IF(AND('Mapa final'!$AH$37="Muy Baja",'Mapa final'!$AJ$37="Leve"),CONCATENATE("R2C",'Mapa final'!$R$37),"")</f>
        <v/>
      </c>
      <c r="N54" s="63" t="str">
        <f>IF(AND('Mapa final'!$AH$38="Muy Baja",'Mapa final'!$AJ$38="Leve"),CONCATENATE("R2C",'Mapa final'!$R$38),"")</f>
        <v/>
      </c>
      <c r="O54" s="63" t="str">
        <f>IF(AND('Mapa final'!$AH$39="Muy Baja",'Mapa final'!$AJ$39="Leve"),CONCATENATE("R2C",'Mapa final'!$R$39),"")</f>
        <v/>
      </c>
      <c r="P54" s="64" t="str">
        <f>IF(AND('Mapa final'!$AH$40="Muy Baja",'Mapa final'!$AJ$40="Leve"),CONCATENATE("R2C",'Mapa final'!$R$40),"")</f>
        <v/>
      </c>
      <c r="Q54" s="62" t="str">
        <f>IF(AND('Mapa final'!$AH$35="Muy Baja",'Mapa final'!$AJ$35="Menor"),CONCATENATE("R2C",'Mapa final'!$R$35),"")</f>
        <v/>
      </c>
      <c r="R54" s="63" t="str">
        <f>IF(AND('Mapa final'!$AH$36="Muy Baja",'Mapa final'!$AJ$36="Menor"),CONCATENATE("R2C",'Mapa final'!$R$36),"")</f>
        <v/>
      </c>
      <c r="S54" s="63" t="str">
        <f>IF(AND('Mapa final'!$AH$37="Muy Baja",'Mapa final'!$AJ$37="Menor"),CONCATENATE("R2C",'Mapa final'!$R$37),"")</f>
        <v/>
      </c>
      <c r="T54" s="63" t="str">
        <f>IF(AND('Mapa final'!$AH$38="Muy Baja",'Mapa final'!$AJ$38="Menor"),CONCATENATE("R2C",'Mapa final'!$R$38),"")</f>
        <v/>
      </c>
      <c r="U54" s="63" t="str">
        <f>IF(AND('Mapa final'!$AH$39="Muy Baja",'Mapa final'!$AJ$39="Menor"),CONCATENATE("R2C",'Mapa final'!$R$39),"")</f>
        <v/>
      </c>
      <c r="V54" s="64" t="str">
        <f>IF(AND('Mapa final'!$AH$40="Muy Baja",'Mapa final'!$AJ$40="Menor"),CONCATENATE("R2C",'Mapa final'!$R$40),"")</f>
        <v/>
      </c>
      <c r="W54" s="53" t="str">
        <f>IF(AND('Mapa final'!$AH$35="Muy Baja",'Mapa final'!$AJ$35="Moderado"),CONCATENATE("R2C",'Mapa final'!$R$35),"")</f>
        <v/>
      </c>
      <c r="X54" s="54" t="str">
        <f>IF(AND('Mapa final'!$AH$36="Muy Baja",'Mapa final'!$AJ$36="Moderado"),CONCATENATE("R2C",'Mapa final'!$R$36),"")</f>
        <v/>
      </c>
      <c r="Y54" s="54" t="str">
        <f>IF(AND('Mapa final'!$AH$37="Muy Baja",'Mapa final'!$AJ$37="Moderado"),CONCATENATE("R2C",'Mapa final'!$R$37),"")</f>
        <v/>
      </c>
      <c r="Z54" s="54" t="str">
        <f>IF(AND('Mapa final'!$AH$38="Muy Baja",'Mapa final'!$AJ$38="Moderado"),CONCATENATE("R2C",'Mapa final'!$R$38),"")</f>
        <v/>
      </c>
      <c r="AA54" s="54" t="str">
        <f>IF(AND('Mapa final'!$AH$39="Muy Baja",'Mapa final'!$AJ$39="Moderado"),CONCATENATE("R2C",'Mapa final'!$R$39),"")</f>
        <v/>
      </c>
      <c r="AB54" s="55" t="str">
        <f>IF(AND('Mapa final'!$AH$40="Muy Baja",'Mapa final'!$AJ$40="Moderado"),CONCATENATE("R2C",'Mapa final'!$R$40),"")</f>
        <v/>
      </c>
      <c r="AC54" s="38" t="str">
        <f>IF(AND('Mapa final'!$AH$35="Muy Baja",'Mapa final'!$AJ$35="Mayor"),CONCATENATE("R2C",'Mapa final'!$R$35),"")</f>
        <v/>
      </c>
      <c r="AD54" s="39" t="str">
        <f>IF(AND('Mapa final'!$AH$36="Muy Baja",'Mapa final'!$AJ$36="Mayor"),CONCATENATE("R2C",'Mapa final'!$R$36),"")</f>
        <v/>
      </c>
      <c r="AE54" s="39" t="str">
        <f>IF(AND('Mapa final'!$AH$37="Muy Baja",'Mapa final'!$AJ$37="Mayor"),CONCATENATE("R2C",'Mapa final'!$R$37),"")</f>
        <v/>
      </c>
      <c r="AF54" s="39" t="str">
        <f>IF(AND('Mapa final'!$AH$38="Muy Baja",'Mapa final'!$AJ$38="Mayor"),CONCATENATE("R2C",'Mapa final'!$R$38),"")</f>
        <v/>
      </c>
      <c r="AG54" s="39" t="str">
        <f>IF(AND('Mapa final'!$AH$39="Muy Baja",'Mapa final'!$AJ$39="Mayor"),CONCATENATE("R2C",'Mapa final'!$R$39),"")</f>
        <v/>
      </c>
      <c r="AH54" s="40" t="str">
        <f>IF(AND('Mapa final'!$AH$40="Muy Baja",'Mapa final'!$AJ$40="Mayor"),CONCATENATE("R2C",'Mapa final'!$R$40),"")</f>
        <v/>
      </c>
      <c r="AI54" s="41" t="str">
        <f>IF(AND('Mapa final'!$AH$35="Muy Baja",'Mapa final'!$AJ$35="Catastrófico"),CONCATENATE("R2C",'Mapa final'!$R$35),"")</f>
        <v/>
      </c>
      <c r="AJ54" s="42" t="str">
        <f>IF(AND('Mapa final'!$AH$36="Muy Baja",'Mapa final'!$AJ$36="Catastrófico"),CONCATENATE("R2C",'Mapa final'!$R$36),"")</f>
        <v/>
      </c>
      <c r="AK54" s="42" t="str">
        <f>IF(AND('Mapa final'!$AH$37="Muy Baja",'Mapa final'!$AJ$37="Catastrófico"),CONCATENATE("R2C",'Mapa final'!$R$37),"")</f>
        <v/>
      </c>
      <c r="AL54" s="42" t="str">
        <f>IF(AND('Mapa final'!$AH$38="Muy Baja",'Mapa final'!$AJ$38="Catastrófico"),CONCATENATE("R2C",'Mapa final'!$R$38),"")</f>
        <v/>
      </c>
      <c r="AM54" s="42" t="str">
        <f>IF(AND('Mapa final'!$AH$39="Muy Baja",'Mapa final'!$AJ$39="Catastrófico"),CONCATENATE("R2C",'Mapa final'!$R$39),"")</f>
        <v/>
      </c>
      <c r="AN54" s="43" t="str">
        <f>IF(AND('Mapa final'!$AH$40="Muy Baja",'Mapa final'!$AJ$40="Catastrófico"),CONCATENATE("R2C",'Mapa final'!$R$40),"")</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c r="B55" s="68"/>
      <c r="C55" s="380"/>
      <c r="D55" s="380"/>
      <c r="E55" s="381"/>
      <c r="F55" s="472"/>
      <c r="G55" s="473"/>
      <c r="H55" s="473"/>
      <c r="I55" s="473"/>
      <c r="J55" s="474"/>
      <c r="K55" s="62" t="str">
        <f>IF(AND('Mapa final'!$AH$41="Muy Baja",'Mapa final'!$AJ$41="Leve"),CONCATENATE("R2C",'Mapa final'!$R$41),"")</f>
        <v/>
      </c>
      <c r="L55" s="63" t="str">
        <f>IF(AND('Mapa final'!$AH$42="Muy Baja",'Mapa final'!$AJ$42="Leve"),CONCATENATE("R2C",'Mapa final'!$R$42),"")</f>
        <v/>
      </c>
      <c r="M55" s="63" t="str">
        <f>IF(AND('Mapa final'!$AH$43="Muy Baja",'Mapa final'!$AJ$43="Leve"),CONCATENATE("R2C",'Mapa final'!$R$43),"")</f>
        <v/>
      </c>
      <c r="N55" s="63" t="str">
        <f>IF(AND('Mapa final'!$AH$44="Muy Baja",'Mapa final'!$AJ$44="Leve"),CONCATENATE("R2C",'Mapa final'!$R$44),"")</f>
        <v/>
      </c>
      <c r="O55" s="63" t="str">
        <f>IF(AND('Mapa final'!$AH$45="Muy Baja",'Mapa final'!$AJ$45="Leve"),CONCATENATE("R2C",'Mapa final'!$R$45),"")</f>
        <v/>
      </c>
      <c r="P55" s="64" t="str">
        <f>IF(AND('Mapa final'!$AH$46="Muy Baja",'Mapa final'!$AJ$46="Leve"),CONCATENATE("R2C",'Mapa final'!$R$46),"")</f>
        <v/>
      </c>
      <c r="Q55" s="62" t="str">
        <f>IF(AND('Mapa final'!$AH$41="Muy Baja",'Mapa final'!$AJ$41="Menor"),CONCATENATE("R2C",'Mapa final'!$R$41),"")</f>
        <v/>
      </c>
      <c r="R55" s="63" t="str">
        <f>IF(AND('Mapa final'!$AH$42="Muy Baja",'Mapa final'!$AJ$42="Menor"),CONCATENATE("R2C",'Mapa final'!$R$42),"")</f>
        <v/>
      </c>
      <c r="S55" s="63" t="str">
        <f>IF(AND('Mapa final'!$AH$43="Muy Baja",'Mapa final'!$AJ$43="Menor"),CONCATENATE("R2C",'Mapa final'!$R$43),"")</f>
        <v/>
      </c>
      <c r="T55" s="63" t="str">
        <f>IF(AND('Mapa final'!$AH$44="Muy Baja",'Mapa final'!$AJ$44="Menor"),CONCATENATE("R2C",'Mapa final'!$R$44),"")</f>
        <v/>
      </c>
      <c r="U55" s="63" t="str">
        <f>IF(AND('Mapa final'!$AH$45="Muy Baja",'Mapa final'!$AJ$45="LMenor"),CONCATENATE("R2C",'Mapa final'!$R$45),"")</f>
        <v/>
      </c>
      <c r="V55" s="64" t="str">
        <f>IF(AND('Mapa final'!$AH$46="Muy Baja",'Mapa final'!$AJ$46="Menor"),CONCATENATE("R2C",'Mapa final'!$R$46),"")</f>
        <v/>
      </c>
      <c r="W55" s="53" t="str">
        <f>IF(AND('Mapa final'!$AH$41="Muy Baja",'Mapa final'!$AJ$41="Moderado"),CONCATENATE("R2C",'Mapa final'!$R$41),"")</f>
        <v/>
      </c>
      <c r="X55" s="54" t="str">
        <f>IF(AND('Mapa final'!$AH$42="Muy Baja",'Mapa final'!$AJ$42="Moderado"),CONCATENATE("R2C",'Mapa final'!$R$42),"")</f>
        <v/>
      </c>
      <c r="Y55" s="54" t="str">
        <f>IF(AND('Mapa final'!$AH$43="Muy Baja",'Mapa final'!$AJ$43="Moderado"),CONCATENATE("R2C",'Mapa final'!$R$43),"")</f>
        <v/>
      </c>
      <c r="Z55" s="54" t="str">
        <f>IF(AND('Mapa final'!$AH$44="Muy Baja",'Mapa final'!$AJ$44="Moderado"),CONCATENATE("R2C",'Mapa final'!$R$44),"")</f>
        <v/>
      </c>
      <c r="AA55" s="54" t="str">
        <f>IF(AND('Mapa final'!$AH$45="Muy Baja",'Mapa final'!$AJ$45="Moderado"),CONCATENATE("R2C",'Mapa final'!$R$45),"")</f>
        <v/>
      </c>
      <c r="AB55" s="55" t="str">
        <f>IF(AND('Mapa final'!$AH$46="Muy Baja",'Mapa final'!$AJ$46="Moderado"),CONCATENATE("R2C",'Mapa final'!$R$46),"")</f>
        <v/>
      </c>
      <c r="AC55" s="38" t="str">
        <f>IF(AND('Mapa final'!$AH$41="Muy Baja",'Mapa final'!$AJ$41="Mayor"),CONCATENATE("R2C",'Mapa final'!$R$41),"")</f>
        <v/>
      </c>
      <c r="AD55" s="39" t="str">
        <f>IF(AND('Mapa final'!$AH$42="Muy Baja",'Mapa final'!$AJ$42="Mayor"),CONCATENATE("R2C",'Mapa final'!$R$42),"")</f>
        <v/>
      </c>
      <c r="AE55" s="39" t="str">
        <f>IF(AND('Mapa final'!$AH$43="Muy Baja",'Mapa final'!$AJ$43="Mayor"),CONCATENATE("R2C",'Mapa final'!$R$43),"")</f>
        <v/>
      </c>
      <c r="AF55" s="39" t="str">
        <f>IF(AND('Mapa final'!$AH$44="Muy Baja",'Mapa final'!$AJ$44="Mayor"),CONCATENATE("R2C",'Mapa final'!$R$44),"")</f>
        <v/>
      </c>
      <c r="AG55" s="39" t="str">
        <f>IF(AND('Mapa final'!$AH$45="Muy Baja",'Mapa final'!$AJ$45="Mayor"),CONCATENATE("R2C",'Mapa final'!$R$45),"")</f>
        <v/>
      </c>
      <c r="AH55" s="40" t="str">
        <f>IF(AND('Mapa final'!$AH$46="Muy Baja",'Mapa final'!$AJ$46="Mayor"),CONCATENATE("R2C",'Mapa final'!$R$46),"")</f>
        <v/>
      </c>
      <c r="AI55" s="41" t="str">
        <f>IF(AND('Mapa final'!$AH$41="Muy Baja",'Mapa final'!$AJ$41="Catastrófico"),CONCATENATE("R2C",'Mapa final'!$R$41),"")</f>
        <v/>
      </c>
      <c r="AJ55" s="42" t="str">
        <f>IF(AND('Mapa final'!$AH$42="Muy Baja",'Mapa final'!$AJ$42="Catastrófico"),CONCATENATE("R2C",'Mapa final'!$R$42),"")</f>
        <v/>
      </c>
      <c r="AK55" s="42" t="str">
        <f>IF(AND('Mapa final'!$AH$43="Muy Baja",'Mapa final'!$AJ$43="Catastrófico"),CONCATENATE("R2C",'Mapa final'!$R$43),"")</f>
        <v/>
      </c>
      <c r="AL55" s="42" t="str">
        <f>IF(AND('Mapa final'!$AH$44="Muy Baja",'Mapa final'!$AJ$44="Catastrófico"),CONCATENATE("R2C",'Mapa final'!$R$44),"")</f>
        <v/>
      </c>
      <c r="AM55" s="42" t="str">
        <f>IF(AND('Mapa final'!$AH$45="Muy Baja",'Mapa final'!$AJ$45="LCatastrófico"),CONCATENATE("R2C",'Mapa final'!$R$45),"")</f>
        <v/>
      </c>
      <c r="AN55" s="43" t="str">
        <f>IF(AND('Mapa final'!$AH$46="Muy Baja",'Mapa final'!$AJ$46="Catastrófico"),CONCATENATE("R2C",'Mapa final'!$R$46),"")</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c r="B56" s="68"/>
      <c r="C56" s="380"/>
      <c r="D56" s="380"/>
      <c r="E56" s="381"/>
      <c r="F56" s="472"/>
      <c r="G56" s="473"/>
      <c r="H56" s="473"/>
      <c r="I56" s="473"/>
      <c r="J56" s="474"/>
      <c r="K56" s="62" t="str">
        <f>IF(AND('Mapa final'!$AH$47="Muy Baja",'Mapa final'!$AJ$47="Leve"),CONCATENATE("R2C",'Mapa final'!$R$47),"")</f>
        <v/>
      </c>
      <c r="L56" s="63" t="str">
        <f>IF(AND('Mapa final'!$AH$48="Muy Baja",'Mapa final'!$AJ$48="Leve"),CONCATENATE("R2C",'Mapa final'!$R$48),"")</f>
        <v/>
      </c>
      <c r="M56" s="63" t="str">
        <f>IF(AND('Mapa final'!$AH$49="Muy Baja",'Mapa final'!$AJ$49="Leve"),CONCATENATE("R2C",'Mapa final'!$R$49),"")</f>
        <v/>
      </c>
      <c r="N56" s="63" t="str">
        <f>IF(AND('Mapa final'!$AH$50="Muy Baja",'Mapa final'!$AJ$50="Leve"),CONCATENATE("R2C",'Mapa final'!$R$50),"")</f>
        <v/>
      </c>
      <c r="O56" s="63" t="str">
        <f>IF(AND('Mapa final'!$AH$51="Muy Baja",'Mapa final'!$AJ$51="Leve"),CONCATENATE("R2C",'Mapa final'!$R$51),"")</f>
        <v/>
      </c>
      <c r="P56" s="64" t="str">
        <f>IF(AND('Mapa final'!$AH$52="Muy Baja",'Mapa final'!$AJ$52="Leve"),CONCATENATE("R2C",'Mapa final'!$R$52),"")</f>
        <v/>
      </c>
      <c r="Q56" s="62" t="str">
        <f>IF(AND('Mapa final'!$AH$47="Muy Baja",'Mapa final'!$AJ$47="Menor"),CONCATENATE("R2C",'Mapa final'!$R$47),"")</f>
        <v/>
      </c>
      <c r="R56" s="63" t="str">
        <f>IF(AND('Mapa final'!$AH$48="Muy Baja",'Mapa final'!$AJ$48="Menor"),CONCATENATE("R2C",'Mapa final'!$R$48),"")</f>
        <v/>
      </c>
      <c r="S56" s="63" t="str">
        <f>IF(AND('Mapa final'!$AH$49="Muy Baja",'Mapa final'!$AJ$49="Menor"),CONCATENATE("R2C",'Mapa final'!$R$49),"")</f>
        <v/>
      </c>
      <c r="T56" s="63" t="str">
        <f>IF(AND('Mapa final'!$AH$50="Muy Baja",'Mapa final'!$AJ$50="Menor"),CONCATENATE("R2C",'Mapa final'!$R$50),"")</f>
        <v/>
      </c>
      <c r="U56" s="63" t="str">
        <f>IF(AND('Mapa final'!$AH$51="Muy Baja",'Mapa final'!$AJ$51="Menor"),CONCATENATE("R2C",'Mapa final'!$R$51),"")</f>
        <v/>
      </c>
      <c r="V56" s="64" t="str">
        <f>IF(AND('Mapa final'!$AH$52="Muy Baja",'Mapa final'!$AJ$52="Menor"),CONCATENATE("R2C",'Mapa final'!$R$52),"")</f>
        <v/>
      </c>
      <c r="W56" s="53" t="str">
        <f>IF(AND('Mapa final'!$AH$47="Muy Baja",'Mapa final'!$AJ$47="Moderado"),CONCATENATE("R2C",'Mapa final'!$R$47),"")</f>
        <v/>
      </c>
      <c r="X56" s="54" t="str">
        <f>IF(AND('Mapa final'!$AH$48="Muy Baja",'Mapa final'!$AJ$48="Moderado"),CONCATENATE("R2C",'Mapa final'!$R$48),"")</f>
        <v/>
      </c>
      <c r="Y56" s="54" t="str">
        <f>IF(AND('Mapa final'!$AH$49="Muy Baja",'Mapa final'!$AJ$49="Moderado"),CONCATENATE("R2C",'Mapa final'!$R$49),"")</f>
        <v/>
      </c>
      <c r="Z56" s="54" t="str">
        <f>IF(AND('Mapa final'!$AH$50="Muy Baja",'Mapa final'!$AJ$50="Moderado"),CONCATENATE("R2C",'Mapa final'!$R$50),"")</f>
        <v/>
      </c>
      <c r="AA56" s="54" t="str">
        <f>IF(AND('Mapa final'!$AH$51="Muy Baja",'Mapa final'!$AJ$51="Moderado"),CONCATENATE("R2C",'Mapa final'!$R$51),"")</f>
        <v/>
      </c>
      <c r="AB56" s="55" t="str">
        <f>IF(AND('Mapa final'!$AH$52="Muy Baja",'Mapa final'!$AJ$52="Moderado"),CONCATENATE("R2C",'Mapa final'!$R$52),"")</f>
        <v/>
      </c>
      <c r="AC56" s="38" t="str">
        <f>IF(AND('Mapa final'!$AH$47="Muy Baja",'Mapa final'!$AJ$47="Mayor"),CONCATENATE("R2C",'Mapa final'!$R$47),"")</f>
        <v/>
      </c>
      <c r="AD56" s="39" t="str">
        <f>IF(AND('Mapa final'!$AH$48="Muy Baja",'Mapa final'!$AJ$48="Mayor"),CONCATENATE("R2C",'Mapa final'!$R$48),"")</f>
        <v/>
      </c>
      <c r="AE56" s="39" t="str">
        <f>IF(AND('Mapa final'!$AH$49="Muy Baja",'Mapa final'!$AJ$49="Mayor"),CONCATENATE("R2C",'Mapa final'!$R$49),"")</f>
        <v/>
      </c>
      <c r="AF56" s="39" t="str">
        <f>IF(AND('Mapa final'!$AH$50="Muy Baja",'Mapa final'!$AJ$50="Mayor"),CONCATENATE("R2C",'Mapa final'!$R$50),"")</f>
        <v/>
      </c>
      <c r="AG56" s="39" t="str">
        <f>IF(AND('Mapa final'!$AH$51="Muy Baja",'Mapa final'!$AJ$51="Mayor"),CONCATENATE("R2C",'Mapa final'!$R$51),"")</f>
        <v/>
      </c>
      <c r="AH56" s="40" t="str">
        <f>IF(AND('Mapa final'!$AH$52="Muy Baja",'Mapa final'!$AJ$52="Mayor"),CONCATENATE("R2C",'Mapa final'!$R$52),"")</f>
        <v/>
      </c>
      <c r="AI56" s="41" t="str">
        <f>IF(AND('Mapa final'!$AH$47="Muy Baja",'Mapa final'!$AJ$47="Catastrófico"),CONCATENATE("R2C",'Mapa final'!$R$47),"")</f>
        <v/>
      </c>
      <c r="AJ56" s="42" t="str">
        <f>IF(AND('Mapa final'!$AH$48="Muy Baja",'Mapa final'!$AJ$48="Catastrófico"),CONCATENATE("R2C",'Mapa final'!$R$48),"")</f>
        <v/>
      </c>
      <c r="AK56" s="42" t="str">
        <f>IF(AND('Mapa final'!$AH$49="Muy Baja",'Mapa final'!$AJ$49="Catastrófico"),CONCATENATE("R2C",'Mapa final'!$R$49),"")</f>
        <v/>
      </c>
      <c r="AL56" s="42" t="str">
        <f>IF(AND('Mapa final'!$AH$50="Muy Baja",'Mapa final'!$AJ$50="Catastrófico"),CONCATENATE("R2C",'Mapa final'!$R$50),"")</f>
        <v/>
      </c>
      <c r="AM56" s="42" t="str">
        <f>IF(AND('Mapa final'!$AH$51="Muy Baja",'Mapa final'!$AJ$51="Catastrófico"),CONCATENATE("R2C",'Mapa final'!$R$51),"")</f>
        <v/>
      </c>
      <c r="AN56" s="43" t="str">
        <f>IF(AND('Mapa final'!$AH$52="Muy Baja",'Mapa final'!$AJ$52="Catastrófico"),CONCATENATE("R2C",'Mapa final'!$R$52),"")</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c r="B57" s="68"/>
      <c r="C57" s="380"/>
      <c r="D57" s="380"/>
      <c r="E57" s="381"/>
      <c r="F57" s="472"/>
      <c r="G57" s="473"/>
      <c r="H57" s="473"/>
      <c r="I57" s="473"/>
      <c r="J57" s="474"/>
      <c r="K57" s="62" t="str">
        <f>IF(AND('Mapa final'!$AH$53="Muy Baja",'Mapa final'!$AJ$53="Leve"),CONCATENATE("R2C",'Mapa final'!$R$53),"")</f>
        <v/>
      </c>
      <c r="L57" s="63" t="str">
        <f>IF(AND('Mapa final'!$AH$54="Muy Baja",'Mapa final'!$AJ$54="Leve"),CONCATENATE("R2C",'Mapa final'!$R$54),"")</f>
        <v/>
      </c>
      <c r="M57" s="63" t="str">
        <f>IF(AND('Mapa final'!$AH$55="Muy Baja",'Mapa final'!$AJ$55="Leve"),CONCATENATE("R2C",'Mapa final'!$R$55),"")</f>
        <v/>
      </c>
      <c r="N57" s="63" t="str">
        <f>IF(AND('Mapa final'!$AH$56="Muy Baja",'Mapa final'!$AJ$56="Leve"),CONCATENATE("R2C",'Mapa final'!$R$56),"")</f>
        <v/>
      </c>
      <c r="O57" s="63" t="str">
        <f>IF(AND('Mapa final'!$AH$57="Muy Baja",'Mapa final'!$AJ$57="Leve"),CONCATENATE("R2C",'Mapa final'!$R$57),"")</f>
        <v/>
      </c>
      <c r="P57" s="64" t="str">
        <f>IF(AND('Mapa final'!$AH$68="Muy Baja",'Mapa final'!$AJ$58="Leve"),CONCATENATE("R2C",'Mapa final'!$R$58),"")</f>
        <v/>
      </c>
      <c r="Q57" s="62" t="str">
        <f>IF(AND('Mapa final'!$AH$53="Muy Baja",'Mapa final'!$AJ$53="Menor"),CONCATENATE("R2C",'Mapa final'!$R$53),"")</f>
        <v/>
      </c>
      <c r="R57" s="63" t="str">
        <f>IF(AND('Mapa final'!$AH$54="Muy Baja",'Mapa final'!$AJ$54="Menor"),CONCATENATE("R2C",'Mapa final'!$R$54),"")</f>
        <v/>
      </c>
      <c r="S57" s="63" t="str">
        <f>IF(AND('Mapa final'!$AH$55="Muy Baja",'Mapa final'!$AJ$55="Menor"),CONCATENATE("R2C",'Mapa final'!$R$55),"")</f>
        <v/>
      </c>
      <c r="T57" s="63" t="str">
        <f>IF(AND('Mapa final'!$AH$56="Muy Baja",'Mapa final'!$AJ$56="Menor"),CONCATENATE("R2C",'Mapa final'!$R$56),"")</f>
        <v/>
      </c>
      <c r="U57" s="63" t="str">
        <f>IF(AND('Mapa final'!$AH$57="Muy Baja",'Mapa final'!$AJ$57="Menor"),CONCATENATE("R2C",'Mapa final'!$R$57),"")</f>
        <v/>
      </c>
      <c r="V57" s="64" t="str">
        <f>IF(AND('Mapa final'!$AH$68="Muy Baja",'Mapa final'!$AJ$58="Menor"),CONCATENATE("R2C",'Mapa final'!$R$58),"")</f>
        <v/>
      </c>
      <c r="W57" s="53" t="str">
        <f>IF(AND('Mapa final'!$AH$53="Muy Baja",'Mapa final'!$AJ$53="Moderado"),CONCATENATE("R2C",'Mapa final'!$R$53),"")</f>
        <v/>
      </c>
      <c r="X57" s="54" t="str">
        <f>IF(AND('Mapa final'!$AH$54="Muy Baja",'Mapa final'!$AJ$54="Moderado"),CONCATENATE("R2C",'Mapa final'!$R$54),"")</f>
        <v/>
      </c>
      <c r="Y57" s="54" t="str">
        <f>IF(AND('Mapa final'!$AH$55="Muy Baja",'Mapa final'!$AJ$55="Moderado"),CONCATENATE("R2C",'Mapa final'!$R$55),"")</f>
        <v/>
      </c>
      <c r="Z57" s="54" t="str">
        <f>IF(AND('Mapa final'!$AH$56="Muy Baja",'Mapa final'!$AJ$56="Moderado"),CONCATENATE("R2C",'Mapa final'!$R$56),"")</f>
        <v/>
      </c>
      <c r="AA57" s="54" t="str">
        <f>IF(AND('Mapa final'!$AH$57="Muy Baja",'Mapa final'!$AJ$57="Moderado"),CONCATENATE("R2C",'Mapa final'!$R$57),"")</f>
        <v/>
      </c>
      <c r="AB57" s="55" t="str">
        <f>IF(AND('Mapa final'!$AH$68="Muy Baja",'Mapa final'!$AJ$58="Moderado"),CONCATENATE("R2C",'Mapa final'!$R$58),"")</f>
        <v/>
      </c>
      <c r="AC57" s="38" t="str">
        <f>IF(AND('Mapa final'!$AH$53="Muy Baja",'Mapa final'!$AJ$53="Mayor"),CONCATENATE("R2C",'Mapa final'!$R$53),"")</f>
        <v/>
      </c>
      <c r="AD57" s="39" t="str">
        <f>IF(AND('Mapa final'!$AH$54="Muy Baja",'Mapa final'!$AJ$54="Mayor"),CONCATENATE("R2C",'Mapa final'!$R$54),"")</f>
        <v/>
      </c>
      <c r="AE57" s="39" t="str">
        <f>IF(AND('Mapa final'!$AH$55="Muy Baja",'Mapa final'!$AJ$55="Mayor"),CONCATENATE("R2C",'Mapa final'!$R$55),"")</f>
        <v/>
      </c>
      <c r="AF57" s="39" t="str">
        <f>IF(AND('Mapa final'!$AH$56="Muy Baja",'Mapa final'!$AJ$56="Mayor"),CONCATENATE("R2C",'Mapa final'!$R$56),"")</f>
        <v/>
      </c>
      <c r="AG57" s="39" t="str">
        <f>IF(AND('Mapa final'!$AH$57="Muy Baja",'Mapa final'!$AJ$57="Mayor"),CONCATENATE("R2C",'Mapa final'!$R$57),"")</f>
        <v/>
      </c>
      <c r="AH57" s="40" t="str">
        <f>IF(AND('Mapa final'!$AH$68="Muy Baja",'Mapa final'!$AJ$58="Mayor"),CONCATENATE("R2C",'Mapa final'!$R$58),"")</f>
        <v/>
      </c>
      <c r="AI57" s="41" t="str">
        <f>IF(AND('Mapa final'!$AH$53="Muy Baja",'Mapa final'!$AJ$53="Catastrófico"),CONCATENATE("R2C",'Mapa final'!$R$53),"")</f>
        <v/>
      </c>
      <c r="AJ57" s="42" t="str">
        <f>IF(AND('Mapa final'!$AH$54="Muy Baja",'Mapa final'!$AJ$54="Catastrófico"),CONCATENATE("R2C",'Mapa final'!$R$54),"")</f>
        <v/>
      </c>
      <c r="AK57" s="42" t="str">
        <f>IF(AND('Mapa final'!$AH$55="Muy Baja",'Mapa final'!$AJ$55="Catastrófico"),CONCATENATE("R2C",'Mapa final'!$R$55),"")</f>
        <v/>
      </c>
      <c r="AL57" s="42" t="str">
        <f>IF(AND('Mapa final'!$AH$56="Muy Baja",'Mapa final'!$AJ$56="Catastrófico"),CONCATENATE("R2C",'Mapa final'!$R$56),"")</f>
        <v/>
      </c>
      <c r="AM57" s="42" t="str">
        <f>IF(AND('Mapa final'!$AH$57="Muy Baja",'Mapa final'!$AJ$57="Catastrófico"),CONCATENATE("R2C",'Mapa final'!$R$57),"")</f>
        <v/>
      </c>
      <c r="AN57" s="43" t="str">
        <f>IF(AND('Mapa final'!$AH$68="Muy Baja",'Mapa final'!$AJ$58="Catastrófico"),CONCATENATE("R2C",'Mapa final'!$R$58),"")</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c r="B58" s="68"/>
      <c r="C58" s="380"/>
      <c r="D58" s="380"/>
      <c r="E58" s="381"/>
      <c r="F58" s="472"/>
      <c r="G58" s="473"/>
      <c r="H58" s="473"/>
      <c r="I58" s="473"/>
      <c r="J58" s="474"/>
      <c r="K58" s="62" t="str">
        <f>IF(AND('Mapa final'!$AH$59="Muy Baja",'Mapa final'!$AJ$59="Leve"),CONCATENATE("R2C",'Mapa final'!$R$59),"")</f>
        <v/>
      </c>
      <c r="L58" s="63" t="str">
        <f>IF(AND('Mapa final'!$AH$60="Muy Baja",'Mapa final'!$AJ$60="Leve"),CONCATENATE("R2C",'Mapa final'!$R$60),"")</f>
        <v/>
      </c>
      <c r="M58" s="63" t="str">
        <f>IF(AND('Mapa final'!$AH$61="Muy Baja",'Mapa final'!$AJ$61="Leve"),CONCATENATE("R2C",'Mapa final'!$R$61),"")</f>
        <v/>
      </c>
      <c r="N58" s="63" t="str">
        <f>IF(AND('Mapa final'!$AH$62="Muy Baja",'Mapa final'!$AJ$62="Leve"),CONCATENATE("R2C",'Mapa final'!$R$62),"")</f>
        <v/>
      </c>
      <c r="O58" s="63" t="str">
        <f>IF(AND('Mapa final'!$AH$63="Muy Baja",'Mapa final'!$AJ$63="Leve"),CONCATENATE("R2C",'Mapa final'!$R$63),"")</f>
        <v/>
      </c>
      <c r="P58" s="64" t="str">
        <f>IF(AND('Mapa final'!$AH$64="Muy Baja",'Mapa final'!$AJ$64="Leve"),CONCATENATE("R2C",'Mapa final'!$R$64),"")</f>
        <v/>
      </c>
      <c r="Q58" s="62" t="str">
        <f>IF(AND('Mapa final'!$AH$59="Muy Baja",'Mapa final'!$AJ$59="Menor"),CONCATENATE("R2C",'Mapa final'!$R$59),"")</f>
        <v/>
      </c>
      <c r="R58" s="63" t="str">
        <f>IF(AND('Mapa final'!$AH$60="Muy Baja",'Mapa final'!$AJ$60="Menor"),CONCATENATE("R2C",'Mapa final'!$R$60),"")</f>
        <v/>
      </c>
      <c r="S58" s="63" t="str">
        <f>IF(AND('Mapa final'!$AH$61="Muy Baja",'Mapa final'!$AJ$61="Menor"),CONCATENATE("R2C",'Mapa final'!$R$61),"")</f>
        <v/>
      </c>
      <c r="T58" s="63" t="str">
        <f>IF(AND('Mapa final'!$AH$62="Muy Baja",'Mapa final'!$AJ$62="Menor"),CONCATENATE("R2C",'Mapa final'!$R$62),"")</f>
        <v/>
      </c>
      <c r="U58" s="63" t="str">
        <f>IF(AND('Mapa final'!$AH$63="Muy Baja",'Mapa final'!$AJ$63="Menor"),CONCATENATE("R2C",'Mapa final'!$R$63),"")</f>
        <v/>
      </c>
      <c r="V58" s="64" t="str">
        <f>IF(AND('Mapa final'!$AH$64="Muy Baja",'Mapa final'!$AJ$64="Menor"),CONCATENATE("R2C",'Mapa final'!$R$64),"")</f>
        <v/>
      </c>
      <c r="W58" s="53" t="str">
        <f>IF(AND('Mapa final'!$AH$59="Muy Baja",'Mapa final'!$AJ$59="Moderado"),CONCATENATE("R2C",'Mapa final'!$R$59),"")</f>
        <v/>
      </c>
      <c r="X58" s="54" t="str">
        <f>IF(AND('Mapa final'!$AH$60="Muy Baja",'Mapa final'!$AJ$60="Moderado"),CONCATENATE("R2C",'Mapa final'!$R$60),"")</f>
        <v/>
      </c>
      <c r="Y58" s="54" t="str">
        <f>IF(AND('Mapa final'!$AH$61="Muy Baja",'Mapa final'!$AJ$61="Moderado"),CONCATENATE("R2C",'Mapa final'!$R$61),"")</f>
        <v/>
      </c>
      <c r="Z58" s="54" t="str">
        <f>IF(AND('Mapa final'!$AH$62="Muy Baja",'Mapa final'!$AJ$62="Moderado"),CONCATENATE("R2C",'Mapa final'!$R$62),"")</f>
        <v/>
      </c>
      <c r="AA58" s="54" t="str">
        <f>IF(AND('Mapa final'!$AH$63="Muy Baja",'Mapa final'!$AJ$63="Moderado"),CONCATENATE("R2C",'Mapa final'!$R$63),"")</f>
        <v/>
      </c>
      <c r="AB58" s="55" t="str">
        <f>IF(AND('Mapa final'!$AH$64="Muy Baja",'Mapa final'!$AJ$64="Moderado"),CONCATENATE("R2C",'Mapa final'!$R$64),"")</f>
        <v/>
      </c>
      <c r="AC58" s="38" t="str">
        <f>IF(AND('Mapa final'!$AH$59="Muy Baja",'Mapa final'!$AJ$59="Mayor"),CONCATENATE("R2C",'Mapa final'!$R$59),"")</f>
        <v/>
      </c>
      <c r="AD58" s="39" t="str">
        <f>IF(AND('Mapa final'!$AH$60="Muy Baja",'Mapa final'!$AJ$60="Mayor"),CONCATENATE("R2C",'Mapa final'!$R$60),"")</f>
        <v/>
      </c>
      <c r="AE58" s="39" t="str">
        <f>IF(AND('Mapa final'!$AH$61="Muy Baja",'Mapa final'!$AJ$61="Mayor"),CONCATENATE("R2C",'Mapa final'!$R$61),"")</f>
        <v/>
      </c>
      <c r="AF58" s="39" t="str">
        <f>IF(AND('Mapa final'!$AH$62="Muy Baja",'Mapa final'!$AJ$62="Mayor"),CONCATENATE("R2C",'Mapa final'!$R$62),"")</f>
        <v/>
      </c>
      <c r="AG58" s="39" t="str">
        <f>IF(AND('Mapa final'!$AH$63="Muy Baja",'Mapa final'!$AJ$63="Mayor"),CONCATENATE("R2C",'Mapa final'!$R$63),"")</f>
        <v/>
      </c>
      <c r="AH58" s="40" t="str">
        <f>IF(AND('Mapa final'!$AH$64="Muy Baja",'Mapa final'!$AJ$64="Mayor"),CONCATENATE("R2C",'Mapa final'!$R$64),"")</f>
        <v/>
      </c>
      <c r="AI58" s="41" t="str">
        <f>IF(AND('Mapa final'!$AH$59="Muy Baja",'Mapa final'!$AJ$59="Catastrófico"),CONCATENATE("R2C",'Mapa final'!$R$59),"")</f>
        <v/>
      </c>
      <c r="AJ58" s="42" t="str">
        <f>IF(AND('Mapa final'!$AH$60="Muy Baja",'Mapa final'!$AJ$60="Catastrófico"),CONCATENATE("R2C",'Mapa final'!$R$60),"")</f>
        <v/>
      </c>
      <c r="AK58" s="42" t="str">
        <f>IF(AND('Mapa final'!$AH$61="Muy Baja",'Mapa final'!$AJ$61="Catastrófico"),CONCATENATE("R2C",'Mapa final'!$R$61),"")</f>
        <v/>
      </c>
      <c r="AL58" s="42" t="str">
        <f>IF(AND('Mapa final'!$AH$62="Muy Baja",'Mapa final'!$AJ$62="Catastrófico"),CONCATENATE("R2C",'Mapa final'!$R$62),"")</f>
        <v/>
      </c>
      <c r="AM58" s="42" t="str">
        <f>IF(AND('Mapa final'!$AH$63="Muy Baja",'Mapa final'!$AJ$63="Catastrófico"),CONCATENATE("R2C",'Mapa final'!$R$63),"")</f>
        <v/>
      </c>
      <c r="AN58" s="43" t="str">
        <f>IF(AND('Mapa final'!$AH$64="Muy Baja",'Mapa final'!$AJ$64="Catastrófico"),CONCATENATE("R2C",'Mapa final'!$R$64),"")</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c r="B59" s="68"/>
      <c r="C59" s="380"/>
      <c r="D59" s="380"/>
      <c r="E59" s="381"/>
      <c r="F59" s="472"/>
      <c r="G59" s="473"/>
      <c r="H59" s="473"/>
      <c r="I59" s="473"/>
      <c r="J59" s="474"/>
      <c r="K59" s="62" t="str">
        <f>IF(AND('Mapa final'!$AH$65="Muy Baja",'Mapa final'!$AJ$65="Leve"),CONCATENATE("R2C",'Mapa final'!$R$65),"")</f>
        <v/>
      </c>
      <c r="L59" s="63" t="str">
        <f>IF(AND('Mapa final'!$AH$66="Muy Baja",'Mapa final'!$AJ$66="Leve"),CONCATENATE("R2C",'Mapa final'!$R$66),"")</f>
        <v/>
      </c>
      <c r="M59" s="63" t="str">
        <f>IF(AND('Mapa final'!$AH$67="Muy Baja",'Mapa final'!$AJ$67="Leve"),CONCATENATE("R2C",'Mapa final'!$R$67),"")</f>
        <v/>
      </c>
      <c r="N59" s="63" t="str">
        <f>IF(AND('Mapa final'!$AH$68="Muy Baja",'Mapa final'!$AJ$68="Leve"),CONCATENATE("R2C",'Mapa final'!$R$68),"")</f>
        <v/>
      </c>
      <c r="O59" s="63" t="str">
        <f>IF(AND('Mapa final'!$AH$69="Muy Baja",'Mapa final'!$AJ$69="Leve"),CONCATENATE("R2C",'Mapa final'!$R$69),"")</f>
        <v/>
      </c>
      <c r="P59" s="64" t="str">
        <f>IF(AND('Mapa final'!$AH$70="Muy Baja",'Mapa final'!$AJ$70="Leve"),CONCATENATE("R2C",'Mapa final'!$R$70),"")</f>
        <v/>
      </c>
      <c r="Q59" s="62" t="str">
        <f>IF(AND('Mapa final'!$AH$65="Muy Baja",'Mapa final'!$AJ$65="Menor"),CONCATENATE("R2C",'Mapa final'!$R$65),"")</f>
        <v/>
      </c>
      <c r="R59" s="63" t="str">
        <f>IF(AND('Mapa final'!$AH$66="Muy Baja",'Mapa final'!$AJ$66="Menor"),CONCATENATE("R2C",'Mapa final'!$R$66),"")</f>
        <v/>
      </c>
      <c r="S59" s="63" t="str">
        <f>IF(AND('Mapa final'!$AH$67="Muy Baja",'Mapa final'!$AJ$67="Menor"),CONCATENATE("R2C",'Mapa final'!$R$67),"")</f>
        <v/>
      </c>
      <c r="T59" s="63" t="str">
        <f>IF(AND('Mapa final'!$AH$68="Muy Baja",'Mapa final'!$AJ$68="Menor"),CONCATENATE("R2C",'Mapa final'!$R$68),"")</f>
        <v/>
      </c>
      <c r="U59" s="63" t="str">
        <f>IF(AND('Mapa final'!$AH$69="Muy Baja",'Mapa final'!$AJ$69="Menor"),CONCATENATE("R2C",'Mapa final'!$R$69),"")</f>
        <v/>
      </c>
      <c r="V59" s="64" t="str">
        <f>IF(AND('Mapa final'!$AH$70="Muy Baja",'Mapa final'!$AJ$70="Menor"),CONCATENATE("R2C",'Mapa final'!$R$70),"")</f>
        <v/>
      </c>
      <c r="W59" s="53" t="str">
        <f>IF(AND('Mapa final'!$AH$65="Muy Baja",'Mapa final'!$AJ$65="Moderado"),CONCATENATE("R2C",'Mapa final'!$R$65),"")</f>
        <v/>
      </c>
      <c r="X59" s="54" t="str">
        <f>IF(AND('Mapa final'!$AH$66="Muy Baja",'Mapa final'!$AJ$66="Moderado"),CONCATENATE("R2C",'Mapa final'!$R$66),"")</f>
        <v/>
      </c>
      <c r="Y59" s="54" t="str">
        <f>IF(AND('Mapa final'!$AH$67="Muy Baja",'Mapa final'!$AJ$67="Moderado"),CONCATENATE("R2C",'Mapa final'!$R$67),"")</f>
        <v/>
      </c>
      <c r="Z59" s="54" t="str">
        <f>IF(AND('Mapa final'!$AH$68="Muy Baja",'Mapa final'!$AJ$68="Moderado"),CONCATENATE("R2C",'Mapa final'!$R$68),"")</f>
        <v/>
      </c>
      <c r="AA59" s="54" t="str">
        <f>IF(AND('Mapa final'!$AH$69="Muy Baja",'Mapa final'!$AJ$69="Moderado"),CONCATENATE("R2C",'Mapa final'!$R$69),"")</f>
        <v/>
      </c>
      <c r="AB59" s="55" t="str">
        <f>IF(AND('Mapa final'!$AH$70="Muy Baja",'Mapa final'!$AJ$70="Moderado"),CONCATENATE("R2C",'Mapa final'!$R$70),"")</f>
        <v/>
      </c>
      <c r="AC59" s="38" t="str">
        <f>IF(AND('Mapa final'!$AH$65="Muy Baja",'Mapa final'!$AJ$65="Mayor"),CONCATENATE("R2C",'Mapa final'!$R$65),"")</f>
        <v/>
      </c>
      <c r="AD59" s="39" t="str">
        <f>IF(AND('Mapa final'!$AH$66="Muy Baja",'Mapa final'!$AJ$66="Mayor"),CONCATENATE("R2C",'Mapa final'!$R$66),"")</f>
        <v/>
      </c>
      <c r="AE59" s="39" t="str">
        <f>IF(AND('Mapa final'!$AH$67="Muy Baja",'Mapa final'!$AJ$67="Mayor"),CONCATENATE("R2C",'Mapa final'!$R$67),"")</f>
        <v/>
      </c>
      <c r="AF59" s="39" t="str">
        <f>IF(AND('Mapa final'!$AH$68="Muy Baja",'Mapa final'!$AJ$68="Mayor"),CONCATENATE("R2C",'Mapa final'!$R$68),"")</f>
        <v/>
      </c>
      <c r="AG59" s="39" t="str">
        <f>IF(AND('Mapa final'!$AH$69="Muy Baja",'Mapa final'!$AJ$69="Mayor"),CONCATENATE("R2C",'Mapa final'!$R$69),"")</f>
        <v/>
      </c>
      <c r="AH59" s="40" t="str">
        <f>IF(AND('Mapa final'!$AH$70="Muy Baja",'Mapa final'!$AJ$70="Mayor"),CONCATENATE("R2C",'Mapa final'!$R$70),"")</f>
        <v/>
      </c>
      <c r="AI59" s="41" t="str">
        <f>IF(AND('Mapa final'!$AH$65="Muy Baja",'Mapa final'!$AJ$65="Catastrófico"),CONCATENATE("R2C",'Mapa final'!$R$65),"")</f>
        <v/>
      </c>
      <c r="AJ59" s="42" t="str">
        <f>IF(AND('Mapa final'!$AH$66="Muy Baja",'Mapa final'!$AJ$66="Catastrófico"),CONCATENATE("R2C",'Mapa final'!$R$66),"")</f>
        <v/>
      </c>
      <c r="AK59" s="42" t="str">
        <f>IF(AND('Mapa final'!$AH$67="Muy Baja",'Mapa final'!$AJ$67="Catastrófico"),CONCATENATE("R2C",'Mapa final'!$R$67),"")</f>
        <v/>
      </c>
      <c r="AL59" s="42" t="str">
        <f>IF(AND('Mapa final'!$AH$68="Muy Baja",'Mapa final'!$AJ$68="Catastrófico"),CONCATENATE("R2C",'Mapa final'!$R$68),"")</f>
        <v/>
      </c>
      <c r="AM59" s="42" t="str">
        <f>IF(AND('Mapa final'!$AH$69="Muy Baja",'Mapa final'!$AJ$69="Catastrófico"),CONCATENATE("R2C",'Mapa final'!$R$69),"")</f>
        <v/>
      </c>
      <c r="AN59" s="43" t="str">
        <f>IF(AND('Mapa final'!$AH$70="Muy Baja",'Mapa final'!$AJ$70="Catastrófico"),CONCATENATE("R2C",'Mapa final'!$R$70),"")</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380"/>
      <c r="D60" s="380"/>
      <c r="E60" s="381"/>
      <c r="F60" s="472"/>
      <c r="G60" s="473"/>
      <c r="H60" s="473"/>
      <c r="I60" s="473"/>
      <c r="J60" s="474"/>
      <c r="K60" s="62" t="str">
        <f>IF(AND('Mapa final'!$AH$71="Muy Baja",'Mapa final'!$AJ$71="Leve"),CONCATENATE("R2C",'Mapa final'!$R$71),"")</f>
        <v/>
      </c>
      <c r="L60" s="63" t="str">
        <f>IF(AND('Mapa final'!$AH$72="Muy Baja",'Mapa final'!$AJ$72="Leve"),CONCATENATE("R2C",'Mapa final'!$R$72),"")</f>
        <v/>
      </c>
      <c r="M60" s="63" t="str">
        <f>IF(AND('Mapa final'!$AH$73="Muy Baja",'Mapa final'!$AJ$73="Leve"),CONCATENATE("R2C",'Mapa final'!$R$73),"")</f>
        <v/>
      </c>
      <c r="N60" s="63" t="str">
        <f>IF(AND('Mapa final'!$AH$74="Muy Baja",'Mapa final'!$AJ$74="Leve"),CONCATENATE("R2C",'Mapa final'!$R$74),"")</f>
        <v/>
      </c>
      <c r="O60" s="63" t="str">
        <f>IF(AND('Mapa final'!$AH$75="Muy Baja",'Mapa final'!$AJ$75="Leve"),CONCATENATE("R2C",'Mapa final'!$R$75),"")</f>
        <v/>
      </c>
      <c r="P60" s="64" t="str">
        <f>IF(AND('Mapa final'!$AH$76="Muy Baja",'Mapa final'!$AJ$76="Leve"),CONCATENATE("R2C",'Mapa final'!$R$76),"")</f>
        <v/>
      </c>
      <c r="Q60" s="62" t="str">
        <f>IF(AND('Mapa final'!$AH$71="Muy Baja",'Mapa final'!$AJ$71="Menor"),CONCATENATE("R2C",'Mapa final'!$R$71),"")</f>
        <v/>
      </c>
      <c r="R60" s="63" t="str">
        <f>IF(AND('Mapa final'!$AH$72="Muy Baja",'Mapa final'!$AJ$72="Menor"),CONCATENATE("R2C",'Mapa final'!$R$72),"")</f>
        <v/>
      </c>
      <c r="S60" s="63" t="str">
        <f>IF(AND('Mapa final'!$AH$73="Muy Baja",'Mapa final'!$AJ$73="Menor"),CONCATENATE("R2C",'Mapa final'!$R$73),"")</f>
        <v/>
      </c>
      <c r="T60" s="63" t="str">
        <f>IF(AND('Mapa final'!$AH$74="Muy Baja",'Mapa final'!$AJ$74="Menor"),CONCATENATE("R2C",'Mapa final'!$R$74),"")</f>
        <v/>
      </c>
      <c r="U60" s="63" t="str">
        <f>IF(AND('Mapa final'!$AH$75="Muy Baja",'Mapa final'!$AJ$75="Menor"),CONCATENATE("R2C",'Mapa final'!$R$75),"")</f>
        <v/>
      </c>
      <c r="V60" s="64" t="str">
        <f>IF(AND('Mapa final'!$AH$76="Muy Baja",'Mapa final'!$AJ$76="Menor"),CONCATENATE("R2C",'Mapa final'!$R$76),"")</f>
        <v/>
      </c>
      <c r="W60" s="53" t="str">
        <f>IF(AND('Mapa final'!$AH$71="Muy Baja",'Mapa final'!$AJ$71="Moderado"),CONCATENATE("R2C",'Mapa final'!$R$71),"")</f>
        <v/>
      </c>
      <c r="X60" s="54" t="str">
        <f>IF(AND('Mapa final'!$AH$72="Muy Baja",'Mapa final'!$AJ$72="Moderado"),CONCATENATE("R2C",'Mapa final'!$R$72),"")</f>
        <v/>
      </c>
      <c r="Y60" s="54" t="str">
        <f>IF(AND('Mapa final'!$AH$73="Muy Baja",'Mapa final'!$AJ$73="Moderado"),CONCATENATE("R2C",'Mapa final'!$R$73),"")</f>
        <v/>
      </c>
      <c r="Z60" s="54" t="str">
        <f>IF(AND('Mapa final'!$AH$74="Muy Baja",'Mapa final'!$AJ$74="Moderado"),CONCATENATE("R2C",'Mapa final'!$R$74),"")</f>
        <v/>
      </c>
      <c r="AA60" s="54" t="str">
        <f>IF(AND('Mapa final'!$AH$75="Muy Baja",'Mapa final'!$AJ$75="Moderado"),CONCATENATE("R2C",'Mapa final'!$R$75),"")</f>
        <v/>
      </c>
      <c r="AB60" s="55" t="str">
        <f>IF(AND('Mapa final'!$AH$76="Muy Baja",'Mapa final'!$AJ$76="Moderado"),CONCATENATE("R2C",'Mapa final'!$R$76),"")</f>
        <v/>
      </c>
      <c r="AC60" s="38" t="str">
        <f>IF(AND('Mapa final'!$AH$71="Muy Baja",'Mapa final'!$AJ$71="Mayor"),CONCATENATE("R2C",'Mapa final'!$R$71),"")</f>
        <v/>
      </c>
      <c r="AD60" s="39" t="str">
        <f>IF(AND('Mapa final'!$AH$72="Muy Baja",'Mapa final'!$AJ$72="Mayor"),CONCATENATE("R2C",'Mapa final'!$R$72),"")</f>
        <v/>
      </c>
      <c r="AE60" s="39" t="str">
        <f>IF(AND('Mapa final'!$AH$73="Muy Baja",'Mapa final'!$AJ$73="Mayor"),CONCATENATE("R2C",'Mapa final'!$R$73),"")</f>
        <v/>
      </c>
      <c r="AF60" s="39" t="str">
        <f>IF(AND('Mapa final'!$AH$74="Muy Baja",'Mapa final'!$AJ$74="Mayor"),CONCATENATE("R2C",'Mapa final'!$R$74),"")</f>
        <v/>
      </c>
      <c r="AG60" s="39" t="str">
        <f>IF(AND('Mapa final'!$AH$75="Muy Baja",'Mapa final'!$AJ$75="Mayor"),CONCATENATE("R2C",'Mapa final'!$R$75),"")</f>
        <v/>
      </c>
      <c r="AH60" s="40" t="str">
        <f>IF(AND('Mapa final'!$AH$76="Muy Baja",'Mapa final'!$AJ$76="Mayor"),CONCATENATE("R2C",'Mapa final'!$R$76),"")</f>
        <v/>
      </c>
      <c r="AI60" s="41" t="str">
        <f>IF(AND('Mapa final'!$AH$71="Muy Baja",'Mapa final'!$AJ$71="Catastrófico"),CONCATENATE("R2C",'Mapa final'!$R$71),"")</f>
        <v/>
      </c>
      <c r="AJ60" s="42" t="str">
        <f>IF(AND('Mapa final'!$AH$72="Muy Baja",'Mapa final'!$AJ$72="Catastrófico"),CONCATENATE("R2C",'Mapa final'!$R$72),"")</f>
        <v/>
      </c>
      <c r="AK60" s="42" t="str">
        <f>IF(AND('Mapa final'!$AH$73="Muy Baja",'Mapa final'!$AJ$73="Catastrófico"),CONCATENATE("R2C",'Mapa final'!$R$73),"")</f>
        <v/>
      </c>
      <c r="AL60" s="42" t="str">
        <f>IF(AND('Mapa final'!$AH$74="Muy Baja",'Mapa final'!$AJ$74="Catastrófico"),CONCATENATE("R2C",'Mapa final'!$R$74),"")</f>
        <v/>
      </c>
      <c r="AM60" s="42" t="str">
        <f>IF(AND('Mapa final'!$AH$75="Muy Baja",'Mapa final'!$AJ$75="Catastrófico"),CONCATENATE("R2C",'Mapa final'!$R$75),"")</f>
        <v/>
      </c>
      <c r="AN60" s="43" t="str">
        <f>IF(AND('Mapa final'!$AH$76="Muy Baja",'Mapa final'!$AJ$76="Catastrófico"),CONCATENATE("R2C",'Mapa final'!$R$76),"")</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380"/>
      <c r="D61" s="380"/>
      <c r="E61" s="381"/>
      <c r="F61" s="475"/>
      <c r="G61" s="476"/>
      <c r="H61" s="476"/>
      <c r="I61" s="476"/>
      <c r="J61" s="477"/>
      <c r="K61" s="65" t="str">
        <f>IF(AND('Mapa final'!$AH$77="Muy Baja",'Mapa final'!$AJ$77="Leve"),CONCATENATE("R2C",'Mapa final'!$R$77),"")</f>
        <v/>
      </c>
      <c r="L61" s="66" t="str">
        <f>IF(AND('Mapa final'!$AH$78="Muy Baja",'Mapa final'!$AJ$78="Leve"),CONCATENATE("R2C",'Mapa final'!$R$78),"")</f>
        <v/>
      </c>
      <c r="M61" s="66" t="str">
        <f>IF(AND('Mapa final'!$AH$79="Muy Baja",'Mapa final'!$AJ$79="Leve"),CONCATENATE("R2C",'Mapa final'!$R$79),"")</f>
        <v/>
      </c>
      <c r="N61" s="66" t="str">
        <f>IF(AND('Mapa final'!$AH$80="Muy Baja",'Mapa final'!$AJ$80="Leve"),CONCATENATE("R2C",'Mapa final'!$R$80),"")</f>
        <v/>
      </c>
      <c r="O61" s="66" t="str">
        <f>IF(AND('Mapa final'!$AH$82="Muy Baja",'Mapa final'!$AJ$82="Leve"),CONCATENATE("R2C",'Mapa final'!$R$82),"")</f>
        <v/>
      </c>
      <c r="P61" s="67" t="str">
        <f>IF(AND('Mapa final'!$AH$83="Muy Baja",'Mapa final'!$AJ$83="Leve"),CONCATENATE("R2C",'Mapa final'!$R$83),"")</f>
        <v/>
      </c>
      <c r="Q61" s="65" t="str">
        <f>IF(AND('Mapa final'!$AH$77="Muy Baja",'Mapa final'!$AJ$77="Menor"),CONCATENATE("R2C",'Mapa final'!$R$77),"")</f>
        <v/>
      </c>
      <c r="R61" s="66" t="str">
        <f>IF(AND('Mapa final'!$AH$78="Muy Baja",'Mapa final'!$AJ$78="Menor"),CONCATENATE("R2C",'Mapa final'!$R$78),"")</f>
        <v/>
      </c>
      <c r="S61" s="66" t="str">
        <f>IF(AND('Mapa final'!$AH$79="Muy Baja",'Mapa final'!$AJ$79="Menor"),CONCATENATE("R2C",'Mapa final'!$R$79),"")</f>
        <v/>
      </c>
      <c r="T61" s="66" t="str">
        <f>IF(AND('Mapa final'!$AH$80="Muy Baja",'Mapa final'!$AJ$80="Menor"),CONCATENATE("R2C",'Mapa final'!$R$80),"")</f>
        <v/>
      </c>
      <c r="U61" s="66" t="str">
        <f>IF(AND('Mapa final'!$AH$82="Muy Baja",'Mapa final'!$AJ$82="Menor"),CONCATENATE("R2C",'Mapa final'!$R$82),"")</f>
        <v/>
      </c>
      <c r="V61" s="67" t="str">
        <f>IF(AND('Mapa final'!$AH$83="Muy Baja",'Mapa final'!$AJ$83="Menor"),CONCATENATE("R2C",'Mapa final'!$R$83),"")</f>
        <v/>
      </c>
      <c r="W61" s="56" t="str">
        <f>IF(AND('Mapa final'!$AH$77="Muy Baja",'Mapa final'!$AJ$77="Moderado"),CONCATENATE("R2C",'Mapa final'!$R$77),"")</f>
        <v/>
      </c>
      <c r="X61" s="57" t="str">
        <f>IF(AND('Mapa final'!$AH$78="Muy Baja",'Mapa final'!$AJ$78="Moderado"),CONCATENATE("R2C",'Mapa final'!$R$78),"")</f>
        <v/>
      </c>
      <c r="Y61" s="57" t="str">
        <f>IF(AND('Mapa final'!$AH$79="Muy Baja",'Mapa final'!$AJ$79="Moderado"),CONCATENATE("R2C",'Mapa final'!$R$79),"")</f>
        <v/>
      </c>
      <c r="Z61" s="57" t="str">
        <f>IF(AND('Mapa final'!$AH$80="Muy Baja",'Mapa final'!$AJ$80="Moderado"),CONCATENATE("R2C",'Mapa final'!$R$80),"")</f>
        <v/>
      </c>
      <c r="AA61" s="57" t="str">
        <f>IF(AND('Mapa final'!$AH$82="Muy Baja",'Mapa final'!$AJ$82="Moderado"),CONCATENATE("R2C",'Mapa final'!$R$82),"")</f>
        <v/>
      </c>
      <c r="AB61" s="58" t="str">
        <f>IF(AND('Mapa final'!$AH$83="Muy Baja",'Mapa final'!$AJ$83="Moderado"),CONCATENATE("R2C",'Mapa final'!$R$83),"")</f>
        <v/>
      </c>
      <c r="AC61" s="44" t="str">
        <f>IF(AND('Mapa final'!$AH$77="Muy Baja",'Mapa final'!$AJ$77="Mayor"),CONCATENATE("R2C",'Mapa final'!$R$77),"")</f>
        <v/>
      </c>
      <c r="AD61" s="45" t="str">
        <f>IF(AND('Mapa final'!$AH$78="Muy Baja",'Mapa final'!$AJ$78="Mayor"),CONCATENATE("R2C",'Mapa final'!$R$78),"")</f>
        <v/>
      </c>
      <c r="AE61" s="45" t="str">
        <f>IF(AND('Mapa final'!$AH$79="Muy Baja",'Mapa final'!$AJ$79="Mayor"),CONCATENATE("R2C",'Mapa final'!$R$79),"")</f>
        <v/>
      </c>
      <c r="AF61" s="45" t="str">
        <f>IF(AND('Mapa final'!$AH$80="Muy Baja",'Mapa final'!$AJ$80="Mayor"),CONCATENATE("R2C",'Mapa final'!$R$80),"")</f>
        <v/>
      </c>
      <c r="AG61" s="45" t="str">
        <f>IF(AND('Mapa final'!$AH$82="Muy Baja",'Mapa final'!$AJ$82="Mayor"),CONCATENATE("R2C",'Mapa final'!$R$82),"")</f>
        <v/>
      </c>
      <c r="AH61" s="46" t="str">
        <f>IF(AND('Mapa final'!$AH$83="Muy Baja",'Mapa final'!$AJ$83="Mayor"),CONCATENATE("R2C",'Mapa final'!$R$83),"")</f>
        <v/>
      </c>
      <c r="AI61" s="47" t="str">
        <f>IF(AND('Mapa final'!$AH$77="Muy Baja",'Mapa final'!$AJ$77="Catastrófico"),CONCATENATE("R2C",'Mapa final'!$R$77),"")</f>
        <v/>
      </c>
      <c r="AJ61" s="48" t="str">
        <f>IF(AND('Mapa final'!$AH$78="Muy Baja",'Mapa final'!$AJ$78="Catastrófico"),CONCATENATE("R2C",'Mapa final'!$R$78),"")</f>
        <v/>
      </c>
      <c r="AK61" s="48" t="str">
        <f>IF(AND('Mapa final'!$AH$79="Muy Baja",'Mapa final'!$AJ$79="Catastrófico"),CONCATENATE("R2C",'Mapa final'!$R$79),"")</f>
        <v/>
      </c>
      <c r="AL61" s="48" t="str">
        <f>IF(AND('Mapa final'!$AH$80="Muy Baja",'Mapa final'!$AJ$80="Catastrófico"),CONCATENATE("R2C",'Mapa final'!$R$80),"")</f>
        <v/>
      </c>
      <c r="AM61" s="48" t="str">
        <f>IF(AND('Mapa final'!$AH$82="Muy Baja",'Mapa final'!$AJ$82="Catastrófico"),CONCATENATE("R2C",'Mapa final'!$R$82),"")</f>
        <v/>
      </c>
      <c r="AN61" s="49" t="str">
        <f>IF(AND('Mapa final'!$AH$83="Muy Baja",'Mapa final'!$AJ$83="Catastrófico"),CONCATENATE("R2C",'Mapa final'!$R$83),"")</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469" t="s">
        <v>301</v>
      </c>
      <c r="L62" s="470"/>
      <c r="M62" s="470"/>
      <c r="N62" s="470"/>
      <c r="O62" s="470"/>
      <c r="P62" s="471"/>
      <c r="Q62" s="469" t="s">
        <v>302</v>
      </c>
      <c r="R62" s="470"/>
      <c r="S62" s="470"/>
      <c r="T62" s="470"/>
      <c r="U62" s="470"/>
      <c r="V62" s="471"/>
      <c r="W62" s="469" t="s">
        <v>303</v>
      </c>
      <c r="X62" s="470"/>
      <c r="Y62" s="470"/>
      <c r="Z62" s="470"/>
      <c r="AA62" s="470"/>
      <c r="AB62" s="471"/>
      <c r="AC62" s="469" t="s">
        <v>304</v>
      </c>
      <c r="AD62" s="519"/>
      <c r="AE62" s="470"/>
      <c r="AF62" s="470"/>
      <c r="AG62" s="470"/>
      <c r="AH62" s="471"/>
      <c r="AI62" s="469" t="s">
        <v>305</v>
      </c>
      <c r="AJ62" s="470"/>
      <c r="AK62" s="470"/>
      <c r="AL62" s="470"/>
      <c r="AM62" s="470"/>
      <c r="AN62" s="471"/>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472"/>
      <c r="L63" s="473"/>
      <c r="M63" s="473"/>
      <c r="N63" s="473"/>
      <c r="O63" s="473"/>
      <c r="P63" s="474"/>
      <c r="Q63" s="472"/>
      <c r="R63" s="473"/>
      <c r="S63" s="473"/>
      <c r="T63" s="473"/>
      <c r="U63" s="473"/>
      <c r="V63" s="474"/>
      <c r="W63" s="472"/>
      <c r="X63" s="473"/>
      <c r="Y63" s="473"/>
      <c r="Z63" s="473"/>
      <c r="AA63" s="473"/>
      <c r="AB63" s="474"/>
      <c r="AC63" s="472"/>
      <c r="AD63" s="473"/>
      <c r="AE63" s="473"/>
      <c r="AF63" s="473"/>
      <c r="AG63" s="473"/>
      <c r="AH63" s="474"/>
      <c r="AI63" s="472"/>
      <c r="AJ63" s="473"/>
      <c r="AK63" s="473"/>
      <c r="AL63" s="473"/>
      <c r="AM63" s="473"/>
      <c r="AN63" s="474"/>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472"/>
      <c r="L64" s="473"/>
      <c r="M64" s="473"/>
      <c r="N64" s="473"/>
      <c r="O64" s="473"/>
      <c r="P64" s="474"/>
      <c r="Q64" s="472"/>
      <c r="R64" s="473"/>
      <c r="S64" s="473"/>
      <c r="T64" s="473"/>
      <c r="U64" s="473"/>
      <c r="V64" s="474"/>
      <c r="W64" s="472"/>
      <c r="X64" s="473"/>
      <c r="Y64" s="473"/>
      <c r="Z64" s="473"/>
      <c r="AA64" s="473"/>
      <c r="AB64" s="474"/>
      <c r="AC64" s="472"/>
      <c r="AD64" s="473"/>
      <c r="AE64" s="473"/>
      <c r="AF64" s="473"/>
      <c r="AG64" s="473"/>
      <c r="AH64" s="474"/>
      <c r="AI64" s="472"/>
      <c r="AJ64" s="473"/>
      <c r="AK64" s="473"/>
      <c r="AL64" s="473"/>
      <c r="AM64" s="473"/>
      <c r="AN64" s="474"/>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472"/>
      <c r="L65" s="473"/>
      <c r="M65" s="473"/>
      <c r="N65" s="473"/>
      <c r="O65" s="473"/>
      <c r="P65" s="474"/>
      <c r="Q65" s="472"/>
      <c r="R65" s="473"/>
      <c r="S65" s="473"/>
      <c r="T65" s="473"/>
      <c r="U65" s="473"/>
      <c r="V65" s="474"/>
      <c r="W65" s="472"/>
      <c r="X65" s="473"/>
      <c r="Y65" s="473"/>
      <c r="Z65" s="473"/>
      <c r="AA65" s="473"/>
      <c r="AB65" s="474"/>
      <c r="AC65" s="472"/>
      <c r="AD65" s="473"/>
      <c r="AE65" s="473"/>
      <c r="AF65" s="473"/>
      <c r="AG65" s="473"/>
      <c r="AH65" s="474"/>
      <c r="AI65" s="472"/>
      <c r="AJ65" s="473"/>
      <c r="AK65" s="473"/>
      <c r="AL65" s="473"/>
      <c r="AM65" s="473"/>
      <c r="AN65" s="474"/>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472"/>
      <c r="L66" s="473"/>
      <c r="M66" s="473"/>
      <c r="N66" s="473"/>
      <c r="O66" s="473"/>
      <c r="P66" s="474"/>
      <c r="Q66" s="472"/>
      <c r="R66" s="473"/>
      <c r="S66" s="473"/>
      <c r="T66" s="473"/>
      <c r="U66" s="473"/>
      <c r="V66" s="474"/>
      <c r="W66" s="472"/>
      <c r="X66" s="473"/>
      <c r="Y66" s="473"/>
      <c r="Z66" s="473"/>
      <c r="AA66" s="473"/>
      <c r="AB66" s="474"/>
      <c r="AC66" s="472"/>
      <c r="AD66" s="473"/>
      <c r="AE66" s="473"/>
      <c r="AF66" s="473"/>
      <c r="AG66" s="473"/>
      <c r="AH66" s="474"/>
      <c r="AI66" s="472"/>
      <c r="AJ66" s="473"/>
      <c r="AK66" s="473"/>
      <c r="AL66" s="473"/>
      <c r="AM66" s="473"/>
      <c r="AN66" s="474"/>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5.75" thickBot="1">
      <c r="B67" s="68"/>
      <c r="C67" s="68"/>
      <c r="D67" s="68"/>
      <c r="E67" s="68"/>
      <c r="F67" s="68"/>
      <c r="G67" s="68"/>
      <c r="H67" s="68"/>
      <c r="I67" s="68"/>
      <c r="J67" s="68"/>
      <c r="K67" s="475"/>
      <c r="L67" s="476"/>
      <c r="M67" s="476"/>
      <c r="N67" s="476"/>
      <c r="O67" s="476"/>
      <c r="P67" s="477"/>
      <c r="Q67" s="475"/>
      <c r="R67" s="476"/>
      <c r="S67" s="476"/>
      <c r="T67" s="476"/>
      <c r="U67" s="476"/>
      <c r="V67" s="477"/>
      <c r="W67" s="475"/>
      <c r="X67" s="476"/>
      <c r="Y67" s="476"/>
      <c r="Z67" s="476"/>
      <c r="AA67" s="476"/>
      <c r="AB67" s="477"/>
      <c r="AC67" s="475"/>
      <c r="AD67" s="476"/>
      <c r="AE67" s="476"/>
      <c r="AF67" s="476"/>
      <c r="AG67" s="476"/>
      <c r="AH67" s="477"/>
      <c r="AI67" s="475"/>
      <c r="AJ67" s="476"/>
      <c r="AK67" s="476"/>
      <c r="AL67" s="476"/>
      <c r="AM67" s="476"/>
      <c r="AN67" s="477"/>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A8:B8"/>
    <mergeCell ref="K62:P67"/>
    <mergeCell ref="Q62:V67"/>
    <mergeCell ref="W62:AB67"/>
    <mergeCell ref="AC62:AH67"/>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C2:J5"/>
    <mergeCell ref="K2:AN5"/>
    <mergeCell ref="AO2:AU2"/>
    <mergeCell ref="AO3:AU3"/>
    <mergeCell ref="AO4:AU4"/>
    <mergeCell ref="AO5:AU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
  <cp:revision/>
  <dcterms:created xsi:type="dcterms:W3CDTF">2020-03-24T23:12:47Z</dcterms:created>
  <dcterms:modified xsi:type="dcterms:W3CDTF">2026-08-21T22:27:19Z</dcterms:modified>
  <cp:category/>
  <cp:contentStatus/>
</cp:coreProperties>
</file>